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G:\My Drive\Chea Research\Project - Polymer Recycling\Manuscript\Manuscript Edits\Third Round - EPA\"/>
    </mc:Choice>
  </mc:AlternateContent>
  <xr:revisionPtr revIDLastSave="0" documentId="13_ncr:1_{31B3F32C-8E1E-48BF-B395-C55C48D88E63}" xr6:coauthVersionLast="47" xr6:coauthVersionMax="47" xr10:uidLastSave="{00000000-0000-0000-0000-000000000000}"/>
  <bookViews>
    <workbookView xWindow="-120" yWindow="-120" windowWidth="29040" windowHeight="15840" tabRatio="810" activeTab="3" xr2:uid="{00000000-000D-0000-FFFF-FFFF00000000}"/>
  </bookViews>
  <sheets>
    <sheet name="Note" sheetId="20" r:id="rId1"/>
    <sheet name="US Mat Flow Analysis 2018" sheetId="1" r:id="rId2"/>
    <sheet name="Assumptions" sheetId="5" r:id="rId3"/>
    <sheet name="US 2018 Facts - Sensitivity" sheetId="4" r:id="rId4"/>
    <sheet name="CO2-Energy FootPrint - REMADE" sheetId="25" r:id="rId5"/>
    <sheet name="Data - REMADE" sheetId="26" r:id="rId6"/>
    <sheet name="Stream 3 - Emissions" sheetId="16" r:id="rId7"/>
    <sheet name="Stream 6 - PWaste Generated" sheetId="2" r:id="rId8"/>
    <sheet name="Stream 9 - Litter" sheetId="6" r:id="rId9"/>
    <sheet name="Stream 13-PlasticCompost" sheetId="14" r:id="rId10"/>
    <sheet name="Stream 16 - MechRecyc" sheetId="3" r:id="rId11"/>
    <sheet name="Stream 19 - Contamination" sheetId="9" r:id="rId12"/>
    <sheet name="Stream 20 - Domestic Recyc" sheetId="22" r:id="rId13"/>
    <sheet name="Stream 21 - Import" sheetId="17" r:id="rId14"/>
    <sheet name="Stream 22 - Re-Export" sheetId="19" r:id="rId15"/>
    <sheet name="Stream 23 - MechRec-ChemRec" sheetId="21" r:id="rId16"/>
    <sheet name="Stream 24 - Incineration" sheetId="12" r:id="rId17"/>
    <sheet name="Stream 26 - Landfilled Plastic" sheetId="13" r:id="rId18"/>
    <sheet name="Stream 27 - Export" sheetId="18" r:id="rId19"/>
    <sheet name="Stream 28-I (To Incineration)" sheetId="27" r:id="rId20"/>
    <sheet name="Stream 28-L (To Landfill)" sheetId="28" r:id="rId21"/>
    <sheet name="Stream 29 - Plastic Release" sheetId="23" r:id="rId22"/>
    <sheet name="Migration Data - Use" sheetId="10" r:id="rId23"/>
    <sheet name="Migration Data - MechRecycle" sheetId="11" r:id="rId24"/>
    <sheet name="Misc - for Line thickness" sheetId="15"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0" i="28" l="1"/>
  <c r="N30" i="28" s="1"/>
  <c r="O30" i="28" s="1"/>
  <c r="L29" i="28"/>
  <c r="N29" i="28" s="1"/>
  <c r="O29" i="28" s="1"/>
  <c r="L28" i="28"/>
  <c r="N28" i="28" s="1"/>
  <c r="O28" i="28" s="1"/>
  <c r="L27" i="28"/>
  <c r="N27" i="28" s="1"/>
  <c r="O27" i="28" s="1"/>
  <c r="L26" i="28"/>
  <c r="N26" i="28" s="1"/>
  <c r="O26" i="28" s="1"/>
  <c r="L25" i="28"/>
  <c r="N25" i="28" s="1"/>
  <c r="O25" i="28" s="1"/>
  <c r="L24" i="28"/>
  <c r="N24" i="28" s="1"/>
  <c r="O24" i="28" s="1"/>
  <c r="L20" i="28"/>
  <c r="L19" i="28"/>
  <c r="L18" i="28"/>
  <c r="L17" i="28"/>
  <c r="L16" i="28"/>
  <c r="L15" i="28"/>
  <c r="L14" i="28"/>
  <c r="L13" i="28"/>
  <c r="L12" i="28"/>
  <c r="L11" i="28"/>
  <c r="L10" i="28"/>
  <c r="L9" i="28"/>
  <c r="L8" i="28"/>
  <c r="L7" i="28"/>
  <c r="L6" i="28"/>
  <c r="L5" i="28"/>
  <c r="B8" i="4"/>
  <c r="L8" i="25" s="1"/>
  <c r="L28" i="27" l="1"/>
  <c r="N28" i="27" s="1"/>
  <c r="O28" i="27" s="1"/>
  <c r="K8" i="4"/>
  <c r="U39" i="1"/>
  <c r="U40" i="1"/>
  <c r="B13" i="4"/>
  <c r="P41" i="1"/>
  <c r="R41" i="1"/>
  <c r="H41" i="1"/>
  <c r="D41" i="1"/>
  <c r="AG41" i="1"/>
  <c r="AF39" i="1"/>
  <c r="AF40" i="1"/>
  <c r="AH39" i="1"/>
  <c r="L24" i="27" l="1"/>
  <c r="N24" i="27" s="1"/>
  <c r="O24" i="27" s="1"/>
  <c r="L27" i="27"/>
  <c r="N27" i="27" s="1"/>
  <c r="O27" i="27" s="1"/>
  <c r="L26" i="27"/>
  <c r="N26" i="27" s="1"/>
  <c r="O26" i="27" s="1"/>
  <c r="L30" i="27"/>
  <c r="N30" i="27" s="1"/>
  <c r="O30" i="27" s="1"/>
  <c r="L25" i="27"/>
  <c r="N25" i="27" s="1"/>
  <c r="O25" i="27" s="1"/>
  <c r="L29" i="27"/>
  <c r="N29" i="27" s="1"/>
  <c r="O29" i="27" s="1"/>
  <c r="AC43" i="1"/>
  <c r="AC42" i="1"/>
  <c r="AH40" i="1"/>
  <c r="X27" i="1"/>
  <c r="X28" i="1"/>
  <c r="X29" i="1"/>
  <c r="X30" i="1"/>
  <c r="X31" i="1"/>
  <c r="X32" i="1"/>
  <c r="X33" i="1"/>
  <c r="X34" i="1"/>
  <c r="X35" i="1"/>
  <c r="X36" i="1"/>
  <c r="X37" i="1"/>
  <c r="X38" i="1"/>
  <c r="L17" i="27" l="1"/>
  <c r="L13" i="27"/>
  <c r="L12" i="27"/>
  <c r="L15" i="27"/>
  <c r="L14" i="27"/>
  <c r="L5" i="27"/>
  <c r="L19" i="27"/>
  <c r="L9" i="27"/>
  <c r="L6" i="27"/>
  <c r="L20" i="27"/>
  <c r="L18" i="27"/>
  <c r="L8" i="27"/>
  <c r="L10" i="27"/>
  <c r="L11" i="27"/>
  <c r="L7" i="27"/>
  <c r="L16" i="27"/>
  <c r="B10" i="4"/>
  <c r="B14" i="4" s="1"/>
  <c r="B16" i="4" s="1"/>
  <c r="B15" i="4" l="1"/>
  <c r="AE40" i="1" s="1"/>
  <c r="L29" i="19"/>
  <c r="N29" i="19" s="1"/>
  <c r="O29" i="19" s="1"/>
  <c r="L28" i="19"/>
  <c r="N28" i="19" s="1"/>
  <c r="O28" i="19" s="1"/>
  <c r="AD40" i="1" l="1"/>
  <c r="AI40" i="1" s="1"/>
  <c r="Q29" i="19"/>
  <c r="Q28" i="19"/>
  <c r="B11" i="4"/>
  <c r="B5" i="4" s="1"/>
  <c r="K5" i="4" s="1"/>
  <c r="E8" i="25"/>
  <c r="F8" i="25"/>
  <c r="G8" i="25"/>
  <c r="H8" i="25"/>
  <c r="I8" i="25"/>
  <c r="J8" i="25"/>
  <c r="K8" i="25"/>
  <c r="D8" i="25"/>
  <c r="H7" i="25"/>
  <c r="E25" i="25"/>
  <c r="E26" i="25"/>
  <c r="D25" i="25"/>
  <c r="D26" i="25"/>
  <c r="B28" i="25"/>
  <c r="B27" i="25"/>
  <c r="B22" i="25"/>
  <c r="B23" i="25"/>
  <c r="B24" i="25"/>
  <c r="B25" i="25"/>
  <c r="B26" i="25"/>
  <c r="B21" i="25"/>
  <c r="H14" i="25" l="1"/>
  <c r="H13" i="25"/>
  <c r="I21" i="23"/>
  <c r="I20" i="23"/>
  <c r="I19" i="23"/>
  <c r="I18" i="23"/>
  <c r="I17" i="23"/>
  <c r="I16" i="23"/>
  <c r="I15" i="23"/>
  <c r="I14" i="23"/>
  <c r="I13" i="23"/>
  <c r="I12" i="23"/>
  <c r="I11" i="23"/>
  <c r="I10" i="23"/>
  <c r="I9" i="23"/>
  <c r="I8" i="23"/>
  <c r="I7" i="23"/>
  <c r="I6" i="23"/>
  <c r="Z36" i="1"/>
  <c r="Z37" i="1"/>
  <c r="B12" i="4" l="1"/>
  <c r="G31" i="4" s="1"/>
  <c r="G30" i="4" l="1"/>
  <c r="I21" i="22" l="1"/>
  <c r="I20" i="22"/>
  <c r="I19" i="22"/>
  <c r="I18" i="22"/>
  <c r="I17" i="22"/>
  <c r="I16" i="22"/>
  <c r="I15" i="22"/>
  <c r="I14" i="22"/>
  <c r="I13" i="22"/>
  <c r="I12" i="22"/>
  <c r="I11" i="22"/>
  <c r="I10" i="22"/>
  <c r="I9" i="22"/>
  <c r="I8" i="22"/>
  <c r="I7" i="22"/>
  <c r="I6" i="22"/>
  <c r="K7" i="4" l="1"/>
  <c r="F30" i="4" l="1"/>
  <c r="C6" i="18" s="1"/>
  <c r="D22" i="25" s="1"/>
  <c r="F31" i="4"/>
  <c r="C7" i="18" s="1"/>
  <c r="D23" i="25" s="1"/>
  <c r="F32" i="4"/>
  <c r="C11" i="18" s="1"/>
  <c r="D27" i="25" s="1"/>
  <c r="F33" i="4"/>
  <c r="C12" i="18" s="1"/>
  <c r="D28" i="25" s="1"/>
  <c r="E31" i="4"/>
  <c r="C7" i="17" s="1"/>
  <c r="E23" i="25" s="1"/>
  <c r="E32" i="4"/>
  <c r="C11" i="17" s="1"/>
  <c r="E27" i="25" s="1"/>
  <c r="E33" i="4"/>
  <c r="C12" i="17" s="1"/>
  <c r="E28" i="25" s="1"/>
  <c r="E30" i="4"/>
  <c r="C8" i="17" s="1"/>
  <c r="E24" i="25" s="1"/>
  <c r="G17" i="4"/>
  <c r="C8" i="18" l="1"/>
  <c r="D24" i="25" s="1"/>
  <c r="C5" i="17"/>
  <c r="E21" i="25" s="1"/>
  <c r="C6" i="17"/>
  <c r="E22" i="25" s="1"/>
  <c r="C5" i="18"/>
  <c r="D21" i="25" s="1"/>
  <c r="B2" i="12"/>
  <c r="C5" i="12" s="1"/>
  <c r="E29" i="25" l="1"/>
  <c r="D29" i="25"/>
  <c r="B2" i="17"/>
  <c r="H42" i="1"/>
  <c r="H43" i="1"/>
  <c r="I21" i="21"/>
  <c r="I20" i="21"/>
  <c r="I19" i="21"/>
  <c r="I18" i="21"/>
  <c r="I17" i="21"/>
  <c r="I16" i="21"/>
  <c r="I15" i="21"/>
  <c r="I14" i="21"/>
  <c r="I13" i="21"/>
  <c r="I12" i="21"/>
  <c r="I11" i="21"/>
  <c r="I10" i="21"/>
  <c r="I9" i="21"/>
  <c r="I8" i="21"/>
  <c r="I7" i="21"/>
  <c r="I6" i="21"/>
  <c r="W46" i="1"/>
  <c r="C57" i="19"/>
  <c r="B57" i="19"/>
  <c r="C56" i="19"/>
  <c r="B56" i="19"/>
  <c r="C55" i="19"/>
  <c r="B55" i="19"/>
  <c r="C54" i="19"/>
  <c r="B54" i="19"/>
  <c r="C53" i="19"/>
  <c r="B53" i="19"/>
  <c r="C52" i="19"/>
  <c r="B52" i="19"/>
  <c r="H46" i="19"/>
  <c r="G46" i="19"/>
  <c r="I46" i="19" s="1"/>
  <c r="H45" i="19"/>
  <c r="G45" i="19"/>
  <c r="H44" i="19"/>
  <c r="G44" i="19"/>
  <c r="H43" i="19"/>
  <c r="G43" i="19"/>
  <c r="H42" i="19"/>
  <c r="G42" i="19"/>
  <c r="I42" i="19" s="1"/>
  <c r="H41" i="19"/>
  <c r="G41" i="19"/>
  <c r="H40" i="19"/>
  <c r="G40" i="19"/>
  <c r="I21" i="19"/>
  <c r="I20" i="19"/>
  <c r="I19" i="19"/>
  <c r="I18" i="19"/>
  <c r="I17" i="19"/>
  <c r="I16" i="19"/>
  <c r="I15" i="19"/>
  <c r="I14" i="19"/>
  <c r="I13" i="19"/>
  <c r="I12" i="19"/>
  <c r="I11" i="19"/>
  <c r="I10" i="19"/>
  <c r="I9" i="19"/>
  <c r="I8" i="19"/>
  <c r="I7" i="19"/>
  <c r="I6" i="19"/>
  <c r="V46" i="1"/>
  <c r="G68" i="17"/>
  <c r="G33" i="17"/>
  <c r="B31" i="17"/>
  <c r="B21" i="17"/>
  <c r="C57" i="17"/>
  <c r="B57" i="17"/>
  <c r="C56" i="17"/>
  <c r="D56" i="17" s="1"/>
  <c r="B56" i="17"/>
  <c r="C55" i="17"/>
  <c r="B55" i="17"/>
  <c r="D55" i="17" s="1"/>
  <c r="C54" i="17"/>
  <c r="B54" i="17"/>
  <c r="C53" i="17"/>
  <c r="B53" i="17"/>
  <c r="C52" i="17"/>
  <c r="D52" i="17" s="1"/>
  <c r="B52" i="17"/>
  <c r="H46" i="17"/>
  <c r="G46" i="17"/>
  <c r="H45" i="17"/>
  <c r="G45" i="17"/>
  <c r="H44" i="17"/>
  <c r="G44" i="17"/>
  <c r="H43" i="17"/>
  <c r="G43" i="17"/>
  <c r="H42" i="17"/>
  <c r="G42" i="17"/>
  <c r="H41" i="17"/>
  <c r="G41" i="17"/>
  <c r="H40" i="17"/>
  <c r="G40" i="17"/>
  <c r="L29" i="17"/>
  <c r="N29" i="17" s="1"/>
  <c r="O29" i="17" s="1"/>
  <c r="L28" i="17"/>
  <c r="N28" i="17" s="1"/>
  <c r="O28" i="17" s="1"/>
  <c r="I21" i="17"/>
  <c r="I20" i="17"/>
  <c r="I19" i="17"/>
  <c r="I18" i="17"/>
  <c r="I17" i="17"/>
  <c r="I16" i="17"/>
  <c r="I15" i="17"/>
  <c r="I14" i="17"/>
  <c r="I13" i="17"/>
  <c r="I12" i="17"/>
  <c r="I11" i="17"/>
  <c r="C72" i="17"/>
  <c r="I10" i="17"/>
  <c r="I9" i="17"/>
  <c r="I8" i="17"/>
  <c r="I7" i="17"/>
  <c r="I6" i="17"/>
  <c r="I40" i="17" l="1"/>
  <c r="I44" i="17"/>
  <c r="D53" i="17"/>
  <c r="D57" i="17"/>
  <c r="I41" i="19"/>
  <c r="I45" i="19"/>
  <c r="I43" i="19"/>
  <c r="D56" i="19"/>
  <c r="H39" i="19"/>
  <c r="H39" i="17"/>
  <c r="I44" i="19"/>
  <c r="B2" i="13"/>
  <c r="B11" i="17"/>
  <c r="D57" i="19"/>
  <c r="I41" i="17"/>
  <c r="I40" i="19"/>
  <c r="I45" i="17"/>
  <c r="I42" i="17"/>
  <c r="I46" i="17"/>
  <c r="D54" i="17"/>
  <c r="D55" i="19"/>
  <c r="B51" i="17"/>
  <c r="V8" i="1" s="1"/>
  <c r="D53" i="19"/>
  <c r="B2" i="18"/>
  <c r="I43" i="17"/>
  <c r="D54" i="19"/>
  <c r="G39" i="19"/>
  <c r="C51" i="19"/>
  <c r="D52" i="19"/>
  <c r="B51" i="19"/>
  <c r="W8" i="1" s="1"/>
  <c r="C46" i="17"/>
  <c r="B41" i="17"/>
  <c r="B45" i="17"/>
  <c r="L26" i="17"/>
  <c r="N26" i="17" s="1"/>
  <c r="O26" i="17" s="1"/>
  <c r="B43" i="17"/>
  <c r="G28" i="17"/>
  <c r="H31" i="17"/>
  <c r="G32" i="17"/>
  <c r="H33" i="17"/>
  <c r="I33" i="17" s="1"/>
  <c r="C30" i="17"/>
  <c r="B33" i="17"/>
  <c r="C34" i="17"/>
  <c r="C23" i="17"/>
  <c r="B23" i="17"/>
  <c r="C20" i="17"/>
  <c r="B22" i="17"/>
  <c r="G53" i="17"/>
  <c r="G55" i="17"/>
  <c r="G57" i="17"/>
  <c r="H58" i="17"/>
  <c r="G61" i="17"/>
  <c r="H62" i="17"/>
  <c r="G65" i="17"/>
  <c r="H66" i="17"/>
  <c r="B68" i="17"/>
  <c r="H68" i="17"/>
  <c r="I68" i="17" s="1"/>
  <c r="B70" i="17"/>
  <c r="C71" i="17"/>
  <c r="C21" i="17"/>
  <c r="D21" i="17" s="1"/>
  <c r="C22" i="17"/>
  <c r="L25" i="17"/>
  <c r="N25" i="17" s="1"/>
  <c r="O25" i="17" s="1"/>
  <c r="H28" i="17"/>
  <c r="G29" i="17"/>
  <c r="L30" i="17"/>
  <c r="N30" i="17" s="1"/>
  <c r="O30" i="17" s="1"/>
  <c r="C31" i="17"/>
  <c r="D31" i="17" s="1"/>
  <c r="B32" i="17"/>
  <c r="H32" i="17"/>
  <c r="C33" i="17"/>
  <c r="G34" i="17"/>
  <c r="C41" i="17"/>
  <c r="C43" i="17"/>
  <c r="C45" i="17"/>
  <c r="C51" i="17"/>
  <c r="D51" i="17" s="1"/>
  <c r="H53" i="17"/>
  <c r="H55" i="17"/>
  <c r="H57" i="17"/>
  <c r="G60" i="17"/>
  <c r="H61" i="17"/>
  <c r="G64" i="17"/>
  <c r="H65" i="17"/>
  <c r="G67" i="17"/>
  <c r="C68" i="17"/>
  <c r="G69" i="17"/>
  <c r="C70" i="17"/>
  <c r="B73" i="17"/>
  <c r="B19" i="17"/>
  <c r="L24" i="17"/>
  <c r="N24" i="17" s="1"/>
  <c r="O24" i="17" s="1"/>
  <c r="L27" i="17"/>
  <c r="N27" i="17" s="1"/>
  <c r="O27" i="17" s="1"/>
  <c r="B29" i="17"/>
  <c r="H29" i="17"/>
  <c r="G30" i="17"/>
  <c r="L31" i="17"/>
  <c r="N31" i="17" s="1"/>
  <c r="O31" i="17" s="1"/>
  <c r="C32" i="17"/>
  <c r="B34" i="17"/>
  <c r="H34" i="17"/>
  <c r="B40" i="17"/>
  <c r="B42" i="17"/>
  <c r="B44" i="17"/>
  <c r="B46" i="17"/>
  <c r="G54" i="17"/>
  <c r="G56" i="17"/>
  <c r="G59" i="17"/>
  <c r="H60" i="17"/>
  <c r="G63" i="17"/>
  <c r="H64" i="17"/>
  <c r="H67" i="17"/>
  <c r="B69" i="17"/>
  <c r="H69" i="17"/>
  <c r="B72" i="17"/>
  <c r="C73" i="17"/>
  <c r="C19" i="17"/>
  <c r="B20" i="17"/>
  <c r="C29" i="17"/>
  <c r="B30" i="17"/>
  <c r="H30" i="17"/>
  <c r="G31" i="17"/>
  <c r="G39" i="17"/>
  <c r="C40" i="17"/>
  <c r="C42" i="17"/>
  <c r="C44" i="17"/>
  <c r="H54" i="17"/>
  <c r="H56" i="17"/>
  <c r="G58" i="17"/>
  <c r="H59" i="17"/>
  <c r="G62" i="17"/>
  <c r="H63" i="17"/>
  <c r="G66" i="17"/>
  <c r="C69" i="17"/>
  <c r="B71" i="17"/>
  <c r="F17" i="4"/>
  <c r="AI36" i="1"/>
  <c r="AI37" i="1"/>
  <c r="AH36" i="1"/>
  <c r="AH37" i="1"/>
  <c r="AH38" i="1"/>
  <c r="D33" i="17" l="1"/>
  <c r="D41" i="17"/>
  <c r="B6" i="17"/>
  <c r="B7" i="17"/>
  <c r="E10" i="4"/>
  <c r="G10" i="4" s="1"/>
  <c r="C6" i="3" s="1"/>
  <c r="F22" i="25" s="1"/>
  <c r="E11" i="4"/>
  <c r="G11" i="4" s="1"/>
  <c r="C7" i="3" s="1"/>
  <c r="F23" i="25" s="1"/>
  <c r="E14" i="4"/>
  <c r="G14" i="4" s="1"/>
  <c r="C10" i="3" s="1"/>
  <c r="F26" i="25" s="1"/>
  <c r="E9" i="4"/>
  <c r="G9" i="4" s="1"/>
  <c r="C5" i="3" s="1"/>
  <c r="F21" i="25" s="1"/>
  <c r="D15" i="25" s="1"/>
  <c r="E12" i="4"/>
  <c r="G12" i="4" s="1"/>
  <c r="C8" i="3" s="1"/>
  <c r="F24" i="25" s="1"/>
  <c r="E16" i="4"/>
  <c r="G16" i="4" s="1"/>
  <c r="C12" i="3" s="1"/>
  <c r="F28" i="25" s="1"/>
  <c r="E15" i="4"/>
  <c r="G15" i="4" s="1"/>
  <c r="C11" i="3" s="1"/>
  <c r="F27" i="25" s="1"/>
  <c r="D30" i="17"/>
  <c r="D43" i="17"/>
  <c r="I39" i="19"/>
  <c r="W7" i="1"/>
  <c r="E13" i="4"/>
  <c r="G13" i="4" s="1"/>
  <c r="C9" i="3" s="1"/>
  <c r="F25" i="25" s="1"/>
  <c r="I39" i="17"/>
  <c r="V7" i="1"/>
  <c r="D46" i="17"/>
  <c r="C39" i="17"/>
  <c r="I32" i="17"/>
  <c r="D71" i="17"/>
  <c r="D34" i="17"/>
  <c r="I31" i="17"/>
  <c r="D45" i="17"/>
  <c r="D51" i="19"/>
  <c r="I57" i="17"/>
  <c r="H52" i="17"/>
  <c r="I55" i="17"/>
  <c r="I56" i="17"/>
  <c r="I67" i="17"/>
  <c r="B67" i="17"/>
  <c r="V9" i="1" s="1"/>
  <c r="D70" i="17"/>
  <c r="L11" i="17"/>
  <c r="V17" i="1" s="1"/>
  <c r="C67" i="17"/>
  <c r="D73" i="17"/>
  <c r="I29" i="17"/>
  <c r="I30" i="17"/>
  <c r="D32" i="17"/>
  <c r="C28" i="17"/>
  <c r="D22" i="17"/>
  <c r="D23" i="17"/>
  <c r="C18" i="17"/>
  <c r="B12" i="17"/>
  <c r="L10" i="17"/>
  <c r="V16" i="1" s="1"/>
  <c r="D44" i="17"/>
  <c r="I60" i="17"/>
  <c r="L14" i="17"/>
  <c r="V20" i="1" s="1"/>
  <c r="H27" i="17"/>
  <c r="I28" i="17"/>
  <c r="L16" i="17"/>
  <c r="V22" i="1" s="1"/>
  <c r="D72" i="17"/>
  <c r="L15" i="17"/>
  <c r="V21" i="1" s="1"/>
  <c r="L13" i="17"/>
  <c r="V19" i="1" s="1"/>
  <c r="I59" i="17"/>
  <c r="I65" i="17"/>
  <c r="L19" i="17"/>
  <c r="V25" i="1" s="1"/>
  <c r="O32" i="17"/>
  <c r="L20" i="17"/>
  <c r="V26" i="1" s="1"/>
  <c r="I66" i="17"/>
  <c r="L12" i="17"/>
  <c r="V18" i="1" s="1"/>
  <c r="I58" i="17"/>
  <c r="G27" i="17"/>
  <c r="V6" i="1" s="1"/>
  <c r="D69" i="17"/>
  <c r="I63" i="17"/>
  <c r="I54" i="17"/>
  <c r="L9" i="17"/>
  <c r="V15" i="1" s="1"/>
  <c r="D42" i="17"/>
  <c r="D29" i="17"/>
  <c r="L8" i="17"/>
  <c r="V14" i="1" s="1"/>
  <c r="L7" i="17"/>
  <c r="V13" i="1" s="1"/>
  <c r="D19" i="17"/>
  <c r="I34" i="17"/>
  <c r="B28" i="17"/>
  <c r="B18" i="17"/>
  <c r="B10" i="17"/>
  <c r="B5" i="17"/>
  <c r="B9" i="17"/>
  <c r="D68" i="17"/>
  <c r="I61" i="17"/>
  <c r="L17" i="17"/>
  <c r="V23" i="1" s="1"/>
  <c r="I53" i="17"/>
  <c r="I62" i="17"/>
  <c r="L18" i="17"/>
  <c r="V24" i="1" s="1"/>
  <c r="D20" i="17"/>
  <c r="L6" i="17"/>
  <c r="V12" i="1" s="1"/>
  <c r="G52" i="17"/>
  <c r="D40" i="17"/>
  <c r="B39" i="17"/>
  <c r="L5" i="17"/>
  <c r="V11" i="1" s="1"/>
  <c r="I69" i="17"/>
  <c r="I64" i="17"/>
  <c r="B8" i="17"/>
  <c r="C20" i="18"/>
  <c r="C73" i="18"/>
  <c r="B73" i="18"/>
  <c r="C72" i="18"/>
  <c r="B72" i="18"/>
  <c r="C71" i="18"/>
  <c r="B71" i="18"/>
  <c r="C70" i="18"/>
  <c r="B70" i="18"/>
  <c r="H69" i="18"/>
  <c r="G69" i="18"/>
  <c r="C69" i="18"/>
  <c r="B69" i="18"/>
  <c r="H68" i="18"/>
  <c r="G68" i="18"/>
  <c r="C68" i="18"/>
  <c r="B68" i="18"/>
  <c r="H67" i="18"/>
  <c r="G67" i="18"/>
  <c r="H66" i="18"/>
  <c r="G66" i="18"/>
  <c r="H65" i="18"/>
  <c r="G65" i="18"/>
  <c r="H64" i="18"/>
  <c r="G64" i="18"/>
  <c r="H63" i="18"/>
  <c r="G63" i="18"/>
  <c r="H62" i="18"/>
  <c r="G62" i="18"/>
  <c r="L18" i="18" s="1"/>
  <c r="AB24" i="1" s="1"/>
  <c r="H61" i="18"/>
  <c r="G61" i="18"/>
  <c r="H60" i="18"/>
  <c r="G60" i="18"/>
  <c r="H59" i="18"/>
  <c r="G59" i="18"/>
  <c r="L13" i="18" s="1"/>
  <c r="AB19" i="1" s="1"/>
  <c r="H58" i="18"/>
  <c r="G58" i="18"/>
  <c r="L12" i="18" s="1"/>
  <c r="AB18" i="1" s="1"/>
  <c r="H57" i="18"/>
  <c r="G57" i="18"/>
  <c r="C57" i="18"/>
  <c r="B57" i="18"/>
  <c r="H56" i="18"/>
  <c r="G56" i="18"/>
  <c r="C56" i="18"/>
  <c r="B56" i="18"/>
  <c r="H55" i="18"/>
  <c r="G55" i="18"/>
  <c r="C55" i="18"/>
  <c r="B55" i="18"/>
  <c r="H54" i="18"/>
  <c r="G54" i="18"/>
  <c r="C54" i="18"/>
  <c r="B54" i="18"/>
  <c r="H53" i="18"/>
  <c r="G53" i="18"/>
  <c r="C53" i="18"/>
  <c r="B53" i="18"/>
  <c r="C52" i="18"/>
  <c r="B52" i="18"/>
  <c r="H46" i="18"/>
  <c r="G46" i="18"/>
  <c r="C46" i="18"/>
  <c r="B46" i="18"/>
  <c r="H45" i="18"/>
  <c r="G45" i="18"/>
  <c r="C45" i="18"/>
  <c r="B45" i="18"/>
  <c r="H44" i="18"/>
  <c r="G44" i="18"/>
  <c r="C44" i="18"/>
  <c r="B44" i="18"/>
  <c r="H43" i="18"/>
  <c r="G43" i="18"/>
  <c r="C43" i="18"/>
  <c r="B43" i="18"/>
  <c r="H42" i="18"/>
  <c r="G42" i="18"/>
  <c r="C42" i="18"/>
  <c r="B42" i="18"/>
  <c r="H41" i="18"/>
  <c r="G41" i="18"/>
  <c r="C41" i="18"/>
  <c r="B41" i="18"/>
  <c r="H40" i="18"/>
  <c r="G40" i="18"/>
  <c r="C40" i="18"/>
  <c r="B40" i="18"/>
  <c r="H34" i="18"/>
  <c r="G34" i="18"/>
  <c r="C34" i="18"/>
  <c r="B34" i="18"/>
  <c r="H33" i="18"/>
  <c r="G33" i="18"/>
  <c r="C33" i="18"/>
  <c r="B33" i="18"/>
  <c r="H32" i="18"/>
  <c r="G32" i="18"/>
  <c r="C32" i="18"/>
  <c r="B32" i="18"/>
  <c r="L31" i="18"/>
  <c r="H31" i="18"/>
  <c r="G31" i="18"/>
  <c r="C31" i="18"/>
  <c r="B31" i="18"/>
  <c r="L30" i="18"/>
  <c r="H30" i="18"/>
  <c r="G30" i="18"/>
  <c r="C30" i="18"/>
  <c r="B30" i="18"/>
  <c r="L29" i="18"/>
  <c r="H29" i="18"/>
  <c r="G29" i="18"/>
  <c r="C29" i="18"/>
  <c r="B29" i="18"/>
  <c r="L28" i="18"/>
  <c r="H28" i="18"/>
  <c r="G28" i="18"/>
  <c r="L27" i="18"/>
  <c r="L26" i="18"/>
  <c r="L25" i="18"/>
  <c r="L24" i="18"/>
  <c r="C23" i="18"/>
  <c r="B23" i="18"/>
  <c r="C22" i="18"/>
  <c r="B22" i="18"/>
  <c r="I21" i="18"/>
  <c r="C21" i="18"/>
  <c r="B21" i="18"/>
  <c r="I20" i="18"/>
  <c r="B20" i="18"/>
  <c r="I19" i="18"/>
  <c r="C19" i="18"/>
  <c r="B19" i="18"/>
  <c r="I18" i="18"/>
  <c r="I17" i="18"/>
  <c r="I16" i="18"/>
  <c r="I15" i="18"/>
  <c r="I14" i="18"/>
  <c r="I13" i="18"/>
  <c r="I12" i="18"/>
  <c r="I11" i="18"/>
  <c r="I10" i="18"/>
  <c r="I9" i="18"/>
  <c r="I8" i="18"/>
  <c r="I7" i="18"/>
  <c r="I6" i="18"/>
  <c r="B9" i="18"/>
  <c r="D55" i="18" l="1"/>
  <c r="Q28" i="18"/>
  <c r="N28" i="18"/>
  <c r="O28" i="18" s="1"/>
  <c r="Q29" i="18"/>
  <c r="N29" i="18"/>
  <c r="O29" i="18" s="1"/>
  <c r="G39" i="18"/>
  <c r="AB7" i="1" s="1"/>
  <c r="Q27" i="18"/>
  <c r="N27" i="18"/>
  <c r="O27" i="18" s="1"/>
  <c r="Q24" i="18"/>
  <c r="N24" i="18"/>
  <c r="O24" i="18" s="1"/>
  <c r="Q30" i="18"/>
  <c r="N30" i="18"/>
  <c r="O30" i="18" s="1"/>
  <c r="Q26" i="18"/>
  <c r="N26" i="18"/>
  <c r="O26" i="18" s="1"/>
  <c r="Q25" i="18"/>
  <c r="N25" i="18"/>
  <c r="O25" i="18" s="1"/>
  <c r="Q31" i="18"/>
  <c r="N31" i="18"/>
  <c r="O31" i="18" s="1"/>
  <c r="J15" i="25"/>
  <c r="I15" i="25"/>
  <c r="K15" i="25"/>
  <c r="F15" i="25"/>
  <c r="H15" i="25"/>
  <c r="G15" i="25"/>
  <c r="E15" i="25"/>
  <c r="F29" i="25"/>
  <c r="L14" i="18"/>
  <c r="AB20" i="1" s="1"/>
  <c r="I44" i="18"/>
  <c r="D52" i="18"/>
  <c r="B2" i="3"/>
  <c r="L24" i="3"/>
  <c r="D43" i="18"/>
  <c r="I53" i="18"/>
  <c r="E17" i="4"/>
  <c r="I61" i="18"/>
  <c r="I68" i="18"/>
  <c r="I63" i="18"/>
  <c r="I69" i="18"/>
  <c r="D70" i="18"/>
  <c r="B39" i="18"/>
  <c r="AB5" i="1" s="1"/>
  <c r="L20" i="18"/>
  <c r="AB26" i="1" s="1"/>
  <c r="D72" i="18"/>
  <c r="I52" i="17"/>
  <c r="V10" i="1"/>
  <c r="D20" i="18"/>
  <c r="I60" i="18"/>
  <c r="V43" i="1"/>
  <c r="D18" i="17"/>
  <c r="V3" i="1"/>
  <c r="D46" i="18"/>
  <c r="D39" i="17"/>
  <c r="V5" i="1"/>
  <c r="D28" i="17"/>
  <c r="V4" i="1"/>
  <c r="L11" i="18"/>
  <c r="AB17" i="1" s="1"/>
  <c r="D67" i="17"/>
  <c r="I27" i="17"/>
  <c r="I56" i="18"/>
  <c r="I58" i="18"/>
  <c r="D73" i="18"/>
  <c r="D69" i="18"/>
  <c r="D30" i="18"/>
  <c r="I31" i="18"/>
  <c r="D29" i="18"/>
  <c r="D31" i="18"/>
  <c r="H27" i="18"/>
  <c r="I32" i="18"/>
  <c r="I33" i="18"/>
  <c r="I34" i="18"/>
  <c r="D32" i="18"/>
  <c r="D34" i="18"/>
  <c r="D23" i="18"/>
  <c r="I41" i="18"/>
  <c r="I42" i="18"/>
  <c r="I43" i="18"/>
  <c r="H39" i="18"/>
  <c r="I46" i="18"/>
  <c r="D54" i="18"/>
  <c r="D57" i="18"/>
  <c r="D71" i="18"/>
  <c r="D68" i="18"/>
  <c r="I59" i="18"/>
  <c r="L17" i="18"/>
  <c r="AB23" i="1" s="1"/>
  <c r="I54" i="18"/>
  <c r="I67" i="18"/>
  <c r="I55" i="18"/>
  <c r="I64" i="18"/>
  <c r="I66" i="18"/>
  <c r="L15" i="18"/>
  <c r="AB21" i="1" s="1"/>
  <c r="G27" i="18"/>
  <c r="I29" i="18"/>
  <c r="I30" i="18"/>
  <c r="D44" i="18"/>
  <c r="D40" i="18"/>
  <c r="D42" i="18"/>
  <c r="B18" i="18"/>
  <c r="AB3" i="1" s="1"/>
  <c r="L9" i="18"/>
  <c r="AB15" i="1" s="1"/>
  <c r="H52" i="18"/>
  <c r="I57" i="18"/>
  <c r="I62" i="18"/>
  <c r="I65" i="18"/>
  <c r="C67" i="18"/>
  <c r="I40" i="18"/>
  <c r="I45" i="18"/>
  <c r="B51" i="18"/>
  <c r="AB8" i="1" s="1"/>
  <c r="D53" i="18"/>
  <c r="C51" i="18"/>
  <c r="D56" i="18"/>
  <c r="L10" i="18"/>
  <c r="AB16" i="1" s="1"/>
  <c r="C39" i="18"/>
  <c r="D41" i="18"/>
  <c r="D45" i="18"/>
  <c r="L6" i="18"/>
  <c r="AB12" i="1" s="1"/>
  <c r="B28" i="18"/>
  <c r="AB4" i="1" s="1"/>
  <c r="C28" i="18"/>
  <c r="B12" i="18"/>
  <c r="C18" i="18"/>
  <c r="L7" i="18"/>
  <c r="AB13" i="1" s="1"/>
  <c r="B5" i="18"/>
  <c r="B8" i="18"/>
  <c r="D19" i="18"/>
  <c r="L16" i="18"/>
  <c r="AB22" i="1" s="1"/>
  <c r="D22" i="18"/>
  <c r="L5" i="18"/>
  <c r="AB11" i="1" s="1"/>
  <c r="B7" i="18"/>
  <c r="B11" i="18"/>
  <c r="B6" i="18"/>
  <c r="L8" i="18"/>
  <c r="AB14" i="1" s="1"/>
  <c r="B10" i="18"/>
  <c r="L19" i="18"/>
  <c r="AB25" i="1" s="1"/>
  <c r="D21" i="18"/>
  <c r="I28" i="18"/>
  <c r="D33" i="18"/>
  <c r="G52" i="18"/>
  <c r="B67" i="18"/>
  <c r="AB9" i="1" s="1"/>
  <c r="V41" i="1" l="1"/>
  <c r="I39" i="18"/>
  <c r="O32" i="18"/>
  <c r="AB45" i="1" s="1"/>
  <c r="AB46" i="1" s="1"/>
  <c r="Q32" i="18"/>
  <c r="H17" i="25"/>
  <c r="H16" i="25"/>
  <c r="D51" i="18"/>
  <c r="C19" i="3"/>
  <c r="B21" i="3"/>
  <c r="B20" i="3"/>
  <c r="C23" i="3"/>
  <c r="C21" i="3"/>
  <c r="B23" i="3"/>
  <c r="B12" i="3"/>
  <c r="C20" i="3"/>
  <c r="B22" i="3"/>
  <c r="C22" i="3"/>
  <c r="B19" i="3"/>
  <c r="D39" i="18"/>
  <c r="V42" i="1"/>
  <c r="I52" i="18"/>
  <c r="AB10" i="1"/>
  <c r="I27" i="18"/>
  <c r="AB6" i="1"/>
  <c r="D67" i="18"/>
  <c r="AB43" i="1"/>
  <c r="D28" i="18"/>
  <c r="D18" i="18"/>
  <c r="AB41" i="1" l="1"/>
  <c r="B6" i="3"/>
  <c r="B18" i="3"/>
  <c r="Q3" i="1" s="1"/>
  <c r="B8" i="3"/>
  <c r="B5" i="3"/>
  <c r="B10" i="3"/>
  <c r="B9" i="3"/>
  <c r="B7" i="3"/>
  <c r="B11" i="3"/>
  <c r="C18" i="3"/>
  <c r="AB42" i="1"/>
  <c r="P15" i="2"/>
  <c r="X3" i="1" l="1"/>
  <c r="L25" i="3"/>
  <c r="L26" i="3"/>
  <c r="L27" i="3"/>
  <c r="L28" i="3"/>
  <c r="L29" i="3"/>
  <c r="L30" i="3"/>
  <c r="L31" i="3"/>
  <c r="C5" i="21" l="1"/>
  <c r="B2" i="2"/>
  <c r="I6" i="16" l="1"/>
  <c r="I7" i="16"/>
  <c r="I8" i="16"/>
  <c r="I9" i="16"/>
  <c r="I10" i="16"/>
  <c r="I11" i="16"/>
  <c r="I12" i="16"/>
  <c r="I13" i="16"/>
  <c r="I14" i="16"/>
  <c r="I15" i="16"/>
  <c r="I16" i="16"/>
  <c r="I17" i="16"/>
  <c r="I18" i="16"/>
  <c r="I19" i="16"/>
  <c r="I20" i="16"/>
  <c r="I21" i="16"/>
  <c r="S27" i="1" l="1"/>
  <c r="U27" i="1" s="1"/>
  <c r="S28" i="1"/>
  <c r="U28" i="1" s="1"/>
  <c r="S29" i="1"/>
  <c r="U29" i="1" s="1"/>
  <c r="S30" i="1"/>
  <c r="U30" i="1" s="1"/>
  <c r="S31" i="1"/>
  <c r="U31" i="1" s="1"/>
  <c r="S32" i="1"/>
  <c r="U32" i="1" s="1"/>
  <c r="S33" i="1"/>
  <c r="U33" i="1" s="1"/>
  <c r="S34" i="1"/>
  <c r="U34" i="1" s="1"/>
  <c r="S35" i="1"/>
  <c r="U35" i="1" s="1"/>
  <c r="S36" i="1"/>
  <c r="S37" i="1"/>
  <c r="S38" i="1"/>
  <c r="U38" i="1" s="1"/>
  <c r="E5" i="9"/>
  <c r="E4" i="9"/>
  <c r="E3" i="9"/>
  <c r="E2" i="9"/>
  <c r="C5" i="9"/>
  <c r="C4" i="9"/>
  <c r="C3" i="9"/>
  <c r="C2" i="9"/>
  <c r="S46" i="1"/>
  <c r="C9" i="9" l="1"/>
  <c r="C11" i="9"/>
  <c r="C8" i="9"/>
  <c r="C10" i="9"/>
  <c r="N31" i="3"/>
  <c r="O31" i="3" s="1"/>
  <c r="N30" i="3"/>
  <c r="O30" i="3" s="1"/>
  <c r="N29" i="3"/>
  <c r="O29" i="3" s="1"/>
  <c r="N28" i="3"/>
  <c r="O28" i="3" s="1"/>
  <c r="N27" i="3"/>
  <c r="O27" i="3" s="1"/>
  <c r="N26" i="3"/>
  <c r="O26" i="3" s="1"/>
  <c r="N25" i="3"/>
  <c r="O25" i="3" s="1"/>
  <c r="N24" i="3"/>
  <c r="O24" i="3" s="1"/>
  <c r="B114" i="4"/>
  <c r="AG42" i="1"/>
  <c r="AG43" i="1"/>
  <c r="C46" i="1"/>
  <c r="E46" i="1"/>
  <c r="F46" i="1"/>
  <c r="G46" i="1"/>
  <c r="I46" i="1"/>
  <c r="J46" i="1"/>
  <c r="K46" i="1"/>
  <c r="L46" i="1"/>
  <c r="M46" i="1"/>
  <c r="N46" i="1"/>
  <c r="O46" i="1"/>
  <c r="Q46" i="1"/>
  <c r="T46" i="1"/>
  <c r="Y46" i="1"/>
  <c r="AA46" i="1"/>
  <c r="AH46" i="1"/>
  <c r="AI46" i="1"/>
  <c r="B46" i="1"/>
  <c r="B91" i="4"/>
  <c r="O32" i="3" l="1"/>
  <c r="R45" i="1" s="1"/>
  <c r="R46" i="1" s="1"/>
  <c r="M28" i="1" l="1"/>
  <c r="M27" i="1"/>
  <c r="B21" i="4"/>
  <c r="I21" i="14"/>
  <c r="I20" i="14"/>
  <c r="I19" i="14"/>
  <c r="I18" i="14"/>
  <c r="I17" i="14"/>
  <c r="I16" i="14"/>
  <c r="I15" i="14"/>
  <c r="I14" i="14"/>
  <c r="I13" i="14"/>
  <c r="I12" i="14"/>
  <c r="I11" i="14"/>
  <c r="I10" i="14"/>
  <c r="I9" i="14"/>
  <c r="I8" i="14"/>
  <c r="I7" i="14"/>
  <c r="I6" i="14"/>
  <c r="AF27" i="1"/>
  <c r="AF28" i="1"/>
  <c r="AF29" i="1"/>
  <c r="AF30" i="1"/>
  <c r="AF31" i="1"/>
  <c r="AF32" i="1"/>
  <c r="AF33" i="1"/>
  <c r="AF34" i="1"/>
  <c r="AF35" i="1"/>
  <c r="AF38" i="1"/>
  <c r="AI38" i="1" s="1"/>
  <c r="C12" i="14"/>
  <c r="I6" i="12"/>
  <c r="I7" i="12"/>
  <c r="I8" i="12"/>
  <c r="I9" i="12"/>
  <c r="I10" i="12"/>
  <c r="I11" i="12"/>
  <c r="I12" i="12"/>
  <c r="L42" i="1"/>
  <c r="M42" i="1"/>
  <c r="L43" i="1"/>
  <c r="M43" i="1"/>
  <c r="N28" i="1"/>
  <c r="N29" i="1"/>
  <c r="N30" i="1"/>
  <c r="N31" i="1"/>
  <c r="N32" i="1"/>
  <c r="N33" i="1"/>
  <c r="N34" i="1"/>
  <c r="N35" i="1"/>
  <c r="N27" i="1"/>
  <c r="M29" i="1"/>
  <c r="M30" i="1"/>
  <c r="M31" i="1"/>
  <c r="M32" i="1"/>
  <c r="M33" i="1"/>
  <c r="M34" i="1"/>
  <c r="M35" i="1"/>
  <c r="L28" i="1"/>
  <c r="L29" i="1"/>
  <c r="L30" i="1"/>
  <c r="L31" i="1"/>
  <c r="L32" i="1"/>
  <c r="L33" i="1"/>
  <c r="L34" i="1"/>
  <c r="L35" i="1"/>
  <c r="L27" i="1"/>
  <c r="O32" i="1"/>
  <c r="O33" i="1"/>
  <c r="O34" i="1"/>
  <c r="O35" i="1"/>
  <c r="O31" i="1"/>
  <c r="O28" i="1"/>
  <c r="O29" i="1"/>
  <c r="O30" i="1"/>
  <c r="O27" i="1"/>
  <c r="O41" i="1" l="1"/>
  <c r="L41" i="1"/>
  <c r="M41" i="1"/>
  <c r="AI28" i="1"/>
  <c r="AH30" i="1"/>
  <c r="Z30" i="1"/>
  <c r="AH33" i="1"/>
  <c r="Z33" i="1"/>
  <c r="AH29" i="1"/>
  <c r="Z29" i="1"/>
  <c r="AH27" i="1"/>
  <c r="Z27" i="1"/>
  <c r="AH32" i="1"/>
  <c r="Z32" i="1"/>
  <c r="AH28" i="1"/>
  <c r="Z28" i="1"/>
  <c r="AH34" i="1"/>
  <c r="Z34" i="1"/>
  <c r="AH35" i="1"/>
  <c r="Z35" i="1"/>
  <c r="AH31" i="1"/>
  <c r="Z31" i="1"/>
  <c r="AI35" i="1"/>
  <c r="AI31" i="1"/>
  <c r="AI27" i="1"/>
  <c r="AI34" i="1"/>
  <c r="AI30" i="1"/>
  <c r="AI33" i="1"/>
  <c r="AI29" i="1"/>
  <c r="AI32" i="1"/>
  <c r="L24" i="12"/>
  <c r="N24" i="12" s="1"/>
  <c r="O24" i="12" s="1"/>
  <c r="B22" i="4"/>
  <c r="C7" i="14"/>
  <c r="C45" i="14" s="1"/>
  <c r="C10" i="14"/>
  <c r="B55" i="14" s="1"/>
  <c r="G67" i="14"/>
  <c r="H65" i="14"/>
  <c r="G60" i="14"/>
  <c r="H57" i="14"/>
  <c r="H53" i="14"/>
  <c r="H68" i="14"/>
  <c r="G65" i="14"/>
  <c r="H62" i="14"/>
  <c r="G57" i="14"/>
  <c r="G53" i="14"/>
  <c r="H66" i="14"/>
  <c r="G61" i="14"/>
  <c r="H63" i="14"/>
  <c r="H56" i="14"/>
  <c r="H67" i="14"/>
  <c r="H60" i="14"/>
  <c r="G68" i="14"/>
  <c r="G62" i="14"/>
  <c r="H59" i="14"/>
  <c r="H54" i="14"/>
  <c r="G58" i="14"/>
  <c r="G63" i="14"/>
  <c r="G56" i="14"/>
  <c r="H69" i="14"/>
  <c r="H64" i="14"/>
  <c r="G59" i="14"/>
  <c r="G54" i="14"/>
  <c r="H58" i="14"/>
  <c r="G55" i="14"/>
  <c r="G69" i="14"/>
  <c r="G64" i="14"/>
  <c r="H61" i="14"/>
  <c r="H55" i="14"/>
  <c r="G66" i="14"/>
  <c r="C11" i="14"/>
  <c r="C6" i="14"/>
  <c r="C8" i="14"/>
  <c r="C9" i="14"/>
  <c r="C46" i="14"/>
  <c r="C5" i="14"/>
  <c r="C9" i="12"/>
  <c r="L28" i="12" s="1"/>
  <c r="N28" i="12" s="1"/>
  <c r="O28" i="12" s="1"/>
  <c r="C8" i="12"/>
  <c r="L27" i="12" s="1"/>
  <c r="N27" i="12" s="1"/>
  <c r="O27" i="12" s="1"/>
  <c r="C12" i="12"/>
  <c r="L31" i="12" s="1"/>
  <c r="N31" i="12" s="1"/>
  <c r="O31" i="12" s="1"/>
  <c r="C11" i="12"/>
  <c r="L30" i="12" s="1"/>
  <c r="N30" i="12" s="1"/>
  <c r="O30" i="12" s="1"/>
  <c r="C7" i="12"/>
  <c r="L26" i="12" s="1"/>
  <c r="N26" i="12" s="1"/>
  <c r="O26" i="12" s="1"/>
  <c r="C10" i="12"/>
  <c r="L29" i="12" s="1"/>
  <c r="N29" i="12" s="1"/>
  <c r="O29" i="12" s="1"/>
  <c r="C6" i="12"/>
  <c r="L25" i="12" s="1"/>
  <c r="N25" i="12" s="1"/>
  <c r="O25" i="12" s="1"/>
  <c r="C52" i="14" l="1"/>
  <c r="C42" i="14"/>
  <c r="I55" i="14"/>
  <c r="B42" i="14"/>
  <c r="D42" i="14" s="1"/>
  <c r="B45" i="14"/>
  <c r="D45" i="14" s="1"/>
  <c r="C55" i="14"/>
  <c r="D55" i="14" s="1"/>
  <c r="C41" i="14"/>
  <c r="B56" i="14"/>
  <c r="C53" i="14"/>
  <c r="C57" i="14"/>
  <c r="I60" i="14"/>
  <c r="C56" i="14"/>
  <c r="B52" i="14"/>
  <c r="B46" i="14"/>
  <c r="B41" i="14"/>
  <c r="D41" i="14" s="1"/>
  <c r="C40" i="14"/>
  <c r="D40" i="14" s="1"/>
  <c r="B53" i="14"/>
  <c r="B54" i="14"/>
  <c r="B40" i="14"/>
  <c r="C43" i="14"/>
  <c r="C54" i="14"/>
  <c r="C13" i="14"/>
  <c r="B57" i="14"/>
  <c r="D57" i="14" s="1"/>
  <c r="O32" i="12"/>
  <c r="I65" i="14"/>
  <c r="I54" i="14"/>
  <c r="B43" i="14"/>
  <c r="H52" i="14"/>
  <c r="B44" i="14"/>
  <c r="L10" i="14" s="1"/>
  <c r="N16" i="1" s="1"/>
  <c r="I16" i="1" s="1"/>
  <c r="C44" i="14"/>
  <c r="G46" i="14"/>
  <c r="G42" i="14"/>
  <c r="H43" i="14"/>
  <c r="H41" i="14"/>
  <c r="G45" i="14"/>
  <c r="G41" i="14"/>
  <c r="H42" i="14"/>
  <c r="G43" i="14"/>
  <c r="L20" i="14" s="1"/>
  <c r="N26" i="1" s="1"/>
  <c r="I26" i="1" s="1"/>
  <c r="H46" i="14"/>
  <c r="H44" i="14"/>
  <c r="H40" i="14"/>
  <c r="H45" i="14"/>
  <c r="G44" i="14"/>
  <c r="G40" i="14"/>
  <c r="B32" i="14"/>
  <c r="C33" i="14"/>
  <c r="C29" i="14"/>
  <c r="B33" i="14"/>
  <c r="B29" i="14"/>
  <c r="C34" i="14"/>
  <c r="C30" i="14"/>
  <c r="B34" i="14"/>
  <c r="B30" i="14"/>
  <c r="B31" i="14"/>
  <c r="C32" i="14"/>
  <c r="C31" i="14"/>
  <c r="L12" i="14"/>
  <c r="N18" i="1" s="1"/>
  <c r="I18" i="1" s="1"/>
  <c r="I58" i="14"/>
  <c r="G34" i="14"/>
  <c r="G30" i="14"/>
  <c r="H31" i="14"/>
  <c r="H29" i="14"/>
  <c r="H34" i="14"/>
  <c r="G31" i="14"/>
  <c r="I31" i="14" s="1"/>
  <c r="G33" i="14"/>
  <c r="H30" i="14"/>
  <c r="H32" i="14"/>
  <c r="H28" i="14"/>
  <c r="H33" i="14"/>
  <c r="G29" i="14"/>
  <c r="I29" i="14" s="1"/>
  <c r="G32" i="14"/>
  <c r="G28" i="14"/>
  <c r="I66" i="14"/>
  <c r="I59" i="14"/>
  <c r="L13" i="14"/>
  <c r="N19" i="1" s="1"/>
  <c r="I19" i="1" s="1"/>
  <c r="I61" i="14"/>
  <c r="I62" i="14"/>
  <c r="L18" i="14"/>
  <c r="N24" i="1" s="1"/>
  <c r="I24" i="1" s="1"/>
  <c r="B73" i="14"/>
  <c r="C70" i="14"/>
  <c r="B70" i="14"/>
  <c r="B68" i="14"/>
  <c r="B71" i="14"/>
  <c r="C73" i="14"/>
  <c r="C72" i="14"/>
  <c r="C71" i="14"/>
  <c r="C69" i="14"/>
  <c r="B72" i="14"/>
  <c r="C68" i="14"/>
  <c r="B69" i="14"/>
  <c r="I68" i="14"/>
  <c r="I53" i="14"/>
  <c r="C22" i="14"/>
  <c r="B22" i="14"/>
  <c r="C20" i="14"/>
  <c r="B20" i="14"/>
  <c r="C19" i="14"/>
  <c r="C21" i="14"/>
  <c r="B23" i="14"/>
  <c r="C23" i="14"/>
  <c r="B21" i="14"/>
  <c r="B19" i="14"/>
  <c r="I64" i="14"/>
  <c r="I56" i="14"/>
  <c r="G52" i="14"/>
  <c r="N10" i="1" s="1"/>
  <c r="I10" i="1" s="1"/>
  <c r="I57" i="14"/>
  <c r="I67" i="14"/>
  <c r="D46" i="14"/>
  <c r="I69" i="14"/>
  <c r="I63" i="14"/>
  <c r="D56" i="14" l="1"/>
  <c r="D52" i="14"/>
  <c r="C51" i="14"/>
  <c r="Z46" i="1"/>
  <c r="Z45" i="1"/>
  <c r="D53" i="14"/>
  <c r="D43" i="14"/>
  <c r="D54" i="14"/>
  <c r="B51" i="14"/>
  <c r="N8" i="1" s="1"/>
  <c r="I8" i="1" s="1"/>
  <c r="L9" i="14"/>
  <c r="N15" i="1" s="1"/>
  <c r="I15" i="1" s="1"/>
  <c r="L5" i="14"/>
  <c r="N11" i="1" s="1"/>
  <c r="I11" i="1" s="1"/>
  <c r="C39" i="14"/>
  <c r="B39" i="14"/>
  <c r="I32" i="14"/>
  <c r="D72" i="14"/>
  <c r="D44" i="14"/>
  <c r="C67" i="14"/>
  <c r="D73" i="14"/>
  <c r="D30" i="14"/>
  <c r="D70" i="14"/>
  <c r="H39" i="14"/>
  <c r="C28" i="14"/>
  <c r="C18" i="14"/>
  <c r="H27" i="14"/>
  <c r="I30" i="14"/>
  <c r="D69" i="14"/>
  <c r="D71" i="14"/>
  <c r="I28" i="14"/>
  <c r="G27" i="14"/>
  <c r="N6" i="1" s="1"/>
  <c r="I6" i="1" s="1"/>
  <c r="I44" i="14"/>
  <c r="L14" i="14"/>
  <c r="N20" i="1" s="1"/>
  <c r="I20" i="1" s="1"/>
  <c r="I41" i="14"/>
  <c r="D21" i="14"/>
  <c r="L11" i="14"/>
  <c r="N17" i="1" s="1"/>
  <c r="I17" i="1" s="1"/>
  <c r="D19" i="14"/>
  <c r="L7" i="14"/>
  <c r="N13" i="1" s="1"/>
  <c r="I13" i="1" s="1"/>
  <c r="I45" i="14"/>
  <c r="B28" i="14"/>
  <c r="D29" i="14"/>
  <c r="L8" i="14"/>
  <c r="N14" i="1" s="1"/>
  <c r="I14" i="1" s="1"/>
  <c r="I52" i="14"/>
  <c r="L6" i="14"/>
  <c r="N12" i="1" s="1"/>
  <c r="I12" i="1" s="1"/>
  <c r="D20" i="14"/>
  <c r="D33" i="14"/>
  <c r="L16" i="14"/>
  <c r="N22" i="1" s="1"/>
  <c r="I22" i="1" s="1"/>
  <c r="D23" i="14"/>
  <c r="B18" i="14"/>
  <c r="N3" i="1" s="1"/>
  <c r="D22" i="14"/>
  <c r="L17" i="14"/>
  <c r="N23" i="1" s="1"/>
  <c r="I23" i="1" s="1"/>
  <c r="B67" i="14"/>
  <c r="D68" i="14"/>
  <c r="L15" i="14"/>
  <c r="N21" i="1" s="1"/>
  <c r="I21" i="1" s="1"/>
  <c r="D31" i="14"/>
  <c r="G39" i="14"/>
  <c r="N7" i="1" s="1"/>
  <c r="I7" i="1" s="1"/>
  <c r="L19" i="14"/>
  <c r="N25" i="1" s="1"/>
  <c r="I25" i="1" s="1"/>
  <c r="I42" i="14"/>
  <c r="D32" i="14"/>
  <c r="I43" i="14"/>
  <c r="I46" i="14"/>
  <c r="I33" i="14"/>
  <c r="I34" i="14"/>
  <c r="D34" i="14"/>
  <c r="I40" i="14"/>
  <c r="D51" i="14" l="1"/>
  <c r="D28" i="14"/>
  <c r="N4" i="1"/>
  <c r="I4" i="1" s="1"/>
  <c r="D39" i="14"/>
  <c r="N5" i="1"/>
  <c r="I5" i="1" s="1"/>
  <c r="N43" i="1"/>
  <c r="I3" i="1"/>
  <c r="D67" i="14"/>
  <c r="N9" i="1"/>
  <c r="I9" i="1" s="1"/>
  <c r="I39" i="14"/>
  <c r="G74" i="14"/>
  <c r="D18" i="14"/>
  <c r="I27" i="14"/>
  <c r="N41" i="1" l="1"/>
  <c r="N42" i="1"/>
  <c r="C10" i="13"/>
  <c r="L29" i="13" s="1"/>
  <c r="N29" i="13" s="1"/>
  <c r="O29" i="13" s="1"/>
  <c r="I21" i="13"/>
  <c r="I20" i="13"/>
  <c r="I19" i="13"/>
  <c r="I18" i="13"/>
  <c r="I17" i="13"/>
  <c r="I16" i="13"/>
  <c r="I15" i="13"/>
  <c r="I14" i="13"/>
  <c r="I13" i="13"/>
  <c r="B13" i="13"/>
  <c r="I12" i="13"/>
  <c r="I11" i="13"/>
  <c r="I10" i="13"/>
  <c r="I9" i="13"/>
  <c r="I8" i="13"/>
  <c r="I7" i="13"/>
  <c r="I6" i="13"/>
  <c r="B13" i="12"/>
  <c r="I21" i="12"/>
  <c r="I20" i="12"/>
  <c r="I19" i="12"/>
  <c r="I18" i="12"/>
  <c r="I17" i="12"/>
  <c r="I16" i="12"/>
  <c r="I15" i="12"/>
  <c r="I14" i="12"/>
  <c r="I13" i="12"/>
  <c r="D7" i="11"/>
  <c r="B17" i="10"/>
  <c r="C17" i="10" s="1"/>
  <c r="D7" i="10"/>
  <c r="B16" i="10" l="1"/>
  <c r="C16" i="10" s="1"/>
  <c r="C54" i="12"/>
  <c r="B45" i="12"/>
  <c r="B29" i="12"/>
  <c r="C23" i="12"/>
  <c r="G34" i="12"/>
  <c r="G29" i="12"/>
  <c r="H34" i="12"/>
  <c r="H32" i="12"/>
  <c r="H30" i="12"/>
  <c r="H66" i="12"/>
  <c r="C69" i="12"/>
  <c r="G40" i="12"/>
  <c r="C55" i="13"/>
  <c r="B55" i="13"/>
  <c r="C56" i="13"/>
  <c r="C52" i="13"/>
  <c r="B56" i="13"/>
  <c r="B52" i="13"/>
  <c r="C57" i="13"/>
  <c r="C53" i="13"/>
  <c r="B57" i="13"/>
  <c r="B53" i="13"/>
  <c r="B54" i="13"/>
  <c r="C54" i="13"/>
  <c r="C5" i="13"/>
  <c r="L24" i="13" s="1"/>
  <c r="N24" i="13" s="1"/>
  <c r="O24" i="13" s="1"/>
  <c r="C8" i="13"/>
  <c r="L27" i="13" s="1"/>
  <c r="N27" i="13" s="1"/>
  <c r="O27" i="13" s="1"/>
  <c r="C11" i="13"/>
  <c r="L30" i="13" s="1"/>
  <c r="N30" i="13" s="1"/>
  <c r="O30" i="13" s="1"/>
  <c r="C6" i="13"/>
  <c r="L25" i="13" s="1"/>
  <c r="N25" i="13" s="1"/>
  <c r="O25" i="13" s="1"/>
  <c r="C9" i="13"/>
  <c r="L28" i="13" s="1"/>
  <c r="N28" i="13" s="1"/>
  <c r="O28" i="13" s="1"/>
  <c r="C12" i="13"/>
  <c r="L31" i="13" s="1"/>
  <c r="N31" i="13" s="1"/>
  <c r="O31" i="13" s="1"/>
  <c r="C7" i="13"/>
  <c r="L26" i="13" s="1"/>
  <c r="N26" i="13" s="1"/>
  <c r="O26" i="13" s="1"/>
  <c r="G31" i="12"/>
  <c r="G28" i="12"/>
  <c r="H31" i="12"/>
  <c r="H28" i="12"/>
  <c r="G32" i="12"/>
  <c r="H29" i="12"/>
  <c r="G33" i="12"/>
  <c r="H33" i="12"/>
  <c r="G30" i="12"/>
  <c r="C42" i="12"/>
  <c r="G31" i="1"/>
  <c r="G32" i="1"/>
  <c r="G33" i="1"/>
  <c r="G34" i="1"/>
  <c r="G35" i="1"/>
  <c r="G38" i="1"/>
  <c r="K38" i="1" s="1"/>
  <c r="B110" i="4"/>
  <c r="B106" i="4"/>
  <c r="M25" i="2"/>
  <c r="M28" i="2" s="1"/>
  <c r="B101" i="4" s="1"/>
  <c r="P45" i="1" l="1"/>
  <c r="P46" i="1" s="1"/>
  <c r="O32" i="13"/>
  <c r="AG46" i="1" s="1"/>
  <c r="H60" i="12"/>
  <c r="B43" i="12"/>
  <c r="G58" i="12"/>
  <c r="L12" i="12" s="1"/>
  <c r="G56" i="12"/>
  <c r="C45" i="12"/>
  <c r="D45" i="12" s="1"/>
  <c r="G66" i="12"/>
  <c r="I66" i="12" s="1"/>
  <c r="H58" i="12"/>
  <c r="B40" i="12"/>
  <c r="C44" i="12"/>
  <c r="B46" i="12"/>
  <c r="B44" i="12"/>
  <c r="G64" i="12"/>
  <c r="C43" i="12"/>
  <c r="G62" i="12"/>
  <c r="L18" i="12" s="1"/>
  <c r="B41" i="12"/>
  <c r="C41" i="12"/>
  <c r="H65" i="12"/>
  <c r="H69" i="12"/>
  <c r="B32" i="12"/>
  <c r="B71" i="12"/>
  <c r="H64" i="12"/>
  <c r="B30" i="12"/>
  <c r="C34" i="12"/>
  <c r="C33" i="12"/>
  <c r="B31" i="12"/>
  <c r="B42" i="12"/>
  <c r="D42" i="12" s="1"/>
  <c r="H61" i="12"/>
  <c r="G57" i="12"/>
  <c r="C31" i="12"/>
  <c r="C46" i="12"/>
  <c r="C40" i="12"/>
  <c r="G68" i="12"/>
  <c r="H67" i="12"/>
  <c r="B33" i="12"/>
  <c r="C29" i="12"/>
  <c r="D29" i="12" s="1"/>
  <c r="C22" i="12"/>
  <c r="C19" i="12"/>
  <c r="B19" i="12"/>
  <c r="I31" i="12"/>
  <c r="B22" i="12"/>
  <c r="B21" i="12"/>
  <c r="C55" i="12"/>
  <c r="B55" i="12"/>
  <c r="I30" i="12"/>
  <c r="B20" i="12"/>
  <c r="C56" i="12"/>
  <c r="I34" i="12"/>
  <c r="I29" i="12"/>
  <c r="B56" i="12"/>
  <c r="B52" i="12"/>
  <c r="B57" i="12"/>
  <c r="H45" i="12"/>
  <c r="G41" i="12"/>
  <c r="H40" i="12"/>
  <c r="I40" i="12" s="1"/>
  <c r="I32" i="12"/>
  <c r="C21" i="12"/>
  <c r="B23" i="12"/>
  <c r="D23" i="12" s="1"/>
  <c r="G42" i="12"/>
  <c r="G45" i="12"/>
  <c r="G44" i="12"/>
  <c r="B69" i="12"/>
  <c r="D69" i="12" s="1"/>
  <c r="C72" i="12"/>
  <c r="B68" i="12"/>
  <c r="B70" i="12"/>
  <c r="C71" i="12"/>
  <c r="H27" i="12"/>
  <c r="I28" i="12"/>
  <c r="B34" i="12"/>
  <c r="C32" i="12"/>
  <c r="C20" i="12"/>
  <c r="C30" i="12"/>
  <c r="C68" i="12"/>
  <c r="B54" i="12"/>
  <c r="D54" i="12" s="1"/>
  <c r="C53" i="12"/>
  <c r="C57" i="12"/>
  <c r="C52" i="12"/>
  <c r="B53" i="12"/>
  <c r="H46" i="12"/>
  <c r="H44" i="12"/>
  <c r="H42" i="12"/>
  <c r="H57" i="12"/>
  <c r="H55" i="12"/>
  <c r="H63" i="12"/>
  <c r="H62" i="12"/>
  <c r="G43" i="12"/>
  <c r="H56" i="12"/>
  <c r="H68" i="12"/>
  <c r="H53" i="12"/>
  <c r="G60" i="12"/>
  <c r="I60" i="12" s="1"/>
  <c r="G54" i="12"/>
  <c r="C70" i="12"/>
  <c r="C73" i="12"/>
  <c r="B72" i="12"/>
  <c r="B73" i="12"/>
  <c r="H41" i="12"/>
  <c r="H54" i="12"/>
  <c r="G65" i="12"/>
  <c r="I65" i="12" s="1"/>
  <c r="G63" i="12"/>
  <c r="G55" i="12"/>
  <c r="G59" i="12"/>
  <c r="L13" i="12" s="1"/>
  <c r="G46" i="12"/>
  <c r="H43" i="12"/>
  <c r="G69" i="12"/>
  <c r="G61" i="12"/>
  <c r="H59" i="12"/>
  <c r="G67" i="12"/>
  <c r="G53" i="12"/>
  <c r="D56" i="13"/>
  <c r="C51" i="13"/>
  <c r="B51" i="13"/>
  <c r="AA8" i="1" s="1"/>
  <c r="D55" i="13"/>
  <c r="C22" i="13"/>
  <c r="B22" i="13"/>
  <c r="C20" i="13"/>
  <c r="B20" i="13"/>
  <c r="B19" i="13"/>
  <c r="C21" i="13"/>
  <c r="C23" i="13"/>
  <c r="B21" i="13"/>
  <c r="B23" i="13"/>
  <c r="C19" i="13"/>
  <c r="H34" i="13"/>
  <c r="H30" i="13"/>
  <c r="G34" i="13"/>
  <c r="G30" i="13"/>
  <c r="H31" i="13"/>
  <c r="G31" i="13"/>
  <c r="G29" i="13"/>
  <c r="H32" i="13"/>
  <c r="H28" i="13"/>
  <c r="G33" i="13"/>
  <c r="G32" i="13"/>
  <c r="G28" i="13"/>
  <c r="H33" i="13"/>
  <c r="H29" i="13"/>
  <c r="D52" i="13"/>
  <c r="H46" i="13"/>
  <c r="H42" i="13"/>
  <c r="G46" i="13"/>
  <c r="G42" i="13"/>
  <c r="H43" i="13"/>
  <c r="G43" i="13"/>
  <c r="H44" i="13"/>
  <c r="H40" i="13"/>
  <c r="G45" i="13"/>
  <c r="G44" i="13"/>
  <c r="G40" i="13"/>
  <c r="H45" i="13"/>
  <c r="H41" i="13"/>
  <c r="G41" i="13"/>
  <c r="B44" i="13"/>
  <c r="B40" i="13"/>
  <c r="C45" i="13"/>
  <c r="C41" i="13"/>
  <c r="B45" i="13"/>
  <c r="B41" i="13"/>
  <c r="C46" i="13"/>
  <c r="C42" i="13"/>
  <c r="B46" i="13"/>
  <c r="B42" i="13"/>
  <c r="C43" i="13"/>
  <c r="C44" i="13"/>
  <c r="C40" i="13"/>
  <c r="B43" i="13"/>
  <c r="D54" i="13"/>
  <c r="B32" i="13"/>
  <c r="C33" i="13"/>
  <c r="C29" i="13"/>
  <c r="B33" i="13"/>
  <c r="B29" i="13"/>
  <c r="C34" i="13"/>
  <c r="C30" i="13"/>
  <c r="B34" i="13"/>
  <c r="B30" i="13"/>
  <c r="C31" i="13"/>
  <c r="B31" i="13"/>
  <c r="C32" i="13"/>
  <c r="D53" i="13"/>
  <c r="H67" i="13"/>
  <c r="G63" i="13"/>
  <c r="H60" i="13"/>
  <c r="G56" i="13"/>
  <c r="G67" i="13"/>
  <c r="H65" i="13"/>
  <c r="G60" i="13"/>
  <c r="H57" i="13"/>
  <c r="H53" i="13"/>
  <c r="H68" i="13"/>
  <c r="G65" i="13"/>
  <c r="H62" i="13"/>
  <c r="G57" i="13"/>
  <c r="G53" i="13"/>
  <c r="G68" i="13"/>
  <c r="G62" i="13"/>
  <c r="H59" i="13"/>
  <c r="H54" i="13"/>
  <c r="H63" i="13"/>
  <c r="H56" i="13"/>
  <c r="H69" i="13"/>
  <c r="H64" i="13"/>
  <c r="G59" i="13"/>
  <c r="G54" i="13"/>
  <c r="G69" i="13"/>
  <c r="G64" i="13"/>
  <c r="H61" i="13"/>
  <c r="H55" i="13"/>
  <c r="G66" i="13"/>
  <c r="G58" i="13"/>
  <c r="H66" i="13"/>
  <c r="G61" i="13"/>
  <c r="H58" i="13"/>
  <c r="G55" i="13"/>
  <c r="C73" i="13"/>
  <c r="B69" i="13"/>
  <c r="B73" i="13"/>
  <c r="C70" i="13"/>
  <c r="B70" i="13"/>
  <c r="C72" i="13"/>
  <c r="B72" i="13"/>
  <c r="C69" i="13"/>
  <c r="C68" i="13"/>
  <c r="C71" i="13"/>
  <c r="B68" i="13"/>
  <c r="B71" i="13"/>
  <c r="D57" i="13"/>
  <c r="I33" i="12"/>
  <c r="G27" i="12"/>
  <c r="B98" i="4"/>
  <c r="B99" i="4" s="1"/>
  <c r="AG45" i="1" l="1"/>
  <c r="I58" i="12"/>
  <c r="D46" i="12"/>
  <c r="I56" i="12"/>
  <c r="I64" i="12"/>
  <c r="D43" i="12"/>
  <c r="Y24" i="1"/>
  <c r="Y19" i="1"/>
  <c r="Y18" i="1"/>
  <c r="D41" i="12"/>
  <c r="D44" i="12"/>
  <c r="L5" i="12"/>
  <c r="D40" i="12"/>
  <c r="L20" i="12"/>
  <c r="I62" i="12"/>
  <c r="I57" i="12"/>
  <c r="D71" i="12"/>
  <c r="D32" i="12"/>
  <c r="D21" i="12"/>
  <c r="L11" i="12"/>
  <c r="D30" i="12"/>
  <c r="B39" i="12"/>
  <c r="I68" i="12"/>
  <c r="D19" i="12"/>
  <c r="D31" i="12"/>
  <c r="D33" i="12"/>
  <c r="D34" i="12"/>
  <c r="C39" i="12"/>
  <c r="D22" i="12"/>
  <c r="D20" i="12"/>
  <c r="I67" i="12"/>
  <c r="L6" i="12"/>
  <c r="D68" i="12"/>
  <c r="D55" i="12"/>
  <c r="I46" i="12"/>
  <c r="I69" i="12"/>
  <c r="I63" i="12"/>
  <c r="L17" i="12"/>
  <c r="I54" i="12"/>
  <c r="I41" i="12"/>
  <c r="I61" i="12"/>
  <c r="I45" i="12"/>
  <c r="I44" i="12"/>
  <c r="C18" i="12"/>
  <c r="I55" i="12"/>
  <c r="D70" i="12"/>
  <c r="D57" i="12"/>
  <c r="G39" i="12"/>
  <c r="D56" i="12"/>
  <c r="D72" i="12"/>
  <c r="L9" i="12"/>
  <c r="L10" i="12"/>
  <c r="D52" i="12"/>
  <c r="C67" i="12"/>
  <c r="B67" i="12"/>
  <c r="L15" i="12"/>
  <c r="I42" i="12"/>
  <c r="C51" i="12"/>
  <c r="C28" i="12"/>
  <c r="B18" i="12"/>
  <c r="D69" i="13"/>
  <c r="I43" i="12"/>
  <c r="H39" i="12"/>
  <c r="I41" i="13"/>
  <c r="I43" i="13"/>
  <c r="L16" i="12"/>
  <c r="B28" i="12"/>
  <c r="I68" i="13"/>
  <c r="I60" i="13"/>
  <c r="L7" i="12"/>
  <c r="G52" i="12"/>
  <c r="D53" i="12"/>
  <c r="D71" i="13"/>
  <c r="I29" i="13"/>
  <c r="I59" i="12"/>
  <c r="D68" i="13"/>
  <c r="D73" i="13"/>
  <c r="D46" i="13"/>
  <c r="D51" i="13"/>
  <c r="I53" i="12"/>
  <c r="B51" i="12"/>
  <c r="H52" i="12"/>
  <c r="L8" i="12"/>
  <c r="I27" i="12"/>
  <c r="Y6" i="1"/>
  <c r="D73" i="12"/>
  <c r="L19" i="12"/>
  <c r="L14" i="12"/>
  <c r="I61" i="13"/>
  <c r="I54" i="13"/>
  <c r="D70" i="13"/>
  <c r="D33" i="13"/>
  <c r="G52" i="13"/>
  <c r="H39" i="13"/>
  <c r="I56" i="13"/>
  <c r="G39" i="13"/>
  <c r="AA7" i="1" s="1"/>
  <c r="H27" i="13"/>
  <c r="I31" i="13"/>
  <c r="C67" i="13"/>
  <c r="C28" i="13"/>
  <c r="I55" i="13"/>
  <c r="I63" i="13"/>
  <c r="D43" i="13"/>
  <c r="D41" i="13"/>
  <c r="I28" i="13"/>
  <c r="I69" i="13"/>
  <c r="H52" i="13"/>
  <c r="C39" i="13"/>
  <c r="D45" i="13"/>
  <c r="I40" i="13"/>
  <c r="C18" i="13"/>
  <c r="L7" i="13"/>
  <c r="AA13" i="1" s="1"/>
  <c r="D19" i="13"/>
  <c r="I59" i="13"/>
  <c r="L13" i="13"/>
  <c r="AA19" i="1" s="1"/>
  <c r="D29" i="13"/>
  <c r="L8" i="13"/>
  <c r="AA14" i="1" s="1"/>
  <c r="G27" i="13"/>
  <c r="D44" i="13"/>
  <c r="L10" i="13"/>
  <c r="AA16" i="1" s="1"/>
  <c r="L12" i="13"/>
  <c r="AA18" i="1" s="1"/>
  <c r="I58" i="13"/>
  <c r="I67" i="13"/>
  <c r="L15" i="13"/>
  <c r="AA21" i="1" s="1"/>
  <c r="D31" i="13"/>
  <c r="D23" i="13"/>
  <c r="L16" i="13"/>
  <c r="AA22" i="1" s="1"/>
  <c r="I66" i="13"/>
  <c r="L20" i="13"/>
  <c r="AA26" i="1" s="1"/>
  <c r="I57" i="13"/>
  <c r="B67" i="13"/>
  <c r="AA9" i="1" s="1"/>
  <c r="I44" i="13"/>
  <c r="L14" i="13"/>
  <c r="AA20" i="1" s="1"/>
  <c r="L19" i="13"/>
  <c r="AA25" i="1" s="1"/>
  <c r="I42" i="13"/>
  <c r="I32" i="13"/>
  <c r="D21" i="13"/>
  <c r="L11" i="13"/>
  <c r="AA17" i="1" s="1"/>
  <c r="D22" i="13"/>
  <c r="L17" i="13"/>
  <c r="AA23" i="1" s="1"/>
  <c r="I53" i="13"/>
  <c r="D20" i="13"/>
  <c r="L6" i="13"/>
  <c r="AA12" i="1" s="1"/>
  <c r="I65" i="13"/>
  <c r="D30" i="13"/>
  <c r="B28" i="13"/>
  <c r="I45" i="13"/>
  <c r="I46" i="13"/>
  <c r="I33" i="13"/>
  <c r="I30" i="13"/>
  <c r="L18" i="13"/>
  <c r="AA24" i="1" s="1"/>
  <c r="I62" i="13"/>
  <c r="B39" i="13"/>
  <c r="D72" i="13"/>
  <c r="I64" i="13"/>
  <c r="D34" i="13"/>
  <c r="D32" i="13"/>
  <c r="L9" i="13"/>
  <c r="AA15" i="1" s="1"/>
  <c r="D42" i="13"/>
  <c r="L5" i="13"/>
  <c r="AA11" i="1" s="1"/>
  <c r="D40" i="13"/>
  <c r="I34" i="13"/>
  <c r="B18" i="13"/>
  <c r="D43" i="1"/>
  <c r="I43" i="1"/>
  <c r="O43" i="1"/>
  <c r="P43" i="1"/>
  <c r="R43" i="1"/>
  <c r="B43" i="1"/>
  <c r="C42" i="1"/>
  <c r="D42" i="1"/>
  <c r="I42" i="1"/>
  <c r="O42" i="1"/>
  <c r="P42" i="1"/>
  <c r="R42" i="1"/>
  <c r="S42" i="1"/>
  <c r="Y14" i="1" l="1"/>
  <c r="Y4" i="1"/>
  <c r="Y15" i="1"/>
  <c r="Y21" i="1"/>
  <c r="Y7" i="1"/>
  <c r="Y12" i="1"/>
  <c r="Y25" i="1"/>
  <c r="Y10" i="1"/>
  <c r="Y9" i="1"/>
  <c r="Y13" i="1"/>
  <c r="Y23" i="1"/>
  <c r="Y5" i="1"/>
  <c r="Y26" i="1"/>
  <c r="Y22" i="1"/>
  <c r="Y20" i="1"/>
  <c r="Y3" i="1"/>
  <c r="Y16" i="1"/>
  <c r="Y17" i="1"/>
  <c r="Y11" i="1"/>
  <c r="D39" i="12"/>
  <c r="D67" i="12"/>
  <c r="I39" i="12"/>
  <c r="D28" i="12"/>
  <c r="I52" i="12"/>
  <c r="D18" i="12"/>
  <c r="I39" i="13"/>
  <c r="Y8" i="1"/>
  <c r="D51" i="12"/>
  <c r="I27" i="13"/>
  <c r="AA6" i="1"/>
  <c r="I52" i="13"/>
  <c r="AA10" i="1"/>
  <c r="D18" i="13"/>
  <c r="AA3" i="1"/>
  <c r="D28" i="13"/>
  <c r="AA4" i="1"/>
  <c r="D39" i="13"/>
  <c r="AA5" i="1"/>
  <c r="D67" i="13"/>
  <c r="I21" i="6"/>
  <c r="I20" i="6"/>
  <c r="I19" i="6"/>
  <c r="I18" i="6"/>
  <c r="I17" i="6"/>
  <c r="I16" i="6"/>
  <c r="I15" i="6"/>
  <c r="I14" i="6"/>
  <c r="I13" i="6"/>
  <c r="I12" i="6"/>
  <c r="I11" i="6"/>
  <c r="I10" i="6"/>
  <c r="I9" i="6"/>
  <c r="I8" i="6"/>
  <c r="I7" i="6"/>
  <c r="I6" i="6"/>
  <c r="Z3" i="1" l="1"/>
  <c r="Y41" i="1"/>
  <c r="AA41" i="1"/>
  <c r="AH3" i="1"/>
  <c r="H62" i="3"/>
  <c r="G62" i="3"/>
  <c r="L18" i="3" s="1"/>
  <c r="Q24" i="1" s="1"/>
  <c r="H60" i="3"/>
  <c r="G60" i="3"/>
  <c r="H61" i="3"/>
  <c r="G61" i="3"/>
  <c r="H59" i="3"/>
  <c r="G59" i="3"/>
  <c r="H58" i="3"/>
  <c r="G58" i="3"/>
  <c r="I6" i="2"/>
  <c r="I7" i="2"/>
  <c r="I8" i="2"/>
  <c r="I9" i="2"/>
  <c r="I10" i="2"/>
  <c r="I11" i="2"/>
  <c r="I12" i="2"/>
  <c r="B26" i="4"/>
  <c r="I7" i="3"/>
  <c r="I8" i="3"/>
  <c r="I9" i="3"/>
  <c r="I10" i="3"/>
  <c r="I11" i="3"/>
  <c r="I12" i="3"/>
  <c r="I13" i="3"/>
  <c r="I14" i="3"/>
  <c r="I15" i="3"/>
  <c r="I16" i="3"/>
  <c r="I17" i="3"/>
  <c r="I18" i="3"/>
  <c r="I19" i="3"/>
  <c r="I20" i="3"/>
  <c r="I21" i="3"/>
  <c r="I6" i="3"/>
  <c r="I13" i="2"/>
  <c r="I14" i="2"/>
  <c r="I15" i="2"/>
  <c r="I16" i="2"/>
  <c r="I17" i="2"/>
  <c r="I18" i="2"/>
  <c r="I19" i="2"/>
  <c r="I20" i="2"/>
  <c r="I21" i="2"/>
  <c r="B70" i="3"/>
  <c r="G68" i="3"/>
  <c r="G64" i="3"/>
  <c r="B57" i="3"/>
  <c r="G55" i="3"/>
  <c r="C52" i="3"/>
  <c r="B46" i="3"/>
  <c r="G44" i="3"/>
  <c r="C41" i="3"/>
  <c r="H33" i="3"/>
  <c r="H31" i="3"/>
  <c r="H29" i="3"/>
  <c r="C73" i="3"/>
  <c r="C55" i="3"/>
  <c r="G33" i="3"/>
  <c r="C44" i="3"/>
  <c r="C33" i="3"/>
  <c r="X24" i="1" l="1"/>
  <c r="I58" i="3"/>
  <c r="I61" i="3"/>
  <c r="I33" i="3"/>
  <c r="I60" i="3"/>
  <c r="L12" i="3"/>
  <c r="Q18" i="1" s="1"/>
  <c r="I59" i="3"/>
  <c r="B28" i="9"/>
  <c r="S24" i="1"/>
  <c r="L13" i="3"/>
  <c r="Q19" i="1" s="1"/>
  <c r="L14" i="3"/>
  <c r="Q20" i="1" s="1"/>
  <c r="I62" i="3"/>
  <c r="I27" i="1"/>
  <c r="I28" i="1"/>
  <c r="K28" i="1" s="1"/>
  <c r="I29" i="1"/>
  <c r="K29" i="1" s="1"/>
  <c r="I30" i="1"/>
  <c r="K30" i="1" s="1"/>
  <c r="I33" i="1"/>
  <c r="K33" i="1" s="1"/>
  <c r="I31" i="1"/>
  <c r="K31" i="1" s="1"/>
  <c r="C9" i="2"/>
  <c r="C5" i="2"/>
  <c r="C21" i="25" s="1"/>
  <c r="I34" i="1"/>
  <c r="K34" i="1" s="1"/>
  <c r="I32" i="1"/>
  <c r="I35" i="1"/>
  <c r="K35" i="1" s="1"/>
  <c r="C12" i="2"/>
  <c r="C8" i="2"/>
  <c r="C11" i="2"/>
  <c r="C27" i="25" s="1"/>
  <c r="C7" i="2"/>
  <c r="C23" i="25" s="1"/>
  <c r="C10" i="2"/>
  <c r="C26" i="25" s="1"/>
  <c r="C6" i="2"/>
  <c r="C22" i="25" s="1"/>
  <c r="B30" i="3"/>
  <c r="B32" i="3"/>
  <c r="B34" i="3"/>
  <c r="G41" i="3"/>
  <c r="B43" i="3"/>
  <c r="H44" i="3"/>
  <c r="I44" i="3" s="1"/>
  <c r="C46" i="3"/>
  <c r="D46" i="3" s="1"/>
  <c r="B54" i="3"/>
  <c r="H55" i="3"/>
  <c r="I55" i="3" s="1"/>
  <c r="C57" i="3"/>
  <c r="D57" i="3" s="1"/>
  <c r="H64" i="3"/>
  <c r="I64" i="3" s="1"/>
  <c r="H68" i="3"/>
  <c r="I68" i="3" s="1"/>
  <c r="C70" i="3"/>
  <c r="D70" i="3" s="1"/>
  <c r="C30" i="3"/>
  <c r="C32" i="3"/>
  <c r="C34" i="3"/>
  <c r="B40" i="3"/>
  <c r="H41" i="3"/>
  <c r="C43" i="3"/>
  <c r="G46" i="3"/>
  <c r="C54" i="3"/>
  <c r="G57" i="3"/>
  <c r="B71" i="3"/>
  <c r="G28" i="3"/>
  <c r="G30" i="3"/>
  <c r="G32" i="3"/>
  <c r="G34" i="3"/>
  <c r="C40" i="3"/>
  <c r="G43" i="3"/>
  <c r="B45" i="3"/>
  <c r="H46" i="3"/>
  <c r="G54" i="3"/>
  <c r="B56" i="3"/>
  <c r="H57" i="3"/>
  <c r="G65" i="3"/>
  <c r="G67" i="3"/>
  <c r="B69" i="3"/>
  <c r="C71" i="3"/>
  <c r="H28" i="3"/>
  <c r="H30" i="3"/>
  <c r="H32" i="3"/>
  <c r="H34" i="3"/>
  <c r="G40" i="3"/>
  <c r="B42" i="3"/>
  <c r="H43" i="3"/>
  <c r="C45" i="3"/>
  <c r="B53" i="3"/>
  <c r="H54" i="3"/>
  <c r="C56" i="3"/>
  <c r="H65" i="3"/>
  <c r="H67" i="3"/>
  <c r="C69" i="3"/>
  <c r="B72" i="3"/>
  <c r="B29" i="3"/>
  <c r="B31" i="3"/>
  <c r="B33" i="3"/>
  <c r="D33" i="3" s="1"/>
  <c r="H40" i="3"/>
  <c r="C42" i="3"/>
  <c r="G45" i="3"/>
  <c r="C53" i="3"/>
  <c r="G56" i="3"/>
  <c r="G63" i="3"/>
  <c r="G69" i="3"/>
  <c r="C72" i="3"/>
  <c r="C29" i="3"/>
  <c r="C31" i="3"/>
  <c r="G42" i="3"/>
  <c r="B44" i="3"/>
  <c r="H45" i="3"/>
  <c r="G53" i="3"/>
  <c r="B55" i="3"/>
  <c r="D55" i="3" s="1"/>
  <c r="H56" i="3"/>
  <c r="H63" i="3"/>
  <c r="G66" i="3"/>
  <c r="B68" i="3"/>
  <c r="H69" i="3"/>
  <c r="B73" i="3"/>
  <c r="D73" i="3" s="1"/>
  <c r="G29" i="3"/>
  <c r="I29" i="3" s="1"/>
  <c r="G31" i="3"/>
  <c r="I31" i="3" s="1"/>
  <c r="B41" i="3"/>
  <c r="D41" i="3" s="1"/>
  <c r="H42" i="3"/>
  <c r="B52" i="3"/>
  <c r="D52" i="3" s="1"/>
  <c r="H53" i="3"/>
  <c r="H66" i="3"/>
  <c r="C68" i="3"/>
  <c r="X20" i="1" l="1"/>
  <c r="X19" i="1"/>
  <c r="X18" i="1"/>
  <c r="K27" i="1"/>
  <c r="I41" i="1"/>
  <c r="G56" i="2"/>
  <c r="C28" i="25"/>
  <c r="H45" i="2"/>
  <c r="C25" i="25"/>
  <c r="G28" i="2"/>
  <c r="C24" i="25"/>
  <c r="Z24" i="1"/>
  <c r="L18" i="21"/>
  <c r="B22" i="9"/>
  <c r="AH24" i="1"/>
  <c r="S18" i="1"/>
  <c r="I69" i="3"/>
  <c r="D53" i="3"/>
  <c r="I65" i="3"/>
  <c r="I34" i="3"/>
  <c r="I53" i="3"/>
  <c r="I54" i="3"/>
  <c r="I28" i="3"/>
  <c r="D54" i="3"/>
  <c r="I41" i="3"/>
  <c r="S20" i="1"/>
  <c r="B24" i="9"/>
  <c r="L15" i="3"/>
  <c r="Q21" i="1" s="1"/>
  <c r="D31" i="3"/>
  <c r="D71" i="3"/>
  <c r="S19" i="1"/>
  <c r="B23" i="9"/>
  <c r="L8" i="3"/>
  <c r="Q14" i="1" s="1"/>
  <c r="D29" i="3"/>
  <c r="I56" i="3"/>
  <c r="D72" i="3"/>
  <c r="D69" i="3"/>
  <c r="I43" i="3"/>
  <c r="D43" i="3"/>
  <c r="I63" i="3"/>
  <c r="L10" i="3"/>
  <c r="Q16" i="1" s="1"/>
  <c r="D44" i="3"/>
  <c r="C51" i="3"/>
  <c r="L9" i="3"/>
  <c r="Q15" i="1" s="1"/>
  <c r="D42" i="3"/>
  <c r="I67" i="3"/>
  <c r="I46" i="3"/>
  <c r="I45" i="3"/>
  <c r="I40" i="3"/>
  <c r="D34" i="3"/>
  <c r="D45" i="3"/>
  <c r="C67" i="3"/>
  <c r="D68" i="3"/>
  <c r="I42" i="3"/>
  <c r="L19" i="3"/>
  <c r="Q25" i="1" s="1"/>
  <c r="L20" i="3"/>
  <c r="Q26" i="1" s="1"/>
  <c r="I66" i="3"/>
  <c r="C39" i="3"/>
  <c r="I32" i="3"/>
  <c r="D32" i="3"/>
  <c r="D56" i="3"/>
  <c r="I30" i="3"/>
  <c r="D40" i="3"/>
  <c r="L5" i="3"/>
  <c r="Q11" i="1" s="1"/>
  <c r="D30" i="3"/>
  <c r="H46" i="2"/>
  <c r="H43" i="2"/>
  <c r="G42" i="2"/>
  <c r="H41" i="2"/>
  <c r="H42" i="2"/>
  <c r="G43" i="2"/>
  <c r="G45" i="2"/>
  <c r="I45" i="2" s="1"/>
  <c r="H40" i="2"/>
  <c r="G40" i="2"/>
  <c r="H44" i="2"/>
  <c r="G46" i="2"/>
  <c r="G44" i="2"/>
  <c r="G41" i="2"/>
  <c r="G65" i="2"/>
  <c r="H34" i="2"/>
  <c r="H31" i="2"/>
  <c r="K32" i="1"/>
  <c r="G30" i="2"/>
  <c r="H32" i="2"/>
  <c r="G32" i="2"/>
  <c r="H30" i="2"/>
  <c r="C33" i="2"/>
  <c r="B23" i="2"/>
  <c r="B55" i="2"/>
  <c r="H33" i="2"/>
  <c r="B70" i="2"/>
  <c r="H62" i="2"/>
  <c r="G62" i="2"/>
  <c r="E24" i="1" s="1"/>
  <c r="AF24" i="1" s="1"/>
  <c r="G66" i="2"/>
  <c r="G54" i="2"/>
  <c r="H64" i="2"/>
  <c r="G68" i="2"/>
  <c r="H68" i="2"/>
  <c r="H63" i="2"/>
  <c r="H55" i="2"/>
  <c r="H53" i="2"/>
  <c r="H56" i="2"/>
  <c r="I56" i="2" s="1"/>
  <c r="G64" i="2"/>
  <c r="H66" i="2"/>
  <c r="G53" i="2"/>
  <c r="H67" i="2"/>
  <c r="C43" i="2"/>
  <c r="H57" i="2"/>
  <c r="G69" i="2"/>
  <c r="H65" i="2"/>
  <c r="G57" i="2"/>
  <c r="B22" i="2"/>
  <c r="G67" i="2"/>
  <c r="G63" i="2"/>
  <c r="H54" i="2"/>
  <c r="H61" i="2"/>
  <c r="G61" i="2"/>
  <c r="B41" i="2"/>
  <c r="C21" i="2"/>
  <c r="G60" i="2"/>
  <c r="H60" i="2"/>
  <c r="B69" i="2"/>
  <c r="I57" i="3"/>
  <c r="C53" i="2"/>
  <c r="H28" i="2"/>
  <c r="B45" i="2"/>
  <c r="C45" i="2"/>
  <c r="G33" i="2"/>
  <c r="H59" i="2"/>
  <c r="G59" i="2"/>
  <c r="B52" i="2"/>
  <c r="G29" i="2"/>
  <c r="H29" i="2"/>
  <c r="B73" i="2"/>
  <c r="C57" i="2"/>
  <c r="C56" i="2"/>
  <c r="C70" i="2"/>
  <c r="C55" i="2"/>
  <c r="G34" i="2"/>
  <c r="H58" i="2"/>
  <c r="G58" i="2"/>
  <c r="C54" i="2"/>
  <c r="B30" i="2"/>
  <c r="B19" i="2"/>
  <c r="B57" i="2"/>
  <c r="C68" i="2"/>
  <c r="C31" i="2"/>
  <c r="B53" i="2"/>
  <c r="C22" i="2"/>
  <c r="C20" i="2"/>
  <c r="B44" i="2"/>
  <c r="C29" i="2"/>
  <c r="B21" i="2"/>
  <c r="B20" i="2"/>
  <c r="B33" i="2"/>
  <c r="C34" i="2"/>
  <c r="B54" i="2"/>
  <c r="C13" i="2"/>
  <c r="C23" i="2"/>
  <c r="C19" i="2"/>
  <c r="C73" i="2"/>
  <c r="B68" i="2"/>
  <c r="B72" i="2"/>
  <c r="C71" i="2"/>
  <c r="C72" i="2"/>
  <c r="B31" i="2"/>
  <c r="C69" i="2"/>
  <c r="C32" i="2"/>
  <c r="B32" i="2"/>
  <c r="B56" i="2"/>
  <c r="H69" i="2"/>
  <c r="B29" i="2"/>
  <c r="B71" i="2"/>
  <c r="C30" i="2"/>
  <c r="G31" i="2"/>
  <c r="B34" i="2"/>
  <c r="G55" i="2"/>
  <c r="B42" i="2"/>
  <c r="B40" i="2"/>
  <c r="B46" i="2"/>
  <c r="C40" i="2"/>
  <c r="C41" i="2"/>
  <c r="C42" i="2"/>
  <c r="C46" i="2"/>
  <c r="C44" i="2"/>
  <c r="B43" i="2"/>
  <c r="C52" i="2"/>
  <c r="B51" i="3"/>
  <c r="H52" i="3"/>
  <c r="G39" i="3"/>
  <c r="G27" i="3"/>
  <c r="G52" i="3"/>
  <c r="Q10" i="1" s="1"/>
  <c r="B28" i="3"/>
  <c r="Q4" i="1" s="1"/>
  <c r="B39" i="3"/>
  <c r="B67" i="3"/>
  <c r="H27" i="3"/>
  <c r="H39" i="3"/>
  <c r="C29" i="25" l="1"/>
  <c r="X26" i="1"/>
  <c r="X15" i="1"/>
  <c r="X25" i="1"/>
  <c r="X10" i="1"/>
  <c r="X21" i="1"/>
  <c r="X11" i="1"/>
  <c r="X16" i="1"/>
  <c r="X14" i="1"/>
  <c r="I28" i="2"/>
  <c r="E11" i="1"/>
  <c r="X4" i="1"/>
  <c r="S11" i="1"/>
  <c r="Z19" i="1"/>
  <c r="L13" i="21"/>
  <c r="Z20" i="1"/>
  <c r="L14" i="21"/>
  <c r="Z18" i="1"/>
  <c r="L12" i="21"/>
  <c r="AH19" i="1"/>
  <c r="AH20" i="1"/>
  <c r="AH18" i="1"/>
  <c r="Q9" i="1"/>
  <c r="D67" i="3"/>
  <c r="Q5" i="1"/>
  <c r="D39" i="3"/>
  <c r="B18" i="9"/>
  <c r="S14" i="1"/>
  <c r="B19" i="9"/>
  <c r="S15" i="1"/>
  <c r="Q8" i="1"/>
  <c r="D51" i="3"/>
  <c r="Q6" i="1"/>
  <c r="I27" i="3"/>
  <c r="B15" i="9"/>
  <c r="S26" i="1"/>
  <c r="B30" i="9"/>
  <c r="B25" i="9"/>
  <c r="S21" i="1"/>
  <c r="Q7" i="1"/>
  <c r="I39" i="3"/>
  <c r="B29" i="9"/>
  <c r="S25" i="1"/>
  <c r="B20" i="9"/>
  <c r="S16" i="1"/>
  <c r="I43" i="2"/>
  <c r="I41" i="2"/>
  <c r="I46" i="2"/>
  <c r="E25" i="1"/>
  <c r="D30" i="2"/>
  <c r="I42" i="2"/>
  <c r="L20" i="2"/>
  <c r="I44" i="2"/>
  <c r="L19" i="2"/>
  <c r="L14" i="2"/>
  <c r="E7" i="1"/>
  <c r="H39" i="2"/>
  <c r="I40" i="2"/>
  <c r="G39" i="2"/>
  <c r="I69" i="2"/>
  <c r="I34" i="2"/>
  <c r="I63" i="2"/>
  <c r="I31" i="2"/>
  <c r="I65" i="2"/>
  <c r="D45" i="2"/>
  <c r="I32" i="2"/>
  <c r="D33" i="2"/>
  <c r="I53" i="2"/>
  <c r="I30" i="2"/>
  <c r="D70" i="2"/>
  <c r="I67" i="2"/>
  <c r="E3" i="1"/>
  <c r="E4" i="1"/>
  <c r="I33" i="2"/>
  <c r="F24" i="1"/>
  <c r="G24" i="1" s="1"/>
  <c r="E9" i="1"/>
  <c r="AF9" i="1" s="1"/>
  <c r="C11" i="23" s="1"/>
  <c r="E6" i="1"/>
  <c r="AF6" i="1" s="1"/>
  <c r="C8" i="23" s="1"/>
  <c r="D41" i="2"/>
  <c r="I66" i="2"/>
  <c r="E26" i="1"/>
  <c r="I57" i="2"/>
  <c r="E5" i="1"/>
  <c r="AF5" i="1" s="1"/>
  <c r="C7" i="23" s="1"/>
  <c r="E14" i="1"/>
  <c r="D22" i="2"/>
  <c r="E10" i="1"/>
  <c r="AF10" i="1" s="1"/>
  <c r="D21" i="2"/>
  <c r="D34" i="2"/>
  <c r="H27" i="2"/>
  <c r="D55" i="2"/>
  <c r="E8" i="1"/>
  <c r="AF8" i="1" s="1"/>
  <c r="C10" i="23" s="1"/>
  <c r="D23" i="2"/>
  <c r="E21" i="1"/>
  <c r="E16" i="1"/>
  <c r="I68" i="2"/>
  <c r="L12" i="2"/>
  <c r="E18" i="1"/>
  <c r="D43" i="2"/>
  <c r="E15" i="1"/>
  <c r="E23" i="1"/>
  <c r="E12" i="1"/>
  <c r="I64" i="2"/>
  <c r="G52" i="2"/>
  <c r="E22" i="1"/>
  <c r="L16" i="2"/>
  <c r="E17" i="1"/>
  <c r="E20" i="1"/>
  <c r="B39" i="2"/>
  <c r="E13" i="1"/>
  <c r="L13" i="2"/>
  <c r="E19" i="1"/>
  <c r="C51" i="2"/>
  <c r="L9" i="2"/>
  <c r="I54" i="2"/>
  <c r="L6" i="2"/>
  <c r="L11" i="2"/>
  <c r="L18" i="2"/>
  <c r="I62" i="2"/>
  <c r="L8" i="2"/>
  <c r="D19" i="2"/>
  <c r="L7" i="2"/>
  <c r="L17" i="2"/>
  <c r="L5" i="2"/>
  <c r="M5" i="2" s="1"/>
  <c r="L15" i="2"/>
  <c r="L10" i="2"/>
  <c r="D54" i="2"/>
  <c r="I61" i="2"/>
  <c r="D69" i="2"/>
  <c r="D71" i="2"/>
  <c r="I60" i="2"/>
  <c r="D40" i="2"/>
  <c r="I29" i="2"/>
  <c r="B67" i="2"/>
  <c r="D46" i="2"/>
  <c r="D56" i="2"/>
  <c r="G27" i="2"/>
  <c r="D44" i="2"/>
  <c r="I59" i="2"/>
  <c r="D72" i="2"/>
  <c r="D31" i="2"/>
  <c r="H52" i="2"/>
  <c r="D53" i="2"/>
  <c r="B28" i="2"/>
  <c r="D73" i="2"/>
  <c r="D68" i="2"/>
  <c r="B51" i="2"/>
  <c r="C28" i="2"/>
  <c r="C67" i="2"/>
  <c r="D52" i="2"/>
  <c r="D32" i="2"/>
  <c r="D57" i="2"/>
  <c r="I58" i="2"/>
  <c r="I52" i="3"/>
  <c r="B18" i="2"/>
  <c r="D29" i="2"/>
  <c r="C18" i="2"/>
  <c r="I55" i="2"/>
  <c r="D42" i="2"/>
  <c r="D20" i="2"/>
  <c r="C39" i="2"/>
  <c r="G1" i="1"/>
  <c r="H1" i="1" s="1"/>
  <c r="I1" i="1" s="1"/>
  <c r="J1" i="1" s="1"/>
  <c r="K1" i="1" s="1"/>
  <c r="R1" i="1" s="1"/>
  <c r="S1" i="1" s="1"/>
  <c r="X6" i="1" l="1"/>
  <c r="X5" i="1"/>
  <c r="X7" i="1"/>
  <c r="U7" i="1" s="1"/>
  <c r="X8" i="1"/>
  <c r="U8" i="1" s="1"/>
  <c r="X9" i="1"/>
  <c r="AF3" i="1"/>
  <c r="E41" i="1"/>
  <c r="J41" i="1" s="1"/>
  <c r="AF20" i="1"/>
  <c r="AF19" i="1"/>
  <c r="Z14" i="1"/>
  <c r="L8" i="21"/>
  <c r="Z16" i="1"/>
  <c r="L10" i="21"/>
  <c r="Z10" i="1"/>
  <c r="G32" i="23"/>
  <c r="G33" i="23"/>
  <c r="H31" i="23"/>
  <c r="G28" i="23"/>
  <c r="H33" i="23"/>
  <c r="H29" i="23"/>
  <c r="G30" i="23"/>
  <c r="G34" i="23"/>
  <c r="H32" i="23"/>
  <c r="I32" i="23" s="1"/>
  <c r="H30" i="23"/>
  <c r="H34" i="23"/>
  <c r="G31" i="23"/>
  <c r="G29" i="23"/>
  <c r="H28" i="23"/>
  <c r="L27" i="23"/>
  <c r="N27" i="23" s="1"/>
  <c r="O27" i="23" s="1"/>
  <c r="C71" i="23"/>
  <c r="B70" i="23"/>
  <c r="C72" i="23"/>
  <c r="B68" i="23"/>
  <c r="L30" i="23"/>
  <c r="N30" i="23" s="1"/>
  <c r="O30" i="23" s="1"/>
  <c r="C68" i="23"/>
  <c r="B69" i="23"/>
  <c r="C70" i="23"/>
  <c r="B72" i="23"/>
  <c r="B73" i="23"/>
  <c r="C73" i="23"/>
  <c r="B71" i="23"/>
  <c r="C69" i="23"/>
  <c r="Z26" i="1"/>
  <c r="L20" i="21"/>
  <c r="Z21" i="1"/>
  <c r="L15" i="21"/>
  <c r="Z25" i="1"/>
  <c r="L19" i="21"/>
  <c r="Z4" i="1"/>
  <c r="C6" i="21"/>
  <c r="C52" i="23"/>
  <c r="L29" i="23"/>
  <c r="N29" i="23" s="1"/>
  <c r="O29" i="23" s="1"/>
  <c r="C56" i="23"/>
  <c r="C54" i="23"/>
  <c r="B56" i="23"/>
  <c r="C53" i="23"/>
  <c r="B57" i="23"/>
  <c r="B52" i="23"/>
  <c r="C57" i="23"/>
  <c r="B54" i="23"/>
  <c r="B53" i="23"/>
  <c r="B55" i="23"/>
  <c r="C55" i="23"/>
  <c r="B43" i="23"/>
  <c r="L26" i="23"/>
  <c r="N26" i="23" s="1"/>
  <c r="O26" i="23" s="1"/>
  <c r="C46" i="23"/>
  <c r="B45" i="23"/>
  <c r="B41" i="23"/>
  <c r="C43" i="23"/>
  <c r="B44" i="23"/>
  <c r="C44" i="23"/>
  <c r="C40" i="23"/>
  <c r="C41" i="23"/>
  <c r="B42" i="23"/>
  <c r="C45" i="23"/>
  <c r="D45" i="23" s="1"/>
  <c r="B46" i="23"/>
  <c r="B40" i="23"/>
  <c r="C42" i="23"/>
  <c r="Z11" i="1"/>
  <c r="L5" i="21"/>
  <c r="Z15" i="1"/>
  <c r="L9" i="21"/>
  <c r="AF18" i="1"/>
  <c r="AH26" i="1"/>
  <c r="AH16" i="1"/>
  <c r="AH4" i="1"/>
  <c r="AH15" i="1"/>
  <c r="AH25" i="1"/>
  <c r="AH10" i="1"/>
  <c r="AH11" i="1"/>
  <c r="AH14" i="1"/>
  <c r="AH21" i="1"/>
  <c r="F7" i="1"/>
  <c r="G7" i="1" s="1"/>
  <c r="AF7" i="1"/>
  <c r="C9" i="23" s="1"/>
  <c r="F4" i="1"/>
  <c r="G4" i="1" s="1"/>
  <c r="AF4" i="1"/>
  <c r="C6" i="23" s="1"/>
  <c r="F25" i="1"/>
  <c r="G25" i="1" s="1"/>
  <c r="F3" i="1"/>
  <c r="I39" i="2"/>
  <c r="T1" i="1"/>
  <c r="U1" i="1" s="1"/>
  <c r="AA1" i="1" s="1"/>
  <c r="I27" i="2"/>
  <c r="D67" i="2"/>
  <c r="F17" i="1"/>
  <c r="G17" i="1" s="1"/>
  <c r="F9" i="1"/>
  <c r="G9" i="1" s="1"/>
  <c r="D51" i="2"/>
  <c r="F19" i="1"/>
  <c r="G19" i="1" s="1"/>
  <c r="F22" i="1"/>
  <c r="G22" i="1" s="1"/>
  <c r="F10" i="1"/>
  <c r="G10" i="1" s="1"/>
  <c r="F13" i="1"/>
  <c r="G13" i="1" s="1"/>
  <c r="F16" i="1"/>
  <c r="G16" i="1" s="1"/>
  <c r="F14" i="1"/>
  <c r="G14" i="1" s="1"/>
  <c r="F6" i="1"/>
  <c r="G6" i="1" s="1"/>
  <c r="F11" i="1"/>
  <c r="G11" i="1" s="1"/>
  <c r="F12" i="1"/>
  <c r="G12" i="1" s="1"/>
  <c r="F21" i="1"/>
  <c r="G21" i="1" s="1"/>
  <c r="F8" i="1"/>
  <c r="G8" i="1" s="1"/>
  <c r="F5" i="1"/>
  <c r="G5" i="1" s="1"/>
  <c r="F23" i="1"/>
  <c r="G23" i="1" s="1"/>
  <c r="F18" i="1"/>
  <c r="G18" i="1" s="1"/>
  <c r="F20" i="1"/>
  <c r="G20" i="1" s="1"/>
  <c r="F15" i="1"/>
  <c r="G15" i="1" s="1"/>
  <c r="F26" i="1"/>
  <c r="G26" i="1" s="1"/>
  <c r="D28" i="2"/>
  <c r="E42" i="1"/>
  <c r="G74" i="2"/>
  <c r="E43" i="1"/>
  <c r="I52" i="2"/>
  <c r="D39" i="2"/>
  <c r="D18" i="2"/>
  <c r="C5" i="23" l="1"/>
  <c r="G3" i="1"/>
  <c r="G41" i="1" s="1"/>
  <c r="F41" i="1"/>
  <c r="AE42" i="1"/>
  <c r="D56" i="23"/>
  <c r="D73" i="23"/>
  <c r="I29" i="23"/>
  <c r="D72" i="23"/>
  <c r="D40" i="23"/>
  <c r="D41" i="23"/>
  <c r="D43" i="23"/>
  <c r="D53" i="23"/>
  <c r="D42" i="23"/>
  <c r="I31" i="23"/>
  <c r="C67" i="23"/>
  <c r="D57" i="23"/>
  <c r="G27" i="23"/>
  <c r="I28" i="23"/>
  <c r="D54" i="23"/>
  <c r="D69" i="23"/>
  <c r="I30" i="23"/>
  <c r="C39" i="23"/>
  <c r="D68" i="23"/>
  <c r="D70" i="23"/>
  <c r="H27" i="23"/>
  <c r="AF25" i="1"/>
  <c r="Z9" i="1"/>
  <c r="C11" i="21"/>
  <c r="Z8" i="1"/>
  <c r="C10" i="21"/>
  <c r="Z5" i="1"/>
  <c r="C7" i="21"/>
  <c r="D44" i="23"/>
  <c r="C51" i="23"/>
  <c r="I34" i="23"/>
  <c r="AF14" i="1"/>
  <c r="AF26" i="1"/>
  <c r="Z6" i="1"/>
  <c r="C8" i="21"/>
  <c r="AF15" i="1"/>
  <c r="B51" i="23"/>
  <c r="AF21" i="1"/>
  <c r="D46" i="23"/>
  <c r="D55" i="23"/>
  <c r="D71" i="23"/>
  <c r="AF16" i="1"/>
  <c r="C34" i="23"/>
  <c r="B33" i="23"/>
  <c r="B31" i="23"/>
  <c r="C30" i="23"/>
  <c r="C31" i="23"/>
  <c r="C29" i="23"/>
  <c r="B32" i="23"/>
  <c r="C32" i="23"/>
  <c r="B30" i="23"/>
  <c r="B34" i="23"/>
  <c r="L25" i="23"/>
  <c r="N25" i="23" s="1"/>
  <c r="O25" i="23" s="1"/>
  <c r="C33" i="23"/>
  <c r="B29" i="23"/>
  <c r="Z7" i="1"/>
  <c r="C9" i="21"/>
  <c r="H41" i="23"/>
  <c r="H45" i="23"/>
  <c r="G42" i="23"/>
  <c r="H42" i="23"/>
  <c r="L28" i="23"/>
  <c r="N28" i="23" s="1"/>
  <c r="O28" i="23" s="1"/>
  <c r="G43" i="23"/>
  <c r="G44" i="23"/>
  <c r="H44" i="23"/>
  <c r="G45" i="23"/>
  <c r="H43" i="23"/>
  <c r="G46" i="23"/>
  <c r="H46" i="23"/>
  <c r="G40" i="23"/>
  <c r="H40" i="23"/>
  <c r="G41" i="23"/>
  <c r="AF11" i="1"/>
  <c r="B39" i="23"/>
  <c r="D52" i="23"/>
  <c r="B67" i="23"/>
  <c r="I33" i="23"/>
  <c r="AH5" i="1"/>
  <c r="AH6" i="1"/>
  <c r="AH9" i="1"/>
  <c r="AH7" i="1"/>
  <c r="X42" i="1"/>
  <c r="AH8" i="1"/>
  <c r="B94" i="4"/>
  <c r="F42" i="1"/>
  <c r="F43" i="1"/>
  <c r="AF42" i="1"/>
  <c r="G43" i="1"/>
  <c r="G42" i="1" l="1"/>
  <c r="D67" i="23"/>
  <c r="L24" i="23"/>
  <c r="N24" i="23" s="1"/>
  <c r="O24" i="23" s="1"/>
  <c r="C22" i="23"/>
  <c r="C19" i="23"/>
  <c r="B22" i="23"/>
  <c r="B20" i="23"/>
  <c r="C21" i="23"/>
  <c r="B19" i="23"/>
  <c r="B23" i="23"/>
  <c r="B21" i="23"/>
  <c r="C23" i="23"/>
  <c r="C20" i="23"/>
  <c r="D51" i="23"/>
  <c r="I45" i="23"/>
  <c r="D31" i="23"/>
  <c r="I27" i="23"/>
  <c r="D29" i="23"/>
  <c r="D30" i="23"/>
  <c r="G39" i="23"/>
  <c r="D39" i="23"/>
  <c r="I41" i="23"/>
  <c r="I46" i="23"/>
  <c r="I42" i="23"/>
  <c r="H39" i="23"/>
  <c r="I43" i="23"/>
  <c r="B28" i="23"/>
  <c r="Z42" i="1"/>
  <c r="I44" i="23"/>
  <c r="D32" i="23"/>
  <c r="C28" i="23"/>
  <c r="C54" i="21"/>
  <c r="B55" i="21"/>
  <c r="B54" i="21"/>
  <c r="C57" i="21"/>
  <c r="C53" i="21"/>
  <c r="B57" i="21"/>
  <c r="B53" i="21"/>
  <c r="C55" i="21"/>
  <c r="C56" i="21"/>
  <c r="C52" i="21"/>
  <c r="L29" i="21"/>
  <c r="N29" i="21" s="1"/>
  <c r="O29" i="21" s="1"/>
  <c r="B56" i="21"/>
  <c r="B52" i="21"/>
  <c r="I40" i="23"/>
  <c r="C10" i="22"/>
  <c r="G26" i="25" s="1"/>
  <c r="H26" i="25" s="1"/>
  <c r="I7" i="25" s="1"/>
  <c r="D34" i="23"/>
  <c r="D33" i="23"/>
  <c r="H45" i="21"/>
  <c r="H41" i="21"/>
  <c r="G45" i="21"/>
  <c r="G41" i="21"/>
  <c r="G42" i="21"/>
  <c r="H44" i="21"/>
  <c r="H40" i="21"/>
  <c r="H42" i="21"/>
  <c r="G44" i="21"/>
  <c r="G40" i="21"/>
  <c r="H43" i="21"/>
  <c r="G43" i="21"/>
  <c r="L28" i="21"/>
  <c r="N28" i="21" s="1"/>
  <c r="O28" i="21" s="1"/>
  <c r="H46" i="21"/>
  <c r="G46" i="21"/>
  <c r="B7" i="1"/>
  <c r="C9" i="16" s="1"/>
  <c r="H45" i="16" s="1"/>
  <c r="AH42" i="1"/>
  <c r="AD42" i="1"/>
  <c r="D21" i="3"/>
  <c r="L11" i="3"/>
  <c r="Q17" i="1" s="1"/>
  <c r="C28" i="3"/>
  <c r="D28" i="3" s="1"/>
  <c r="D20" i="3"/>
  <c r="D23" i="3"/>
  <c r="L17" i="3"/>
  <c r="Q23" i="1" s="1"/>
  <c r="D19" i="3"/>
  <c r="X23" i="1" l="1"/>
  <c r="X17" i="1"/>
  <c r="D21" i="23"/>
  <c r="D20" i="23"/>
  <c r="D23" i="23"/>
  <c r="D22" i="23"/>
  <c r="B18" i="23"/>
  <c r="D19" i="23"/>
  <c r="C18" i="23"/>
  <c r="I39" i="23"/>
  <c r="I14" i="25"/>
  <c r="I17" i="25" s="1"/>
  <c r="I13" i="25"/>
  <c r="I16" i="25" s="1"/>
  <c r="D28" i="23"/>
  <c r="I43" i="21"/>
  <c r="D53" i="21"/>
  <c r="B8" i="1"/>
  <c r="C10" i="16" s="1"/>
  <c r="C57" i="16" s="1"/>
  <c r="I42" i="21"/>
  <c r="C9" i="22"/>
  <c r="I41" i="21"/>
  <c r="D55" i="21"/>
  <c r="D57" i="21"/>
  <c r="I45" i="21"/>
  <c r="C51" i="21"/>
  <c r="D54" i="21"/>
  <c r="G39" i="21"/>
  <c r="I40" i="21"/>
  <c r="B51" i="21"/>
  <c r="I44" i="21"/>
  <c r="D52" i="21"/>
  <c r="I46" i="21"/>
  <c r="H39" i="21"/>
  <c r="D56" i="21"/>
  <c r="H43" i="16"/>
  <c r="H41" i="16"/>
  <c r="G41" i="16"/>
  <c r="G43" i="16"/>
  <c r="L28" i="16"/>
  <c r="N28" i="16" s="1"/>
  <c r="O28" i="16" s="1"/>
  <c r="H40" i="16"/>
  <c r="H44" i="16"/>
  <c r="G42" i="16"/>
  <c r="G46" i="16"/>
  <c r="G45" i="16"/>
  <c r="I45" i="16" s="1"/>
  <c r="G40" i="16"/>
  <c r="H46" i="16"/>
  <c r="H42" i="16"/>
  <c r="G44" i="16"/>
  <c r="B56" i="22"/>
  <c r="C55" i="22"/>
  <c r="B57" i="22"/>
  <c r="C52" i="22"/>
  <c r="C57" i="22"/>
  <c r="B54" i="22"/>
  <c r="C53" i="22"/>
  <c r="B55" i="22"/>
  <c r="C54" i="22"/>
  <c r="B52" i="22"/>
  <c r="C56" i="22"/>
  <c r="B53" i="22"/>
  <c r="L29" i="22"/>
  <c r="N29" i="22" s="1"/>
  <c r="O29" i="22" s="1"/>
  <c r="B27" i="9"/>
  <c r="S23" i="1"/>
  <c r="D22" i="3"/>
  <c r="L6" i="3"/>
  <c r="Q12" i="1" s="1"/>
  <c r="B21" i="9"/>
  <c r="S17" i="1"/>
  <c r="L7" i="3"/>
  <c r="Q13" i="1" s="1"/>
  <c r="L16" i="3"/>
  <c r="Q22" i="1" s="1"/>
  <c r="X13" i="1" l="1"/>
  <c r="X22" i="1"/>
  <c r="X12" i="1"/>
  <c r="Q41" i="1"/>
  <c r="D18" i="23"/>
  <c r="H44" i="22"/>
  <c r="G25" i="25"/>
  <c r="G44" i="22"/>
  <c r="H46" i="22"/>
  <c r="H41" i="22"/>
  <c r="G41" i="22"/>
  <c r="H42" i="22"/>
  <c r="G43" i="22"/>
  <c r="G42" i="22"/>
  <c r="L29" i="16"/>
  <c r="N29" i="16" s="1"/>
  <c r="O29" i="16" s="1"/>
  <c r="B53" i="16"/>
  <c r="C53" i="16"/>
  <c r="B55" i="16"/>
  <c r="C54" i="16"/>
  <c r="B56" i="16"/>
  <c r="C56" i="16"/>
  <c r="H40" i="22"/>
  <c r="L28" i="22"/>
  <c r="N28" i="22" s="1"/>
  <c r="O28" i="22" s="1"/>
  <c r="H43" i="22"/>
  <c r="B54" i="16"/>
  <c r="G40" i="22"/>
  <c r="H45" i="22"/>
  <c r="G46" i="22"/>
  <c r="B57" i="16"/>
  <c r="D57" i="16" s="1"/>
  <c r="B52" i="16"/>
  <c r="G45" i="22"/>
  <c r="C55" i="16"/>
  <c r="C52" i="16"/>
  <c r="D51" i="21"/>
  <c r="Z17" i="1"/>
  <c r="L11" i="21"/>
  <c r="Z23" i="1"/>
  <c r="L17" i="21"/>
  <c r="I39" i="21"/>
  <c r="I43" i="16"/>
  <c r="D57" i="22"/>
  <c r="I44" i="16"/>
  <c r="I42" i="16"/>
  <c r="I41" i="16"/>
  <c r="G39" i="16"/>
  <c r="I46" i="16"/>
  <c r="H39" i="16"/>
  <c r="I40" i="16"/>
  <c r="D55" i="22"/>
  <c r="D53" i="22"/>
  <c r="B51" i="22"/>
  <c r="D52" i="22"/>
  <c r="D54" i="22"/>
  <c r="D56" i="22"/>
  <c r="C51" i="22"/>
  <c r="AH23" i="1"/>
  <c r="AH17" i="1"/>
  <c r="S12" i="1"/>
  <c r="B16" i="9"/>
  <c r="B17" i="9"/>
  <c r="S13" i="1"/>
  <c r="B26" i="9"/>
  <c r="S22" i="1"/>
  <c r="D18" i="3"/>
  <c r="Y43" i="1"/>
  <c r="AA42" i="1"/>
  <c r="Y42" i="1"/>
  <c r="X41" i="1" l="1"/>
  <c r="S41" i="1"/>
  <c r="D55" i="16"/>
  <c r="AE43" i="1"/>
  <c r="I44" i="22"/>
  <c r="I42" i="22"/>
  <c r="D56" i="16"/>
  <c r="I43" i="22"/>
  <c r="I46" i="22"/>
  <c r="I41" i="22"/>
  <c r="D53" i="16"/>
  <c r="H39" i="22"/>
  <c r="D52" i="16"/>
  <c r="C51" i="16"/>
  <c r="B51" i="16"/>
  <c r="G39" i="22"/>
  <c r="I40" i="22"/>
  <c r="I45" i="22"/>
  <c r="D54" i="16"/>
  <c r="AF17" i="1"/>
  <c r="AF23" i="1"/>
  <c r="Z22" i="1"/>
  <c r="L16" i="21"/>
  <c r="Z13" i="1"/>
  <c r="L7" i="21"/>
  <c r="Z12" i="1"/>
  <c r="L6" i="21"/>
  <c r="I39" i="16"/>
  <c r="D51" i="22"/>
  <c r="AH22" i="1"/>
  <c r="AH13" i="1"/>
  <c r="AH12" i="1"/>
  <c r="X43" i="1"/>
  <c r="B31" i="9"/>
  <c r="C17" i="9" s="1"/>
  <c r="S43" i="1"/>
  <c r="AA43" i="1"/>
  <c r="B102" i="4"/>
  <c r="B103" i="4" s="1"/>
  <c r="B105" i="4" s="1"/>
  <c r="B107" i="4" s="1"/>
  <c r="Q42" i="1"/>
  <c r="AD39" i="1" l="1"/>
  <c r="AD41" i="1" s="1"/>
  <c r="AC40" i="1"/>
  <c r="AC41" i="1" s="1"/>
  <c r="AE39" i="1"/>
  <c r="AE41" i="1" s="1"/>
  <c r="AH41" i="1"/>
  <c r="B2" i="21"/>
  <c r="I39" i="22"/>
  <c r="D51" i="16"/>
  <c r="Z43" i="1"/>
  <c r="AF12" i="1"/>
  <c r="AF13" i="1"/>
  <c r="C12" i="21"/>
  <c r="AF22" i="1"/>
  <c r="Z38" i="1"/>
  <c r="AD43" i="1"/>
  <c r="K11" i="4" s="1"/>
  <c r="AH43" i="1"/>
  <c r="C16" i="9"/>
  <c r="C23" i="9"/>
  <c r="C31" i="9"/>
  <c r="C28" i="9"/>
  <c r="C22" i="9"/>
  <c r="C24" i="9"/>
  <c r="C20" i="9"/>
  <c r="C18" i="9"/>
  <c r="C15" i="9"/>
  <c r="C19" i="9"/>
  <c r="C25" i="9"/>
  <c r="C29" i="9"/>
  <c r="C30" i="9"/>
  <c r="C21" i="9"/>
  <c r="C27" i="9"/>
  <c r="C26" i="9"/>
  <c r="AC46" i="1" l="1"/>
  <c r="AC47" i="1"/>
  <c r="L16" i="25" s="1"/>
  <c r="AI39" i="1"/>
  <c r="B2" i="27"/>
  <c r="L31" i="27" s="1"/>
  <c r="N31" i="27" s="1"/>
  <c r="O31" i="27" s="1"/>
  <c r="O32" i="27" s="1"/>
  <c r="AD45" i="1" s="1"/>
  <c r="AD46" i="1" s="1"/>
  <c r="B2" i="28"/>
  <c r="L31" i="28" s="1"/>
  <c r="N31" i="28" s="1"/>
  <c r="O31" i="28" s="1"/>
  <c r="O32" i="28" s="1"/>
  <c r="AE45" i="1" s="1"/>
  <c r="AE46" i="1" s="1"/>
  <c r="L15" i="25"/>
  <c r="L17" i="25"/>
  <c r="AF41" i="1"/>
  <c r="Z44" i="1"/>
  <c r="Z41" i="1"/>
  <c r="AF43" i="1"/>
  <c r="C12" i="23"/>
  <c r="Q43" i="1"/>
  <c r="G62" i="23" l="1"/>
  <c r="H64" i="23"/>
  <c r="H68" i="23"/>
  <c r="H61" i="23"/>
  <c r="G55" i="23"/>
  <c r="H63" i="23"/>
  <c r="H59" i="23"/>
  <c r="G63" i="23"/>
  <c r="G65" i="23"/>
  <c r="G60" i="23"/>
  <c r="G58" i="23"/>
  <c r="H60" i="23"/>
  <c r="H62" i="23"/>
  <c r="H57" i="23"/>
  <c r="H66" i="23"/>
  <c r="G64" i="23"/>
  <c r="G54" i="23"/>
  <c r="G57" i="23"/>
  <c r="H56" i="23"/>
  <c r="G59" i="23"/>
  <c r="G53" i="23"/>
  <c r="H55" i="23"/>
  <c r="H58" i="23"/>
  <c r="H54" i="23"/>
  <c r="G56" i="23"/>
  <c r="G69" i="23"/>
  <c r="H53" i="23"/>
  <c r="G68" i="23"/>
  <c r="G67" i="23"/>
  <c r="G66" i="23"/>
  <c r="H69" i="23"/>
  <c r="L31" i="23"/>
  <c r="N31" i="23" s="1"/>
  <c r="O31" i="23" s="1"/>
  <c r="O32" i="23" s="1"/>
  <c r="AF45" i="1" s="1"/>
  <c r="AF46" i="1" s="1"/>
  <c r="H65" i="23"/>
  <c r="G61" i="23"/>
  <c r="H67" i="23"/>
  <c r="B2" i="23"/>
  <c r="B12" i="23" s="1"/>
  <c r="T36" i="1"/>
  <c r="U36" i="1" s="1"/>
  <c r="T37" i="1"/>
  <c r="U37" i="1" s="1"/>
  <c r="D31" i="9"/>
  <c r="I66" i="23" l="1"/>
  <c r="I63" i="23"/>
  <c r="I64" i="23"/>
  <c r="I68" i="23"/>
  <c r="I56" i="23"/>
  <c r="I59" i="23"/>
  <c r="H52" i="23"/>
  <c r="I57" i="23"/>
  <c r="I60" i="23"/>
  <c r="B6" i="23"/>
  <c r="B5" i="23"/>
  <c r="B11" i="23"/>
  <c r="B8" i="23"/>
  <c r="B10" i="23"/>
  <c r="B7" i="23"/>
  <c r="B9" i="23"/>
  <c r="I67" i="23"/>
  <c r="G52" i="23"/>
  <c r="I53" i="23"/>
  <c r="I55" i="23"/>
  <c r="I61" i="23"/>
  <c r="I69" i="23"/>
  <c r="I58" i="23"/>
  <c r="I54" i="23"/>
  <c r="I65" i="23"/>
  <c r="I62" i="23"/>
  <c r="D17" i="9"/>
  <c r="T13" i="1" s="1"/>
  <c r="D27" i="9"/>
  <c r="T23" i="1" s="1"/>
  <c r="D19" i="9"/>
  <c r="T15" i="1" s="1"/>
  <c r="D21" i="9"/>
  <c r="T17" i="1" s="1"/>
  <c r="D30" i="9"/>
  <c r="T26" i="1" s="1"/>
  <c r="D29" i="9"/>
  <c r="T25" i="1" s="1"/>
  <c r="D22" i="9"/>
  <c r="T18" i="1" s="1"/>
  <c r="D23" i="9"/>
  <c r="T19" i="1" s="1"/>
  <c r="D18" i="9"/>
  <c r="T14" i="1" s="1"/>
  <c r="D20" i="9"/>
  <c r="T16" i="1" s="1"/>
  <c r="D16" i="9"/>
  <c r="T12" i="1" s="1"/>
  <c r="D24" i="9"/>
  <c r="T20" i="1" s="1"/>
  <c r="D15" i="9"/>
  <c r="T11" i="1" s="1"/>
  <c r="D26" i="9"/>
  <c r="T22" i="1" s="1"/>
  <c r="D25" i="9"/>
  <c r="T21" i="1" s="1"/>
  <c r="D28" i="9"/>
  <c r="T24" i="1" s="1"/>
  <c r="B2" i="6"/>
  <c r="C8" i="6" s="1"/>
  <c r="T41" i="1" l="1"/>
  <c r="I52" i="23"/>
  <c r="B13" i="23"/>
  <c r="T43" i="1"/>
  <c r="C9" i="6"/>
  <c r="G41" i="6" s="1"/>
  <c r="H32" i="6"/>
  <c r="G32" i="6"/>
  <c r="H30" i="6"/>
  <c r="H33" i="6"/>
  <c r="G31" i="6"/>
  <c r="G29" i="6"/>
  <c r="G30" i="6"/>
  <c r="H34" i="6"/>
  <c r="G28" i="6"/>
  <c r="G34" i="6"/>
  <c r="H29" i="6"/>
  <c r="G33" i="6"/>
  <c r="H28" i="6"/>
  <c r="H31" i="6"/>
  <c r="C11" i="6"/>
  <c r="C10" i="6"/>
  <c r="C5" i="6"/>
  <c r="C12" i="6"/>
  <c r="C7" i="6"/>
  <c r="C6" i="6"/>
  <c r="G43" i="6" l="1"/>
  <c r="G45" i="6"/>
  <c r="H40" i="6"/>
  <c r="H46" i="6"/>
  <c r="G44" i="6"/>
  <c r="H43" i="6"/>
  <c r="H41" i="6"/>
  <c r="I41" i="6" s="1"/>
  <c r="G40" i="6"/>
  <c r="H45" i="6"/>
  <c r="H42" i="6"/>
  <c r="H44" i="6"/>
  <c r="G46" i="6"/>
  <c r="G42" i="6"/>
  <c r="H27" i="6"/>
  <c r="I31" i="6"/>
  <c r="I28" i="6"/>
  <c r="C41" i="6"/>
  <c r="B43" i="6"/>
  <c r="C43" i="6"/>
  <c r="C45" i="6"/>
  <c r="B42" i="6"/>
  <c r="C42" i="6"/>
  <c r="B46" i="6"/>
  <c r="B41" i="6"/>
  <c r="B44" i="6"/>
  <c r="B40" i="6"/>
  <c r="C44" i="6"/>
  <c r="C40" i="6"/>
  <c r="B45" i="6"/>
  <c r="C46" i="6"/>
  <c r="I33" i="6"/>
  <c r="H57" i="6"/>
  <c r="H67" i="6"/>
  <c r="G58" i="6"/>
  <c r="G68" i="6"/>
  <c r="G64" i="6"/>
  <c r="H69" i="6"/>
  <c r="H68" i="6"/>
  <c r="G62" i="6"/>
  <c r="H63" i="6"/>
  <c r="H53" i="6"/>
  <c r="G59" i="6"/>
  <c r="G63" i="6"/>
  <c r="G53" i="6"/>
  <c r="H66" i="6"/>
  <c r="H65" i="6"/>
  <c r="H61" i="6"/>
  <c r="G57" i="6"/>
  <c r="G61" i="6"/>
  <c r="G69" i="6"/>
  <c r="H62" i="6"/>
  <c r="H55" i="6"/>
  <c r="G65" i="6"/>
  <c r="L19" i="6" s="1"/>
  <c r="J25" i="1" s="1"/>
  <c r="AI25" i="1" s="1"/>
  <c r="G66" i="6"/>
  <c r="G60" i="6"/>
  <c r="G67" i="6"/>
  <c r="G55" i="6"/>
  <c r="H59" i="6"/>
  <c r="H64" i="6"/>
  <c r="H58" i="6"/>
  <c r="H56" i="6"/>
  <c r="H60" i="6"/>
  <c r="H54" i="6"/>
  <c r="G56" i="6"/>
  <c r="G54" i="6"/>
  <c r="I34" i="6"/>
  <c r="C19" i="6"/>
  <c r="C21" i="6"/>
  <c r="B21" i="6"/>
  <c r="C20" i="6"/>
  <c r="C22" i="6"/>
  <c r="B22" i="6"/>
  <c r="B23" i="6"/>
  <c r="C13" i="6"/>
  <c r="B20" i="6"/>
  <c r="C23" i="6"/>
  <c r="B19" i="6"/>
  <c r="C71" i="6"/>
  <c r="B70" i="6"/>
  <c r="C68" i="6"/>
  <c r="C70" i="6"/>
  <c r="B69" i="6"/>
  <c r="B73" i="6"/>
  <c r="C73" i="6"/>
  <c r="B72" i="6"/>
  <c r="C69" i="6"/>
  <c r="C72" i="6"/>
  <c r="B68" i="6"/>
  <c r="B71" i="6"/>
  <c r="I32" i="6"/>
  <c r="G27" i="6"/>
  <c r="I30" i="6"/>
  <c r="C34" i="6"/>
  <c r="C30" i="6"/>
  <c r="C33" i="6"/>
  <c r="B34" i="6"/>
  <c r="B33" i="6"/>
  <c r="B32" i="6"/>
  <c r="B30" i="6"/>
  <c r="C31" i="6"/>
  <c r="B31" i="6"/>
  <c r="C29" i="6"/>
  <c r="C32" i="6"/>
  <c r="B29" i="6"/>
  <c r="C55" i="6"/>
  <c r="C52" i="6"/>
  <c r="B54" i="6"/>
  <c r="B56" i="6"/>
  <c r="B53" i="6"/>
  <c r="C56" i="6"/>
  <c r="B55" i="6"/>
  <c r="C54" i="6"/>
  <c r="B57" i="6"/>
  <c r="C53" i="6"/>
  <c r="B52" i="6"/>
  <c r="C57" i="6"/>
  <c r="I29" i="6"/>
  <c r="I43" i="6" l="1"/>
  <c r="I45" i="6"/>
  <c r="I46" i="6"/>
  <c r="L14" i="6"/>
  <c r="J20" i="1" s="1"/>
  <c r="I57" i="6"/>
  <c r="I44" i="6"/>
  <c r="I42" i="6"/>
  <c r="I40" i="6"/>
  <c r="G39" i="6"/>
  <c r="J7" i="1" s="1"/>
  <c r="AI7" i="1" s="1"/>
  <c r="H39" i="6"/>
  <c r="D52" i="6"/>
  <c r="D45" i="6"/>
  <c r="I54" i="6"/>
  <c r="I61" i="6"/>
  <c r="D32" i="6"/>
  <c r="C28" i="6"/>
  <c r="D33" i="6"/>
  <c r="C18" i="6"/>
  <c r="C67" i="6"/>
  <c r="H52" i="6"/>
  <c r="I68" i="6"/>
  <c r="C39" i="6"/>
  <c r="I56" i="6"/>
  <c r="I67" i="6"/>
  <c r="D41" i="6"/>
  <c r="C51" i="6"/>
  <c r="B18" i="6"/>
  <c r="J3" i="1" s="1"/>
  <c r="AI3" i="1" s="1"/>
  <c r="D55" i="6"/>
  <c r="I65" i="6"/>
  <c r="I53" i="6"/>
  <c r="I27" i="6"/>
  <c r="J6" i="1"/>
  <c r="AI6" i="1" s="1"/>
  <c r="D68" i="6"/>
  <c r="D21" i="6"/>
  <c r="L11" i="6"/>
  <c r="J17" i="1" s="1"/>
  <c r="AI17" i="1" s="1"/>
  <c r="D40" i="6"/>
  <c r="L5" i="6"/>
  <c r="J11" i="1" s="1"/>
  <c r="AI11" i="1" s="1"/>
  <c r="B39" i="6"/>
  <c r="I64" i="6"/>
  <c r="D44" i="6"/>
  <c r="L10" i="6"/>
  <c r="J16" i="1" s="1"/>
  <c r="AI16" i="1" s="1"/>
  <c r="L8" i="6"/>
  <c r="J14" i="1" s="1"/>
  <c r="AI14" i="1" s="1"/>
  <c r="D29" i="6"/>
  <c r="D34" i="6"/>
  <c r="B67" i="6"/>
  <c r="D20" i="6"/>
  <c r="L6" i="6"/>
  <c r="J12" i="1" s="1"/>
  <c r="AI12" i="1" s="1"/>
  <c r="I63" i="6"/>
  <c r="D43" i="6"/>
  <c r="B28" i="6"/>
  <c r="D53" i="6"/>
  <c r="D72" i="6"/>
  <c r="D70" i="6"/>
  <c r="I55" i="6"/>
  <c r="I69" i="6"/>
  <c r="L13" i="6"/>
  <c r="J19" i="1" s="1"/>
  <c r="AI19" i="1" s="1"/>
  <c r="I59" i="6"/>
  <c r="L12" i="6"/>
  <c r="J18" i="1" s="1"/>
  <c r="AI18" i="1" s="1"/>
  <c r="I58" i="6"/>
  <c r="D56" i="6"/>
  <c r="D23" i="6"/>
  <c r="L16" i="6"/>
  <c r="J22" i="1" s="1"/>
  <c r="AI22" i="1" s="1"/>
  <c r="D46" i="6"/>
  <c r="D54" i="6"/>
  <c r="D22" i="6"/>
  <c r="L17" i="6"/>
  <c r="J23" i="1" s="1"/>
  <c r="AI23" i="1" s="1"/>
  <c r="I60" i="6"/>
  <c r="L15" i="6"/>
  <c r="J21" i="1" s="1"/>
  <c r="AI21" i="1" s="1"/>
  <c r="D31" i="6"/>
  <c r="K25" i="1"/>
  <c r="B51" i="6"/>
  <c r="D73" i="6"/>
  <c r="G52" i="6"/>
  <c r="L20" i="6"/>
  <c r="J26" i="1" s="1"/>
  <c r="AI26" i="1" s="1"/>
  <c r="I66" i="6"/>
  <c r="L18" i="6"/>
  <c r="J24" i="1" s="1"/>
  <c r="AI24" i="1" s="1"/>
  <c r="I62" i="6"/>
  <c r="L9" i="6"/>
  <c r="J15" i="1" s="1"/>
  <c r="AI15" i="1" s="1"/>
  <c r="D42" i="6"/>
  <c r="D57" i="6"/>
  <c r="D30" i="6"/>
  <c r="D71" i="6"/>
  <c r="D69" i="6"/>
  <c r="L7" i="6"/>
  <c r="J13" i="1" s="1"/>
  <c r="AI13" i="1" s="1"/>
  <c r="D19" i="6"/>
  <c r="K20" i="1" l="1"/>
  <c r="AI20" i="1"/>
  <c r="I39" i="6"/>
  <c r="D18" i="6"/>
  <c r="K18" i="1"/>
  <c r="K7" i="1"/>
  <c r="K19" i="1"/>
  <c r="D39" i="6"/>
  <c r="J5" i="1"/>
  <c r="AI5" i="1" s="1"/>
  <c r="K13" i="1"/>
  <c r="D51" i="6"/>
  <c r="J8" i="1"/>
  <c r="AI8" i="1" s="1"/>
  <c r="D67" i="6"/>
  <c r="J9" i="1"/>
  <c r="AI9" i="1" s="1"/>
  <c r="K11" i="1"/>
  <c r="J43" i="1"/>
  <c r="K6" i="1"/>
  <c r="K22" i="1"/>
  <c r="J4" i="1"/>
  <c r="D28" i="6"/>
  <c r="K23" i="1"/>
  <c r="K15" i="1"/>
  <c r="K26" i="1"/>
  <c r="K14" i="1"/>
  <c r="K17" i="1"/>
  <c r="K3" i="1"/>
  <c r="K12" i="1"/>
  <c r="K24" i="1"/>
  <c r="G74" i="6"/>
  <c r="I52" i="6"/>
  <c r="J10" i="1"/>
  <c r="AI10" i="1" s="1"/>
  <c r="K21" i="1"/>
  <c r="K16" i="1"/>
  <c r="K4" i="1" l="1"/>
  <c r="AI4" i="1"/>
  <c r="K43" i="1"/>
  <c r="J42" i="1"/>
  <c r="K5" i="1"/>
  <c r="K9" i="1"/>
  <c r="K8" i="1"/>
  <c r="K10" i="1"/>
  <c r="AI43" i="1"/>
  <c r="K41" i="1" l="1"/>
  <c r="B87" i="4" s="1"/>
  <c r="B88" i="4" s="1"/>
  <c r="H45" i="1" s="1"/>
  <c r="H46" i="1" s="1"/>
  <c r="AI41" i="1"/>
  <c r="K42" i="1"/>
  <c r="AI42" i="1"/>
  <c r="C35" i="1" l="1"/>
  <c r="C33" i="1"/>
  <c r="C32" i="1"/>
  <c r="C34" i="1"/>
  <c r="C31" i="1"/>
  <c r="G32" i="4" l="1"/>
  <c r="C7" i="19"/>
  <c r="L26" i="19" s="1"/>
  <c r="G33" i="4"/>
  <c r="C5" i="19"/>
  <c r="N26" i="19" l="1"/>
  <c r="O26" i="19" s="1"/>
  <c r="Q26" i="19"/>
  <c r="B23" i="19"/>
  <c r="L24" i="19"/>
  <c r="H58" i="21"/>
  <c r="H64" i="21"/>
  <c r="H61" i="21"/>
  <c r="G62" i="21"/>
  <c r="G65" i="21"/>
  <c r="G56" i="21"/>
  <c r="H67" i="21"/>
  <c r="H65" i="21"/>
  <c r="H69" i="21"/>
  <c r="H63" i="21"/>
  <c r="H68" i="21"/>
  <c r="G54" i="21"/>
  <c r="G67" i="21"/>
  <c r="H59" i="21"/>
  <c r="H60" i="21"/>
  <c r="H57" i="21"/>
  <c r="H66" i="21"/>
  <c r="G58" i="21"/>
  <c r="G69" i="21"/>
  <c r="G59" i="21"/>
  <c r="G60" i="21"/>
  <c r="G68" i="21"/>
  <c r="G61" i="21"/>
  <c r="G53" i="21"/>
  <c r="H56" i="21"/>
  <c r="H53" i="21"/>
  <c r="H62" i="21"/>
  <c r="H54" i="21"/>
  <c r="H55" i="21"/>
  <c r="G64" i="21"/>
  <c r="G66" i="21"/>
  <c r="L31" i="21"/>
  <c r="N31" i="21" s="1"/>
  <c r="O31" i="21" s="1"/>
  <c r="G57" i="21"/>
  <c r="G63" i="21"/>
  <c r="G55" i="21"/>
  <c r="H30" i="21"/>
  <c r="H34" i="21"/>
  <c r="H28" i="21"/>
  <c r="H32" i="21"/>
  <c r="G31" i="21"/>
  <c r="L27" i="21"/>
  <c r="N27" i="21" s="1"/>
  <c r="O27" i="21" s="1"/>
  <c r="H29" i="21"/>
  <c r="H31" i="21"/>
  <c r="G29" i="21"/>
  <c r="H33" i="21"/>
  <c r="G32" i="21"/>
  <c r="G33" i="21"/>
  <c r="G30" i="21"/>
  <c r="G28" i="21"/>
  <c r="G34" i="21"/>
  <c r="C12" i="19"/>
  <c r="L31" i="19" s="1"/>
  <c r="C6" i="19"/>
  <c r="L25" i="19" s="1"/>
  <c r="C40" i="19"/>
  <c r="C45" i="19"/>
  <c r="C41" i="19"/>
  <c r="C43" i="19"/>
  <c r="B46" i="19"/>
  <c r="B41" i="19"/>
  <c r="C42" i="19"/>
  <c r="B45" i="19"/>
  <c r="C44" i="19"/>
  <c r="C46" i="19"/>
  <c r="B43" i="19"/>
  <c r="B19" i="19"/>
  <c r="C45" i="21"/>
  <c r="B40" i="21"/>
  <c r="L26" i="21"/>
  <c r="N26" i="21" s="1"/>
  <c r="O26" i="21" s="1"/>
  <c r="C44" i="21"/>
  <c r="B43" i="21"/>
  <c r="B44" i="21"/>
  <c r="C46" i="21"/>
  <c r="C42" i="21"/>
  <c r="C40" i="21"/>
  <c r="C43" i="21"/>
  <c r="C41" i="21"/>
  <c r="B42" i="21"/>
  <c r="B46" i="21"/>
  <c r="B41" i="21"/>
  <c r="B45" i="21"/>
  <c r="C11" i="19"/>
  <c r="L30" i="19" s="1"/>
  <c r="C8" i="19"/>
  <c r="L27" i="19" s="1"/>
  <c r="B22" i="19"/>
  <c r="B44" i="19"/>
  <c r="B40" i="19"/>
  <c r="C19" i="19"/>
  <c r="C21" i="19"/>
  <c r="C23" i="19"/>
  <c r="D23" i="19" s="1"/>
  <c r="C22" i="19"/>
  <c r="C20" i="19"/>
  <c r="C68" i="21"/>
  <c r="C71" i="21"/>
  <c r="B68" i="21"/>
  <c r="B72" i="21"/>
  <c r="L30" i="21"/>
  <c r="N30" i="21" s="1"/>
  <c r="O30" i="21" s="1"/>
  <c r="B70" i="21"/>
  <c r="B71" i="21"/>
  <c r="C69" i="21"/>
  <c r="C73" i="21"/>
  <c r="B69" i="21"/>
  <c r="C70" i="21"/>
  <c r="C72" i="21"/>
  <c r="B73" i="21"/>
  <c r="B20" i="19"/>
  <c r="B42" i="19"/>
  <c r="B21" i="19"/>
  <c r="N30" i="19" l="1"/>
  <c r="O30" i="19" s="1"/>
  <c r="Q30" i="19"/>
  <c r="N25" i="19"/>
  <c r="O25" i="19" s="1"/>
  <c r="Q25" i="19"/>
  <c r="N24" i="19"/>
  <c r="O24" i="19" s="1"/>
  <c r="Q24" i="19"/>
  <c r="N31" i="19"/>
  <c r="O31" i="19" s="1"/>
  <c r="Q31" i="19"/>
  <c r="N27" i="19"/>
  <c r="O27" i="19" s="1"/>
  <c r="Q27" i="19"/>
  <c r="I63" i="21"/>
  <c r="D43" i="19"/>
  <c r="I29" i="21"/>
  <c r="I61" i="21"/>
  <c r="D45" i="21"/>
  <c r="B67" i="21"/>
  <c r="D73" i="21"/>
  <c r="I64" i="21"/>
  <c r="C18" i="19"/>
  <c r="I55" i="21"/>
  <c r="I69" i="21"/>
  <c r="I56" i="21"/>
  <c r="C67" i="21"/>
  <c r="D41" i="19"/>
  <c r="D69" i="21"/>
  <c r="H52" i="21"/>
  <c r="I68" i="21"/>
  <c r="I57" i="21"/>
  <c r="C39" i="19"/>
  <c r="D41" i="21"/>
  <c r="B39" i="21"/>
  <c r="D46" i="21"/>
  <c r="D43" i="21"/>
  <c r="C39" i="21"/>
  <c r="I32" i="21"/>
  <c r="G27" i="21"/>
  <c r="I33" i="21"/>
  <c r="I34" i="21"/>
  <c r="H27" i="21"/>
  <c r="D20" i="19"/>
  <c r="D70" i="21"/>
  <c r="C33" i="21"/>
  <c r="C31" i="21"/>
  <c r="B32" i="21"/>
  <c r="C30" i="21"/>
  <c r="B31" i="21"/>
  <c r="B34" i="21"/>
  <c r="C29" i="21"/>
  <c r="B29" i="21"/>
  <c r="L25" i="21"/>
  <c r="N25" i="21" s="1"/>
  <c r="O25" i="21" s="1"/>
  <c r="C34" i="21"/>
  <c r="C32" i="21"/>
  <c r="B33" i="21"/>
  <c r="B30" i="21"/>
  <c r="D71" i="21"/>
  <c r="D68" i="21"/>
  <c r="H34" i="19"/>
  <c r="H33" i="19"/>
  <c r="H32" i="19"/>
  <c r="H29" i="19"/>
  <c r="H31" i="19"/>
  <c r="H30" i="19"/>
  <c r="G29" i="19"/>
  <c r="H28" i="19"/>
  <c r="G30" i="19"/>
  <c r="G34" i="19"/>
  <c r="G28" i="19"/>
  <c r="G31" i="19"/>
  <c r="G32" i="19"/>
  <c r="G33" i="19"/>
  <c r="D44" i="21"/>
  <c r="D19" i="19"/>
  <c r="B18" i="19"/>
  <c r="D45" i="19"/>
  <c r="D46" i="19"/>
  <c r="H58" i="19"/>
  <c r="H67" i="19"/>
  <c r="H53" i="19"/>
  <c r="H68" i="19"/>
  <c r="G67" i="19"/>
  <c r="H65" i="19"/>
  <c r="H54" i="19"/>
  <c r="H60" i="19"/>
  <c r="H61" i="19"/>
  <c r="G55" i="19"/>
  <c r="G69" i="19"/>
  <c r="G68" i="19"/>
  <c r="G54" i="19"/>
  <c r="G61" i="19"/>
  <c r="L17" i="19" s="1"/>
  <c r="W23" i="1" s="1"/>
  <c r="G53" i="19"/>
  <c r="L5" i="19" s="1"/>
  <c r="W11" i="1" s="1"/>
  <c r="U11" i="1" s="1"/>
  <c r="H64" i="19"/>
  <c r="H66" i="19"/>
  <c r="H63" i="19"/>
  <c r="H56" i="19"/>
  <c r="H59" i="19"/>
  <c r="H69" i="19"/>
  <c r="H62" i="19"/>
  <c r="H55" i="19"/>
  <c r="H57" i="19"/>
  <c r="G64" i="19"/>
  <c r="G56" i="19"/>
  <c r="G63" i="19"/>
  <c r="G57" i="19"/>
  <c r="G65" i="19"/>
  <c r="G66" i="19"/>
  <c r="G62" i="19"/>
  <c r="G60" i="19"/>
  <c r="G58" i="19"/>
  <c r="G59" i="19"/>
  <c r="I30" i="21"/>
  <c r="I53" i="21"/>
  <c r="I59" i="21"/>
  <c r="I54" i="21"/>
  <c r="I62" i="21"/>
  <c r="D40" i="19"/>
  <c r="C72" i="19"/>
  <c r="C69" i="19"/>
  <c r="B70" i="19"/>
  <c r="C68" i="19"/>
  <c r="B72" i="19"/>
  <c r="B73" i="19"/>
  <c r="C73" i="19"/>
  <c r="C70" i="19"/>
  <c r="B69" i="19"/>
  <c r="B71" i="19"/>
  <c r="C71" i="19"/>
  <c r="B68" i="19"/>
  <c r="D40" i="21"/>
  <c r="I31" i="21"/>
  <c r="I66" i="21"/>
  <c r="D21" i="19"/>
  <c r="D44" i="19"/>
  <c r="I58" i="21"/>
  <c r="C22" i="21"/>
  <c r="C21" i="21"/>
  <c r="B21" i="21"/>
  <c r="C23" i="21"/>
  <c r="B19" i="21"/>
  <c r="B22" i="21"/>
  <c r="C20" i="21"/>
  <c r="C19" i="21"/>
  <c r="B20" i="21"/>
  <c r="B23" i="21"/>
  <c r="B6" i="21"/>
  <c r="L24" i="21"/>
  <c r="N24" i="21" s="1"/>
  <c r="O24" i="21" s="1"/>
  <c r="D42" i="21"/>
  <c r="D42" i="19"/>
  <c r="D72" i="21"/>
  <c r="B2" i="19"/>
  <c r="B8" i="19" s="1"/>
  <c r="D22" i="19"/>
  <c r="C34" i="19"/>
  <c r="C33" i="19"/>
  <c r="C32" i="19"/>
  <c r="C29" i="19"/>
  <c r="B33" i="19"/>
  <c r="B32" i="19"/>
  <c r="C30" i="19"/>
  <c r="B34" i="19"/>
  <c r="C31" i="19"/>
  <c r="B30" i="19"/>
  <c r="B31" i="19"/>
  <c r="B29" i="19"/>
  <c r="I28" i="21"/>
  <c r="B39" i="19"/>
  <c r="G52" i="21"/>
  <c r="I60" i="21"/>
  <c r="I67" i="21"/>
  <c r="I65" i="21"/>
  <c r="U23" i="1" l="1"/>
  <c r="L17" i="23" s="1"/>
  <c r="C11" i="1"/>
  <c r="D69" i="19"/>
  <c r="Q32" i="19"/>
  <c r="O32" i="19"/>
  <c r="I33" i="19"/>
  <c r="B6" i="19"/>
  <c r="L9" i="19"/>
  <c r="W15" i="1" s="1"/>
  <c r="I67" i="19"/>
  <c r="I57" i="19"/>
  <c r="D67" i="21"/>
  <c r="D33" i="21"/>
  <c r="I27" i="21"/>
  <c r="C28" i="21"/>
  <c r="G52" i="19"/>
  <c r="W10" i="1" s="1"/>
  <c r="U10" i="1" s="1"/>
  <c r="L6" i="19"/>
  <c r="W12" i="1" s="1"/>
  <c r="I56" i="19"/>
  <c r="D33" i="19"/>
  <c r="B67" i="19"/>
  <c r="W9" i="1" s="1"/>
  <c r="U9" i="1" s="1"/>
  <c r="I53" i="19"/>
  <c r="L10" i="19"/>
  <c r="W16" i="1" s="1"/>
  <c r="I61" i="19"/>
  <c r="D39" i="21"/>
  <c r="I52" i="21"/>
  <c r="O32" i="21"/>
  <c r="X45" i="1" s="1"/>
  <c r="X46" i="1" s="1"/>
  <c r="C67" i="19"/>
  <c r="D71" i="19"/>
  <c r="B28" i="21"/>
  <c r="L11" i="19"/>
  <c r="W17" i="1" s="1"/>
  <c r="U17" i="1" s="1"/>
  <c r="I69" i="19"/>
  <c r="H52" i="19"/>
  <c r="I52" i="19" s="1"/>
  <c r="C18" i="21"/>
  <c r="D73" i="19"/>
  <c r="I55" i="19"/>
  <c r="I64" i="19"/>
  <c r="B18" i="21"/>
  <c r="I29" i="19"/>
  <c r="I32" i="19"/>
  <c r="B5" i="21"/>
  <c r="I30" i="19"/>
  <c r="D30" i="21"/>
  <c r="H27" i="19"/>
  <c r="D32" i="21"/>
  <c r="D30" i="19"/>
  <c r="D39" i="19"/>
  <c r="W5" i="1"/>
  <c r="U5" i="1" s="1"/>
  <c r="D31" i="19"/>
  <c r="L15" i="19"/>
  <c r="W21" i="1" s="1"/>
  <c r="D34" i="19"/>
  <c r="L16" i="19"/>
  <c r="W22" i="1" s="1"/>
  <c r="C28" i="19"/>
  <c r="D23" i="21"/>
  <c r="B11" i="19"/>
  <c r="I58" i="19"/>
  <c r="L12" i="19"/>
  <c r="W18" i="1" s="1"/>
  <c r="I66" i="19"/>
  <c r="L20" i="19"/>
  <c r="W26" i="1" s="1"/>
  <c r="I68" i="19"/>
  <c r="B12" i="19"/>
  <c r="W3" i="1"/>
  <c r="U3" i="1" s="1"/>
  <c r="D18" i="19"/>
  <c r="G27" i="19"/>
  <c r="I28" i="19"/>
  <c r="I65" i="19"/>
  <c r="L19" i="19"/>
  <c r="W25" i="1" s="1"/>
  <c r="D32" i="19"/>
  <c r="D22" i="21"/>
  <c r="D21" i="21"/>
  <c r="L5" i="23"/>
  <c r="I60" i="19"/>
  <c r="L14" i="19"/>
  <c r="W20" i="1" s="1"/>
  <c r="I34" i="19"/>
  <c r="D34" i="21"/>
  <c r="D29" i="19"/>
  <c r="L8" i="19"/>
  <c r="W14" i="1" s="1"/>
  <c r="B28" i="19"/>
  <c r="B9" i="19"/>
  <c r="B10" i="19"/>
  <c r="B5" i="19"/>
  <c r="B7" i="19"/>
  <c r="B10" i="21"/>
  <c r="B9" i="21"/>
  <c r="B8" i="21"/>
  <c r="B7" i="21"/>
  <c r="B11" i="21"/>
  <c r="B12" i="21"/>
  <c r="D20" i="21"/>
  <c r="D19" i="21"/>
  <c r="D68" i="19"/>
  <c r="D72" i="19"/>
  <c r="D70" i="19"/>
  <c r="I59" i="19"/>
  <c r="L13" i="19"/>
  <c r="W19" i="1" s="1"/>
  <c r="I62" i="19"/>
  <c r="L18" i="19"/>
  <c r="W24" i="1" s="1"/>
  <c r="I63" i="19"/>
  <c r="I54" i="19"/>
  <c r="L7" i="19"/>
  <c r="W13" i="1" s="1"/>
  <c r="I31" i="19"/>
  <c r="D29" i="21"/>
  <c r="D31" i="21"/>
  <c r="C23" i="1" l="1"/>
  <c r="L17" i="22"/>
  <c r="U25" i="1"/>
  <c r="L19" i="23" s="1"/>
  <c r="U18" i="1"/>
  <c r="C18" i="1" s="1"/>
  <c r="U19" i="1"/>
  <c r="L13" i="23" s="1"/>
  <c r="U22" i="1"/>
  <c r="L16" i="23" s="1"/>
  <c r="U14" i="1"/>
  <c r="L8" i="23" s="1"/>
  <c r="U26" i="1"/>
  <c r="L20" i="22" s="1"/>
  <c r="U16" i="1"/>
  <c r="L10" i="23" s="1"/>
  <c r="U24" i="1"/>
  <c r="L18" i="23" s="1"/>
  <c r="U20" i="1"/>
  <c r="L14" i="23" s="1"/>
  <c r="U13" i="1"/>
  <c r="L7" i="23" s="1"/>
  <c r="U21" i="1"/>
  <c r="L15" i="23" s="1"/>
  <c r="U12" i="1"/>
  <c r="C12" i="1" s="1"/>
  <c r="U15" i="1"/>
  <c r="L9" i="23" s="1"/>
  <c r="D67" i="19"/>
  <c r="D28" i="21"/>
  <c r="D18" i="21"/>
  <c r="C17" i="1"/>
  <c r="L11" i="23"/>
  <c r="L11" i="22"/>
  <c r="D28" i="19"/>
  <c r="W4" i="1"/>
  <c r="W43" i="1"/>
  <c r="I27" i="19"/>
  <c r="W6" i="1"/>
  <c r="U6" i="1" s="1"/>
  <c r="B10" i="1"/>
  <c r="B9" i="1"/>
  <c r="C11" i="22"/>
  <c r="G27" i="25" s="1"/>
  <c r="H27" i="25" s="1"/>
  <c r="J7" i="25" s="1"/>
  <c r="L5" i="22"/>
  <c r="C25" i="1"/>
  <c r="C7" i="22"/>
  <c r="G23" i="25" s="1"/>
  <c r="H23" i="25" s="1"/>
  <c r="F7" i="25" s="1"/>
  <c r="B5" i="1"/>
  <c r="C20" i="1" l="1"/>
  <c r="L12" i="22"/>
  <c r="L8" i="22"/>
  <c r="L19" i="22"/>
  <c r="C26" i="1"/>
  <c r="L9" i="22"/>
  <c r="L14" i="22"/>
  <c r="L18" i="22"/>
  <c r="C13" i="1"/>
  <c r="L7" i="22"/>
  <c r="L13" i="22"/>
  <c r="C21" i="1"/>
  <c r="L10" i="22"/>
  <c r="L15" i="22"/>
  <c r="C24" i="1"/>
  <c r="C22" i="1"/>
  <c r="L16" i="22"/>
  <c r="C15" i="1"/>
  <c r="L6" i="23"/>
  <c r="L20" i="23"/>
  <c r="L12" i="23"/>
  <c r="U4" i="1"/>
  <c r="U41" i="1" s="1"/>
  <c r="B2" i="22" s="1"/>
  <c r="L6" i="22"/>
  <c r="U43" i="1"/>
  <c r="C19" i="1"/>
  <c r="C14" i="1"/>
  <c r="C16" i="1"/>
  <c r="W41" i="1"/>
  <c r="J13" i="25"/>
  <c r="J16" i="25" s="1"/>
  <c r="J14" i="25"/>
  <c r="J17" i="25" s="1"/>
  <c r="F13" i="25"/>
  <c r="F16" i="25" s="1"/>
  <c r="F14" i="25"/>
  <c r="F17" i="25" s="1"/>
  <c r="W42" i="1"/>
  <c r="C42" i="22"/>
  <c r="C40" i="22"/>
  <c r="C44" i="22"/>
  <c r="B42" i="22"/>
  <c r="C43" i="22"/>
  <c r="L26" i="22"/>
  <c r="N26" i="22" s="1"/>
  <c r="O26" i="22" s="1"/>
  <c r="B40" i="22"/>
  <c r="C41" i="22"/>
  <c r="C46" i="22"/>
  <c r="B44" i="22"/>
  <c r="C45" i="22"/>
  <c r="B43" i="22"/>
  <c r="B41" i="22"/>
  <c r="B46" i="22"/>
  <c r="B45" i="22"/>
  <c r="B6" i="1"/>
  <c r="C8" i="22"/>
  <c r="G24" i="25" s="1"/>
  <c r="H24" i="25" s="1"/>
  <c r="G7" i="25" s="1"/>
  <c r="C68" i="22"/>
  <c r="B72" i="22"/>
  <c r="C71" i="22"/>
  <c r="C73" i="22"/>
  <c r="L30" i="22"/>
  <c r="N30" i="22" s="1"/>
  <c r="O30" i="22" s="1"/>
  <c r="C72" i="22"/>
  <c r="C70" i="22"/>
  <c r="C69" i="22"/>
  <c r="B70" i="22"/>
  <c r="B71" i="22"/>
  <c r="B68" i="22"/>
  <c r="B73" i="22"/>
  <c r="B69" i="22"/>
  <c r="C5" i="22"/>
  <c r="G21" i="25" s="1"/>
  <c r="B3" i="1"/>
  <c r="C11" i="16"/>
  <c r="C12" i="16"/>
  <c r="C7" i="16"/>
  <c r="C12" i="22" l="1"/>
  <c r="H60" i="22" s="1"/>
  <c r="C43" i="1"/>
  <c r="C41" i="1"/>
  <c r="B4" i="1"/>
  <c r="C6" i="16" s="1"/>
  <c r="U42" i="1"/>
  <c r="C6" i="22"/>
  <c r="G22" i="25" s="1"/>
  <c r="H22" i="25" s="1"/>
  <c r="E7" i="25" s="1"/>
  <c r="E13" i="25" s="1"/>
  <c r="E16" i="25" s="1"/>
  <c r="H21" i="25"/>
  <c r="D7" i="25" s="1"/>
  <c r="B41" i="1"/>
  <c r="B5" i="16" s="1"/>
  <c r="G14" i="25"/>
  <c r="G17" i="25" s="1"/>
  <c r="G13" i="25"/>
  <c r="G16" i="25" s="1"/>
  <c r="D45" i="22"/>
  <c r="D46" i="22"/>
  <c r="H58" i="22"/>
  <c r="G54" i="22"/>
  <c r="H61" i="22"/>
  <c r="D43" i="22"/>
  <c r="D68" i="22"/>
  <c r="D40" i="22"/>
  <c r="D42" i="22"/>
  <c r="D71" i="22"/>
  <c r="D44" i="22"/>
  <c r="C39" i="22"/>
  <c r="C67" i="22"/>
  <c r="D41" i="22"/>
  <c r="C40" i="16"/>
  <c r="B40" i="16"/>
  <c r="C45" i="16"/>
  <c r="C41" i="16"/>
  <c r="B42" i="16"/>
  <c r="L26" i="16"/>
  <c r="N26" i="16" s="1"/>
  <c r="O26" i="16" s="1"/>
  <c r="C43" i="16"/>
  <c r="C42" i="16"/>
  <c r="C44" i="16"/>
  <c r="C46" i="16"/>
  <c r="B46" i="16"/>
  <c r="B45" i="16"/>
  <c r="B44" i="16"/>
  <c r="B43" i="16"/>
  <c r="B41" i="16"/>
  <c r="C72" i="16"/>
  <c r="C69" i="16"/>
  <c r="B68" i="16"/>
  <c r="C71" i="16"/>
  <c r="B69" i="16"/>
  <c r="B70" i="16"/>
  <c r="C70" i="16"/>
  <c r="C68" i="16"/>
  <c r="L30" i="16"/>
  <c r="N30" i="16" s="1"/>
  <c r="O30" i="16" s="1"/>
  <c r="C73" i="16"/>
  <c r="B73" i="16"/>
  <c r="B72" i="16"/>
  <c r="B71" i="16"/>
  <c r="B9" i="22"/>
  <c r="B10" i="22"/>
  <c r="B67" i="22"/>
  <c r="B7" i="22"/>
  <c r="D69" i="22"/>
  <c r="H33" i="22"/>
  <c r="H29" i="22"/>
  <c r="H34" i="22"/>
  <c r="H32" i="22"/>
  <c r="G30" i="22"/>
  <c r="G33" i="22"/>
  <c r="G31" i="22"/>
  <c r="G34" i="22"/>
  <c r="H31" i="22"/>
  <c r="H28" i="22"/>
  <c r="G29" i="22"/>
  <c r="B8" i="22"/>
  <c r="H30" i="22"/>
  <c r="G32" i="22"/>
  <c r="G28" i="22"/>
  <c r="L27" i="22"/>
  <c r="N27" i="22" s="1"/>
  <c r="O27" i="22" s="1"/>
  <c r="H63" i="16"/>
  <c r="H62" i="16"/>
  <c r="H65" i="16"/>
  <c r="H54" i="16"/>
  <c r="G66" i="16"/>
  <c r="G57" i="16"/>
  <c r="H64" i="16"/>
  <c r="H66" i="16"/>
  <c r="H69" i="16"/>
  <c r="H67" i="16"/>
  <c r="G67" i="16"/>
  <c r="G59" i="16"/>
  <c r="G55" i="16"/>
  <c r="G56" i="16"/>
  <c r="H61" i="16"/>
  <c r="H56" i="16"/>
  <c r="H58" i="16"/>
  <c r="H53" i="16"/>
  <c r="G69" i="16"/>
  <c r="G65" i="16"/>
  <c r="G58" i="16"/>
  <c r="H68" i="16"/>
  <c r="H59" i="16"/>
  <c r="H55" i="16"/>
  <c r="H57" i="16"/>
  <c r="H60" i="16"/>
  <c r="G61" i="16"/>
  <c r="G54" i="16"/>
  <c r="G62" i="16"/>
  <c r="G60" i="16"/>
  <c r="G64" i="16"/>
  <c r="G63" i="16"/>
  <c r="G53" i="16"/>
  <c r="L31" i="16"/>
  <c r="N31" i="16" s="1"/>
  <c r="O31" i="16" s="1"/>
  <c r="G68" i="16"/>
  <c r="C21" i="22"/>
  <c r="C23" i="22"/>
  <c r="C22" i="22"/>
  <c r="C19" i="22"/>
  <c r="B20" i="22"/>
  <c r="C20" i="22"/>
  <c r="B21" i="22"/>
  <c r="B22" i="22"/>
  <c r="B23" i="22"/>
  <c r="L24" i="22"/>
  <c r="N24" i="22" s="1"/>
  <c r="O24" i="22" s="1"/>
  <c r="B19" i="22"/>
  <c r="B5" i="22"/>
  <c r="D73" i="22"/>
  <c r="D70" i="22"/>
  <c r="B11" i="22"/>
  <c r="D72" i="22"/>
  <c r="C8" i="16"/>
  <c r="B12" i="22"/>
  <c r="B29" i="22"/>
  <c r="B39" i="22"/>
  <c r="G63" i="22" l="1"/>
  <c r="H56" i="22"/>
  <c r="H64" i="22"/>
  <c r="G61" i="22"/>
  <c r="H68" i="22"/>
  <c r="G59" i="22"/>
  <c r="C29" i="22"/>
  <c r="C34" i="22"/>
  <c r="H62" i="22"/>
  <c r="H63" i="22"/>
  <c r="H54" i="22"/>
  <c r="I54" i="22" s="1"/>
  <c r="H57" i="22"/>
  <c r="G65" i="22"/>
  <c r="G56" i="22"/>
  <c r="I56" i="22" s="1"/>
  <c r="H59" i="22"/>
  <c r="I59" i="22" s="1"/>
  <c r="L31" i="22"/>
  <c r="N31" i="22" s="1"/>
  <c r="O31" i="22" s="1"/>
  <c r="G67" i="22"/>
  <c r="G64" i="22"/>
  <c r="H66" i="22"/>
  <c r="H65" i="22"/>
  <c r="G62" i="22"/>
  <c r="G69" i="22"/>
  <c r="H53" i="22"/>
  <c r="H69" i="22"/>
  <c r="G28" i="25"/>
  <c r="H28" i="25" s="1"/>
  <c r="K7" i="25" s="1"/>
  <c r="K13" i="25" s="1"/>
  <c r="K16" i="25" s="1"/>
  <c r="B42" i="1"/>
  <c r="H67" i="22"/>
  <c r="G57" i="22"/>
  <c r="G66" i="22"/>
  <c r="H55" i="22"/>
  <c r="G60" i="22"/>
  <c r="I60" i="22" s="1"/>
  <c r="G53" i="22"/>
  <c r="G68" i="22"/>
  <c r="I68" i="22" s="1"/>
  <c r="G55" i="22"/>
  <c r="G58" i="22"/>
  <c r="I58" i="22" s="1"/>
  <c r="L25" i="22"/>
  <c r="N25" i="22" s="1"/>
  <c r="O25" i="22" s="1"/>
  <c r="C32" i="22"/>
  <c r="B31" i="22"/>
  <c r="E14" i="25"/>
  <c r="E17" i="25" s="1"/>
  <c r="B34" i="22"/>
  <c r="B6" i="22"/>
  <c r="B13" i="22" s="1"/>
  <c r="B32" i="22"/>
  <c r="C33" i="22"/>
  <c r="B30" i="22"/>
  <c r="C30" i="22"/>
  <c r="B33" i="22"/>
  <c r="C31" i="22"/>
  <c r="D14" i="25"/>
  <c r="D17" i="25" s="1"/>
  <c r="D13" i="25"/>
  <c r="D16" i="25" s="1"/>
  <c r="I64" i="16"/>
  <c r="B8" i="16"/>
  <c r="I61" i="16"/>
  <c r="D29" i="22"/>
  <c r="D71" i="16"/>
  <c r="I61" i="22"/>
  <c r="D67" i="22"/>
  <c r="I63" i="22"/>
  <c r="D69" i="16"/>
  <c r="D45" i="16"/>
  <c r="C39" i="16"/>
  <c r="C67" i="16"/>
  <c r="D23" i="22"/>
  <c r="I63" i="16"/>
  <c r="H52" i="16"/>
  <c r="D68" i="16"/>
  <c r="D43" i="16"/>
  <c r="B39" i="16"/>
  <c r="I53" i="16"/>
  <c r="D72" i="16"/>
  <c r="D41" i="16"/>
  <c r="D39" i="22"/>
  <c r="I68" i="16"/>
  <c r="I69" i="16"/>
  <c r="I67" i="16"/>
  <c r="I28" i="22"/>
  <c r="I29" i="22"/>
  <c r="D70" i="16"/>
  <c r="I34" i="22"/>
  <c r="C18" i="22"/>
  <c r="D21" i="22"/>
  <c r="H27" i="22"/>
  <c r="H31" i="16"/>
  <c r="H33" i="16"/>
  <c r="H28" i="16"/>
  <c r="G32" i="16"/>
  <c r="H32" i="16"/>
  <c r="H30" i="16"/>
  <c r="G34" i="16"/>
  <c r="G28" i="16"/>
  <c r="H29" i="16"/>
  <c r="H34" i="16"/>
  <c r="L27" i="16"/>
  <c r="N27" i="16" s="1"/>
  <c r="O27" i="16" s="1"/>
  <c r="G33" i="16"/>
  <c r="G31" i="16"/>
  <c r="G30" i="16"/>
  <c r="G29" i="16"/>
  <c r="L9" i="16" s="1"/>
  <c r="I54" i="16"/>
  <c r="I58" i="16"/>
  <c r="L12" i="16"/>
  <c r="I55" i="16"/>
  <c r="I66" i="16"/>
  <c r="L20" i="16"/>
  <c r="G27" i="22"/>
  <c r="I30" i="22"/>
  <c r="G52" i="16"/>
  <c r="L19" i="16"/>
  <c r="I65" i="16"/>
  <c r="I59" i="16"/>
  <c r="L13" i="16"/>
  <c r="C33" i="16"/>
  <c r="B29" i="16"/>
  <c r="C31" i="16"/>
  <c r="C32" i="16"/>
  <c r="B33" i="16"/>
  <c r="C30" i="16"/>
  <c r="C29" i="16"/>
  <c r="C34" i="16"/>
  <c r="B31" i="16"/>
  <c r="L25" i="16"/>
  <c r="N25" i="16" s="1"/>
  <c r="O25" i="16" s="1"/>
  <c r="B34" i="16"/>
  <c r="B30" i="16"/>
  <c r="B32" i="16"/>
  <c r="D44" i="16"/>
  <c r="L10" i="16"/>
  <c r="D40" i="16"/>
  <c r="L5" i="16"/>
  <c r="B2" i="16"/>
  <c r="C5" i="16" s="1"/>
  <c r="B9" i="16"/>
  <c r="B10" i="16"/>
  <c r="B12" i="16"/>
  <c r="B7" i="16"/>
  <c r="B11" i="16"/>
  <c r="B6" i="16"/>
  <c r="I31" i="22"/>
  <c r="D73" i="16"/>
  <c r="D42" i="16"/>
  <c r="D22" i="22"/>
  <c r="B18" i="22"/>
  <c r="I60" i="16"/>
  <c r="L14" i="16"/>
  <c r="D19" i="22"/>
  <c r="D20" i="22"/>
  <c r="L18" i="16"/>
  <c r="I62" i="16"/>
  <c r="I56" i="16"/>
  <c r="I57" i="16"/>
  <c r="I32" i="22"/>
  <c r="I33" i="22"/>
  <c r="B67" i="16"/>
  <c r="D46" i="16"/>
  <c r="D34" i="22" l="1"/>
  <c r="I62" i="22"/>
  <c r="O32" i="22"/>
  <c r="U45" i="1" s="1"/>
  <c r="U46" i="1" s="1"/>
  <c r="K14" i="4" s="1"/>
  <c r="I64" i="22"/>
  <c r="I57" i="22"/>
  <c r="I55" i="22"/>
  <c r="D32" i="22"/>
  <c r="I67" i="22"/>
  <c r="K14" i="25"/>
  <c r="K17" i="25" s="1"/>
  <c r="M17" i="25" s="1"/>
  <c r="K15" i="4" s="1"/>
  <c r="D30" i="22"/>
  <c r="G52" i="22"/>
  <c r="I65" i="22"/>
  <c r="I69" i="22"/>
  <c r="D31" i="22"/>
  <c r="B28" i="22"/>
  <c r="H52" i="22"/>
  <c r="I66" i="22"/>
  <c r="I53" i="22"/>
  <c r="G29" i="25"/>
  <c r="D33" i="22"/>
  <c r="C28" i="22"/>
  <c r="M16" i="25"/>
  <c r="K16" i="4" s="1"/>
  <c r="D18" i="22"/>
  <c r="D33" i="16"/>
  <c r="I31" i="16"/>
  <c r="D67" i="16"/>
  <c r="I27" i="22"/>
  <c r="D39" i="16"/>
  <c r="D34" i="16"/>
  <c r="D30" i="16"/>
  <c r="I52" i="16"/>
  <c r="H27" i="16"/>
  <c r="I33" i="16"/>
  <c r="B28" i="16"/>
  <c r="L8" i="16"/>
  <c r="D29" i="16"/>
  <c r="I29" i="16"/>
  <c r="I28" i="16"/>
  <c r="C28" i="16"/>
  <c r="C20" i="16"/>
  <c r="C21" i="16"/>
  <c r="B20" i="16"/>
  <c r="B23" i="16"/>
  <c r="C22" i="16"/>
  <c r="B21" i="16"/>
  <c r="B22" i="16"/>
  <c r="B19" i="16"/>
  <c r="C23" i="16"/>
  <c r="C19" i="16"/>
  <c r="L24" i="16"/>
  <c r="N24" i="16" s="1"/>
  <c r="O24" i="16" s="1"/>
  <c r="O32" i="16" s="1"/>
  <c r="D45" i="1" s="1"/>
  <c r="D46" i="1" s="1"/>
  <c r="D32" i="16"/>
  <c r="L15" i="16"/>
  <c r="D31" i="16"/>
  <c r="I30" i="16"/>
  <c r="G27" i="16"/>
  <c r="I34" i="16"/>
  <c r="I32" i="16"/>
  <c r="I52" i="22" l="1"/>
  <c r="D28" i="22"/>
  <c r="C18" i="16"/>
  <c r="I27" i="16"/>
  <c r="D19" i="16"/>
  <c r="L7" i="16"/>
  <c r="B18" i="16"/>
  <c r="D20" i="16"/>
  <c r="L6" i="16"/>
  <c r="D23" i="16"/>
  <c r="L16" i="16"/>
  <c r="L17" i="16"/>
  <c r="D22" i="16"/>
  <c r="L11" i="16"/>
  <c r="D21" i="16"/>
  <c r="D28" i="16"/>
  <c r="D18"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Brian Riise</author>
    <author>Chea, John David</author>
  </authors>
  <commentList>
    <comment ref="B6" authorId="0" shapeId="0" xr:uid="{00000000-0006-0000-0400-000001000000}">
      <text>
        <r>
          <rPr>
            <b/>
            <sz val="9"/>
            <color indexed="81"/>
            <rFont val="Tahoma"/>
            <family val="2"/>
          </rPr>
          <t>Brian Riise:</t>
        </r>
        <r>
          <rPr>
            <sz val="9"/>
            <color indexed="81"/>
            <rFont val="Tahoma"/>
            <family val="2"/>
          </rPr>
          <t xml:space="preserve">
Enter material name if desired</t>
        </r>
      </text>
    </comment>
    <comment ref="K6" authorId="1" shapeId="0" xr:uid="{00000000-0006-0000-0400-000002000000}">
      <text>
        <r>
          <rPr>
            <b/>
            <sz val="9"/>
            <color indexed="81"/>
            <rFont val="Tahoma"/>
            <family val="2"/>
          </rPr>
          <t>Chea, John David:</t>
        </r>
        <r>
          <rPr>
            <sz val="9"/>
            <color indexed="81"/>
            <rFont val="Tahoma"/>
            <family val="2"/>
          </rPr>
          <t xml:space="preserve">
Assumed that Polyurethane data is valid to represent "Other resins"</t>
        </r>
      </text>
    </comment>
    <comment ref="B7" authorId="0" shapeId="0" xr:uid="{00000000-0006-0000-0400-000003000000}">
      <text>
        <r>
          <rPr>
            <b/>
            <sz val="9"/>
            <color indexed="81"/>
            <rFont val="Tahoma"/>
            <family val="2"/>
          </rPr>
          <t>Brian Riise:</t>
        </r>
        <r>
          <rPr>
            <sz val="9"/>
            <color indexed="81"/>
            <rFont val="Tahoma"/>
            <family val="2"/>
          </rPr>
          <t xml:space="preserve">
Enter the current recycle content of the material.</t>
        </r>
      </text>
    </comment>
    <comment ref="B8" authorId="0" shapeId="0" xr:uid="{00000000-0006-0000-0400-000004000000}">
      <text>
        <r>
          <rPr>
            <b/>
            <sz val="9"/>
            <color indexed="81"/>
            <rFont val="Tahoma"/>
            <family val="2"/>
          </rPr>
          <t>Brian Riise:</t>
        </r>
        <r>
          <rPr>
            <sz val="9"/>
            <color indexed="81"/>
            <rFont val="Tahoma"/>
            <family val="2"/>
          </rPr>
          <t xml:space="preserve">
The current yield of feed material that ends up as product.</t>
        </r>
      </text>
    </comment>
    <comment ref="B9" authorId="0" shapeId="0" xr:uid="{00000000-0006-0000-0400-000005000000}">
      <text>
        <r>
          <rPr>
            <b/>
            <sz val="9"/>
            <color indexed="81"/>
            <rFont val="Tahoma"/>
            <family val="2"/>
          </rPr>
          <t>Brian Riise:</t>
        </r>
        <r>
          <rPr>
            <sz val="9"/>
            <color indexed="81"/>
            <rFont val="Tahoma"/>
            <family val="2"/>
          </rPr>
          <t xml:space="preserve">
Look up vales of the embodied energy of the selected material in column C (primary material) in the "EE CO2" tab.  If data is not available enter "0" and ignore calculation of embodied energy change.</t>
        </r>
      </text>
    </comment>
    <comment ref="B10" authorId="0" shapeId="0" xr:uid="{00000000-0006-0000-0400-000006000000}">
      <text>
        <r>
          <rPr>
            <b/>
            <sz val="9"/>
            <color indexed="81"/>
            <rFont val="Tahoma"/>
            <family val="2"/>
          </rPr>
          <t>Brian Riise:</t>
        </r>
        <r>
          <rPr>
            <sz val="9"/>
            <color indexed="81"/>
            <rFont val="Tahoma"/>
            <family val="2"/>
          </rPr>
          <t xml:space="preserve">
Yoy may look up vales of the embodied energy of the selected material in column D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1" authorId="0" shapeId="0" xr:uid="{00000000-0006-0000-0400-000007000000}">
      <text>
        <r>
          <rPr>
            <b/>
            <sz val="9"/>
            <color indexed="81"/>
            <rFont val="Tahoma"/>
            <family val="2"/>
          </rPr>
          <t>Brian Riise:</t>
        </r>
        <r>
          <rPr>
            <sz val="9"/>
            <color indexed="81"/>
            <rFont val="Tahoma"/>
            <family val="2"/>
          </rPr>
          <t xml:space="preserve">
Look up vales of the CO2 emissions of the selected material in column E (primary material) in the "EE CO2" tab.  If data is not available enter "0" and ignore calculation of embodied energy change.</t>
        </r>
      </text>
    </comment>
    <comment ref="B12" authorId="0" shapeId="0" xr:uid="{00000000-0006-0000-0400-000008000000}">
      <text>
        <r>
          <rPr>
            <b/>
            <sz val="9"/>
            <color indexed="81"/>
            <rFont val="Tahoma"/>
            <family val="2"/>
          </rPr>
          <t>Brian Riise:</t>
        </r>
        <r>
          <rPr>
            <sz val="9"/>
            <color indexed="81"/>
            <rFont val="Tahoma"/>
            <family val="2"/>
          </rPr>
          <t xml:space="preserve">
Look up vales of the CO2 emissions of the selected material in column F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3" authorId="0" shapeId="0" xr:uid="{00000000-0006-0000-0400-000009000000}">
      <text>
        <r>
          <rPr>
            <b/>
            <sz val="9"/>
            <color indexed="81"/>
            <rFont val="Tahoma"/>
            <family val="2"/>
          </rPr>
          <t>Brian Riise:</t>
        </r>
        <r>
          <rPr>
            <sz val="9"/>
            <color indexed="81"/>
            <rFont val="Tahoma"/>
            <family val="2"/>
          </rPr>
          <t xml:space="preserve">
This is the calculated weight average embodied energy of the selected material in the current product of interest.  In future versions, this should tie directly to data in the "EE CO2" tab.  It also divides by the yield determine the embodidied energy of material ending up in the the product. </t>
        </r>
      </text>
    </comment>
    <comment ref="B14" authorId="0" shapeId="0" xr:uid="{00000000-0006-0000-0400-00000A000000}">
      <text>
        <r>
          <rPr>
            <b/>
            <sz val="9"/>
            <color indexed="81"/>
            <rFont val="Tahoma"/>
            <family val="2"/>
          </rPr>
          <t>Brian Riise:</t>
        </r>
        <r>
          <rPr>
            <sz val="9"/>
            <color indexed="81"/>
            <rFont val="Tahoma"/>
            <family val="2"/>
          </rPr>
          <t xml:space="preserve">
This is the calculated weight average CO2 emissions of the selected material in the current product of interest.  In future versions, this should tie directly to data in the "EE CO2" tab.  It also divides by the yield determine the embodidied energy of material ending up in the the product. </t>
        </r>
      </text>
    </comment>
    <comment ref="B15" authorId="0" shapeId="0" xr:uid="{00000000-0006-0000-0400-00000B000000}">
      <text>
        <r>
          <rPr>
            <b/>
            <sz val="9"/>
            <color indexed="81"/>
            <rFont val="Tahoma"/>
            <family val="2"/>
          </rPr>
          <t>Brian Riise:</t>
        </r>
        <r>
          <rPr>
            <sz val="9"/>
            <color indexed="81"/>
            <rFont val="Tahoma"/>
            <family val="2"/>
          </rPr>
          <t xml:space="preserve">
This the the amount of the material type in the product of interest</t>
        </r>
      </text>
    </comment>
    <comment ref="B17" authorId="0" shapeId="0" xr:uid="{00000000-0006-0000-0400-00000C000000}">
      <text>
        <r>
          <rPr>
            <b/>
            <sz val="9"/>
            <color indexed="81"/>
            <rFont val="Tahoma"/>
            <family val="2"/>
          </rPr>
          <t>Brian Riise:</t>
        </r>
        <r>
          <rPr>
            <sz val="9"/>
            <color indexed="81"/>
            <rFont val="Tahoma"/>
            <family val="2"/>
          </rPr>
          <t xml:space="preserve">
Enter the current recycle Look up vales in rows 36 through 68 in the "EE CO2" tab.  If data is not available enter "0" and ignore calculation of embodied energy change.</t>
        </r>
      </text>
    </comment>
    <comment ref="M17" authorId="1" shapeId="0" xr:uid="{00000000-0006-0000-0400-00000D000000}">
      <text>
        <r>
          <rPr>
            <b/>
            <sz val="9"/>
            <color indexed="81"/>
            <rFont val="Tahoma"/>
            <family val="2"/>
          </rPr>
          <t>Chea, John David:</t>
        </r>
        <r>
          <rPr>
            <sz val="9"/>
            <color indexed="81"/>
            <rFont val="Tahoma"/>
            <family val="2"/>
          </rPr>
          <t xml:space="preserve">
This number is not used because it only applies to Actual Recycled/Sent for Recycling. The number we used is based on the entire EoL impact</t>
        </r>
      </text>
    </comment>
  </commentList>
</comments>
</file>

<file path=xl/sharedStrings.xml><?xml version="1.0" encoding="utf-8"?>
<sst xmlns="http://schemas.openxmlformats.org/spreadsheetml/2006/main" count="3190" uniqueCount="516">
  <si>
    <t>Stream</t>
  </si>
  <si>
    <t>Polyethylene Terephthalate (PET)</t>
  </si>
  <si>
    <t>High Density Polyethylene (HDPE)</t>
  </si>
  <si>
    <t>Polyvinyl Chloride (PVC)</t>
  </si>
  <si>
    <t>Low Density Polyethylene (LDPE)</t>
  </si>
  <si>
    <t>Polylactic Acid (PLA)</t>
  </si>
  <si>
    <t>Polypropylene (PP)</t>
  </si>
  <si>
    <t>Polystyrene (PS)</t>
  </si>
  <si>
    <t>Other</t>
  </si>
  <si>
    <t>Plasticizer</t>
  </si>
  <si>
    <t>Flame Retardant</t>
  </si>
  <si>
    <t>Colorant</t>
  </si>
  <si>
    <t>Slip Agents</t>
  </si>
  <si>
    <t>Biocide</t>
  </si>
  <si>
    <t>Fillers</t>
  </si>
  <si>
    <t>Reinforcement</t>
  </si>
  <si>
    <t>[US tons]</t>
  </si>
  <si>
    <t>Values</t>
  </si>
  <si>
    <t>2018 Conditions</t>
  </si>
  <si>
    <t>Glass</t>
  </si>
  <si>
    <t>Total MSW (tons)</t>
  </si>
  <si>
    <t>Total Plastic waste (tons)</t>
  </si>
  <si>
    <t>In 2018, the EPA MSW data has established that plastic generated contains the following composition</t>
  </si>
  <si>
    <t>Mass Basis</t>
  </si>
  <si>
    <t>unit mass</t>
  </si>
  <si>
    <t>Name</t>
  </si>
  <si>
    <t>Fraction</t>
  </si>
  <si>
    <t>PET</t>
  </si>
  <si>
    <t>HDPE</t>
  </si>
  <si>
    <t>PVC</t>
  </si>
  <si>
    <t>LDPE/LLDPE</t>
  </si>
  <si>
    <t>PLA</t>
  </si>
  <si>
    <t>PP</t>
  </si>
  <si>
    <t>PS</t>
  </si>
  <si>
    <t>Other Resin</t>
  </si>
  <si>
    <t>Common Additives</t>
  </si>
  <si>
    <t>Composition Range</t>
  </si>
  <si>
    <t>Low</t>
  </si>
  <si>
    <t>High</t>
  </si>
  <si>
    <t>UV/Heat Stabilizer</t>
  </si>
  <si>
    <t>Antioxidant</t>
  </si>
  <si>
    <t>Lubricants</t>
  </si>
  <si>
    <t>Antistatics</t>
  </si>
  <si>
    <t>Curing Agents</t>
  </si>
  <si>
    <t>Blowing Agents</t>
  </si>
  <si>
    <t>Biocides</t>
  </si>
  <si>
    <t>Organic Pigment</t>
  </si>
  <si>
    <t>Polymer</t>
  </si>
  <si>
    <t>Clarifier/Toner</t>
  </si>
  <si>
    <t>UV Stabilizer</t>
  </si>
  <si>
    <t>Inorganic Pigments</t>
  </si>
  <si>
    <t>Antistatic</t>
  </si>
  <si>
    <t>Slip Agent</t>
  </si>
  <si>
    <t>Heat Stabilizer</t>
  </si>
  <si>
    <t>Reinforement</t>
  </si>
  <si>
    <t xml:space="preserve"> (NEGATIVE MASS for upper limit) - A modified calculation was done where additive content was reduced by 50% all around</t>
  </si>
  <si>
    <t>Reinforcements</t>
  </si>
  <si>
    <t>Calculated Mass (tons)</t>
  </si>
  <si>
    <t>Calculated Additve Mass in PET (tons)</t>
  </si>
  <si>
    <t>Calculated Additve Mass in HDPE (tons)</t>
  </si>
  <si>
    <t>Calculated Additve Mass in LDPE (tons)</t>
  </si>
  <si>
    <t>Calculated Additve Mass in PLA (tons)</t>
  </si>
  <si>
    <t>Calculated Additve Mass in PP (tons)</t>
  </si>
  <si>
    <t>Calculated Additve Mass in PS (tons)</t>
  </si>
  <si>
    <t>Calculated Additve Mass in Other (tons)</t>
  </si>
  <si>
    <t>Average</t>
  </si>
  <si>
    <t>Avg</t>
  </si>
  <si>
    <t>US tons</t>
  </si>
  <si>
    <t xml:space="preserve"> (NEGATIVE MASS for upper limit) </t>
  </si>
  <si>
    <t xml:space="preserve"> (NEGATIVE MASS for upper limit)</t>
  </si>
  <si>
    <t>https://www.epa.gov/facts-and-figures-about-materials-waste-and-recycling/national-overview-facts-and-figures-materials#:~:text=In%202018%2C%20plastic%20products%20generation,to%2012.2%20percent%20in%202018.</t>
  </si>
  <si>
    <t>Rubber, Leather, Textiles</t>
  </si>
  <si>
    <t>Wood</t>
  </si>
  <si>
    <t>Metals</t>
  </si>
  <si>
    <t>Paper and Paperboard</t>
  </si>
  <si>
    <t>Total recycled (tons)</t>
  </si>
  <si>
    <t>Rubber, Leather, Textiles fraction</t>
  </si>
  <si>
    <t>Wood fraction</t>
  </si>
  <si>
    <t>Metals fraction</t>
  </si>
  <si>
    <t>Glass fraction</t>
  </si>
  <si>
    <t>Paper and Paperboard fraction</t>
  </si>
  <si>
    <t>Plastics fraction</t>
  </si>
  <si>
    <t>Total Waste Generated (tons)</t>
  </si>
  <si>
    <t>Misc. Inorganic Wastes</t>
  </si>
  <si>
    <t>Food</t>
  </si>
  <si>
    <t>Other Plastics</t>
  </si>
  <si>
    <t>Assumptions</t>
  </si>
  <si>
    <t>Effects</t>
  </si>
  <si>
    <t>Stream 4 = 6</t>
  </si>
  <si>
    <t>Accumulation during consumer use phase is 0</t>
  </si>
  <si>
    <t>Justification</t>
  </si>
  <si>
    <t xml:space="preserve">It is not easy to predict how long people intend to use a particular plastic product. In some application such as food storage, people will end up using the container for years before discarding/recycling it. In some application that uses disposable plastics (food wrapping, miscellaneous wrapping,...), they would be considered one-time use items. We are assuming that the practice of reuse vs waste balances to 0. In reality, that's not necessarily true. </t>
  </si>
  <si>
    <t>10% of plastic produced ends up in the environment/ocean</t>
  </si>
  <si>
    <t>Stream 24= 0.10*Stream 4</t>
  </si>
  <si>
    <t>https://plastic-pollution.org/#:~:text=Of%20the%20260%20million%20tons,damaging%20life%20on%20the%20seabed.</t>
  </si>
  <si>
    <t>The lowest composition of additive was assumed for the calculation</t>
  </si>
  <si>
    <t>Lowest additive composition used</t>
  </si>
  <si>
    <t>Plastics manufactured do not necessarily always use every additive possible. In some cases, one plastic product may use a large amount of fillers while another use none. Using minimum composition lets us assume that on average, the fraction of added additives to omitted additive balances out to minimum composition. We made this assumption because the average additive composition for "Other plastics" nets a negative polymer resin mass, which is not possible in reality</t>
  </si>
  <si>
    <t>Curing agent</t>
  </si>
  <si>
    <t>Blowing agent</t>
  </si>
  <si>
    <t>Inorganic Pigment</t>
  </si>
  <si>
    <t>Summation Values</t>
  </si>
  <si>
    <t>Degradation of plastic waste in landfill is too slow for appreciable mass loss</t>
  </si>
  <si>
    <t>Waste Accumulated in landfill 2018</t>
  </si>
  <si>
    <t>Total emissions (tons CO2 equivalent)</t>
  </si>
  <si>
    <t>Total Mass excluding emissions</t>
  </si>
  <si>
    <t>Total Additives</t>
  </si>
  <si>
    <t>Total Plastics</t>
  </si>
  <si>
    <t>Mass loss from degradation in landfilling is neglected from plastic ONLY</t>
  </si>
  <si>
    <t>Plastic waste can take hundreds of years to degrade in the environment. When performing a material flow analysis on the basis of one year, the mass loss of plastic waste can be considered negligible. However, mass loss to the environment such as the ocean should be considered. This assumption is valid only for material flow analysis involving plastic components. If we factor in the rest of the MSW that ended up in the landfill, the degradation products cannot be neglected.</t>
  </si>
  <si>
    <t>Mechanical recycling was able to utiize 100% of the recycled plastic for reuse phase</t>
  </si>
  <si>
    <t>Not realistic, but this is the best case scenario. In this case, we are interested in seeing additive flow toward the recycled polymer</t>
  </si>
  <si>
    <t>Plastic mass in stream 17 = plastic mass in stream 14</t>
  </si>
  <si>
    <t>Emissions from Manufacture</t>
  </si>
  <si>
    <t>2015 total waste generated (tons)</t>
  </si>
  <si>
    <t>2018 total waste generated (tons)</t>
  </si>
  <si>
    <t>2015 emissions from incineration (tons)</t>
  </si>
  <si>
    <t xml:space="preserve">2018 emissions from incineration </t>
  </si>
  <si>
    <t>https://www.ciel.org/wp-content/uploads/2019/05/Plastic-and-Climate-Executive-Summary-2019.pdf</t>
  </si>
  <si>
    <t>Ash</t>
  </si>
  <si>
    <t>Incineration of plastic waste results in ash content equal to 1% of the original volume</t>
  </si>
  <si>
    <t>https://www.nap.edu/read/9190/chapter/6</t>
  </si>
  <si>
    <t>LDPE</t>
  </si>
  <si>
    <t>Other resin</t>
  </si>
  <si>
    <t>Density (g/cm3)</t>
  </si>
  <si>
    <t>Avg Density (g/cm3)</t>
  </si>
  <si>
    <t>Avg Density (US tons/cm3)</t>
  </si>
  <si>
    <t>Average Density Calculation of the polymer waste stream</t>
  </si>
  <si>
    <t>Using the average ash density of 2.05 g/cm3, average polymer density of 0.000413367 tons/cm3 (calculated in generic polymer stream tab), we will  know the ash content generated. The remaining mass has already been converted to a standardized unit of CO2-eq and thus will not appear balanced.</t>
  </si>
  <si>
    <t>Ash content generated from plastic incineration</t>
  </si>
  <si>
    <t>Density of MSW plastic waste (tons/cm3)</t>
  </si>
  <si>
    <t>Mass of plastic waste going to  incineration (tons)</t>
  </si>
  <si>
    <t>Volume of MSW plastic going to incineration (cm3)</t>
  </si>
  <si>
    <t>3 INCINERATION | Shipboard Pollution Control: U.S. Navy Compliance with MARPOL Annex V | The National Academies Press (nap.edu)</t>
  </si>
  <si>
    <t>Fraction of ash generated from the original MSW volume</t>
  </si>
  <si>
    <t>Volume of ash generated (cm3)</t>
  </si>
  <si>
    <t>Density of ash (tons/cm3)</t>
  </si>
  <si>
    <t>https://www.fhwa.dot.gov/publications/research/infrastructure/pavements/97148/033.cfm</t>
  </si>
  <si>
    <t>Mass of ash generated by incineration of plastic MSW (tons)</t>
  </si>
  <si>
    <t>Actual mass of emission (tons)</t>
  </si>
  <si>
    <t>Emissions from Waste Facilities</t>
  </si>
  <si>
    <t>2018 Emission (metric tons CO2 equivalent)</t>
  </si>
  <si>
    <t>https://ghgdata.epa.gov/ghgp/main.do#/listFacility/?q=Find%20a%20Facility%20or%20Location&amp;st=&amp;bs=&amp;et=&amp;fid=&amp;sf=11001000&amp;lowE=0&amp;highE=23000000&amp;g1=1&amp;g2=1&amp;g3=1&amp;g4=1&amp;g5=1&amp;g6=0&amp;g7=1&amp;g8=1&amp;g9=1&amp;g10=1&amp;g11=1&amp;g12=1&amp;s1=1&amp;s2=1&amp;s3=1&amp;s4=1&amp;s5=1&amp;s6=1&amp;s7=1&amp;s8=1&amp;s9=1&amp;s10=1&amp;s201=1&amp;s202=1&amp;s203=1&amp;s204=1&amp;s301=1&amp;s302=1&amp;s303=1&amp;s304=1&amp;s305=1&amp;s306=1&amp;s307=1&amp;s401=1&amp;s402=1&amp;s403=1&amp;s404=1&amp;s405=1&amp;s601=1&amp;s602=1&amp;s701=1&amp;s702=1&amp;s703=1&amp;s704=1&amp;s705=1&amp;s706=1&amp;s707=1&amp;s708=1&amp;s709=1&amp;s710=1&amp;s711=1&amp;s801=1&amp;s802=1&amp;s803=1&amp;s804=1&amp;s805=1&amp;s806=1&amp;s807=1&amp;s808=1&amp;s809=1&amp;s810=1&amp;s901=1&amp;s902=1&amp;s903=1&amp;s904=1&amp;s905=1&amp;s906=1&amp;s907=1&amp;s908=1&amp;s909=1&amp;s910=1&amp;s911=1&amp;si=&amp;ss=&amp;so=0&amp;ds=E&amp;yr=2018&amp;tr=current&amp;cyr=2019&amp;ol=0&amp;sl=0&amp;rs=ALL</t>
  </si>
  <si>
    <t>2018 Emissions from waste facilities (sorting process) (tons CO2 eq)</t>
  </si>
  <si>
    <t>Total</t>
  </si>
  <si>
    <t>-</t>
  </si>
  <si>
    <t>Avastab 17 MOK</t>
  </si>
  <si>
    <t>Unit</t>
  </si>
  <si>
    <t>Migration Values</t>
  </si>
  <si>
    <t>%</t>
  </si>
  <si>
    <t>Ionox 330</t>
  </si>
  <si>
    <t>Comments</t>
  </si>
  <si>
    <t>30 days at 20°C</t>
  </si>
  <si>
    <t>Stearic amide</t>
  </si>
  <si>
    <t>Additive</t>
  </si>
  <si>
    <t>n-Butyl stearate</t>
  </si>
  <si>
    <t>PDMS (other)</t>
  </si>
  <si>
    <t>Plastic migration into food (dissolved in oily products) based on 13 edible oil samples, Crompton textbook</t>
  </si>
  <si>
    <t>Styrene</t>
  </si>
  <si>
    <t>Ethyl benzene</t>
  </si>
  <si>
    <t>Classification</t>
  </si>
  <si>
    <t>Monomer/VOC</t>
  </si>
  <si>
    <t>In distilled water, 0.01% w/v --&gt; %w/w, where density = 909 kg/m3</t>
  </si>
  <si>
    <t>In distilled water, 0.001% w/v --&gt; %w/w where density = 866 kg/m3</t>
  </si>
  <si>
    <t>Given that these migration values are based on specific studies, we will make an approximation and lump the additive percentage into an average</t>
  </si>
  <si>
    <t>As more information is added, we can try an alternative approach to increase the accuracy. However, at this time, we are working with limited information</t>
  </si>
  <si>
    <t>Substance</t>
  </si>
  <si>
    <t>Fraction Migration</t>
  </si>
  <si>
    <t>2% of additives migrated during the use phase</t>
  </si>
  <si>
    <t>See the "Migration Data - Use" tab. We have a very limited information on migrated chemicals during the use phase because it is difficult and time-consuming to do individual studies. However, in that tab, we have compiled what we were able to find and averaged/lumped the data into an estimation</t>
  </si>
  <si>
    <t>% Migration</t>
  </si>
  <si>
    <t>Stream 5 Additives = Stream 4 Additves * 0.02</t>
  </si>
  <si>
    <t>0.00047% of polymer/plastic/monomer migrated during use phase</t>
  </si>
  <si>
    <t>Stream 5 Plastic = Stream 4 Plastic * 0.0000047</t>
  </si>
  <si>
    <t>See the "Migration Data - Use" tab. This value of 0.00047% came from the possibility of PDMS dissolving in oily products. This value is the only contributing factor to the polymer migration at this time. More available data will improve the accuracy.</t>
  </si>
  <si>
    <t xml:space="preserve">Source T. R. Crompton, Additive migration from plastics into food: a guide for analytical chemists, New ed. Shawbury: Smithers Rapra Technology, 2007.
</t>
  </si>
  <si>
    <t>Emissions in unit of tons CO2 equivalent is not considered part of the mass</t>
  </si>
  <si>
    <t>Emission value excluded from material balance</t>
  </si>
  <si>
    <t xml:space="preserve">The emissions calculated were based on average endpoint data. The specifics of the identity of the "emission" are unspecified. However, for this study, we will assume that the emissions come from running the process, using substances that are integral to operation, and other releases that do not include plastics/additives. Note that tons of CO2 equivalent is simply a way of standardizing the impacts of different released substances. Higher mass of CO2 equivalent signifies high environmental impact. Different chemicals are assigned different values of CO2 equivalency. </t>
  </si>
  <si>
    <t>The above are bulk mass, additve is lumped in)</t>
  </si>
  <si>
    <t>These values are placeholder for now</t>
  </si>
  <si>
    <t>Until I can find proper composition</t>
  </si>
  <si>
    <t>MSW Recycled</t>
  </si>
  <si>
    <t>MSW Generated</t>
  </si>
  <si>
    <t>MSW Landfilled</t>
  </si>
  <si>
    <t>MSW Incinerated</t>
  </si>
  <si>
    <t>Total Incinerated (tons)</t>
  </si>
  <si>
    <t>Yard Trimmings</t>
  </si>
  <si>
    <t>Total Landfilled (tons)</t>
  </si>
  <si>
    <t>MSW Composted</t>
  </si>
  <si>
    <t>Total Composted (tons)</t>
  </si>
  <si>
    <t>Assumed Values</t>
  </si>
  <si>
    <t>Plastic waste leak after landfill (fraction of generated)</t>
  </si>
  <si>
    <t>https://www.ecocycle.org/files/pdfs/microplastics_in_compost_white_paper.pdf</t>
  </si>
  <si>
    <t>Sources if applicable</t>
  </si>
  <si>
    <t>It is not realistic to say that all of the plastic sent to a landfiill remains there forever. Some of the plastics are likely to migrate to other environment such as the ocean</t>
  </si>
  <si>
    <t>Microplastics/Plastic components make up 0.01% of the compost's mass</t>
  </si>
  <si>
    <t xml:space="preserve">Plastic coated products have the potential to contaminate compost. This white paper tested the content of microplastics in plastic-coated paper products (milk and juice cartons, hot and cold paper drinking cups, frozen food containers, take-out containers, paper plates, plastic-lined paperbag). During composting, these plastic coating breaks down into smaller components (microplastics) rather than succumb to biodegradation. These microplastics can give off persistent organic pollutants such as DDT, PCBs, and dioxins. Eventually, these toxic chemicals  will find their way into wildlife and the food chain. </t>
  </si>
  <si>
    <t>Plastic content in compost (fraction)</t>
  </si>
  <si>
    <t>Total compost stream mass multiplier</t>
  </si>
  <si>
    <t>Total mass of plastic in compost stream (tons)</t>
  </si>
  <si>
    <t>Total plastic content in stream  11 compost = 0.01% w/w compost from stream 11. These plastics joined the material balance on stream 8 (with other nonplastic waste)</t>
  </si>
  <si>
    <t>Waste Incinerated 2018</t>
  </si>
  <si>
    <t xml:space="preserve">According to P. C. Rem, S. Olsen, J.-H. Welink, and N. Fraunholcz, “CARBON DIOXIDE EMISSION ASSOCIATED WITH THE PRODUCTION OF PLASTICS - A COMPARISON OF PRODUCTION FROM CRUDE OIL AND RECYCLING FOR THE DUTCH CASE,” Environ. Eng. Manag. J., vol. 8, no. 4, pp. 975–980, 2009, doi: 10.30638/eemj.2009.142.
</t>
  </si>
  <si>
    <t>The typical emission during the transportation of waste = 158-230 kg CO2 eq/tons based on a dutch study</t>
  </si>
  <si>
    <t xml:space="preserve">If we calculate for an annual emission from the collection phase using this number, </t>
  </si>
  <si>
    <t>Source: EPA Data</t>
  </si>
  <si>
    <t>2018 Greenhouse Gas Emission from Waste Sector (metric tons CO2-e)</t>
  </si>
  <si>
    <t>2018 Greenhouse Gas Emission in US tons</t>
  </si>
  <si>
    <t>Alternative Estimation for Waste Sector 2018 (Collection)</t>
  </si>
  <si>
    <t xml:space="preserve">EPA estimated that solid waste generated from the production phase ranges between 2.5-10% of the mass of production. These solid waste are consequently subjected to similar fate as consumer products. </t>
  </si>
  <si>
    <t>5% of the mass used during production is waste</t>
  </si>
  <si>
    <t>Currently inactive</t>
  </si>
  <si>
    <t>Emission Factor (MT CO2-e/tons)</t>
  </si>
  <si>
    <t>Emissions (MT CO2-e)</t>
  </si>
  <si>
    <t>Emissions (tons CO2-e)</t>
  </si>
  <si>
    <t>Other (Mixed)</t>
  </si>
  <si>
    <t>The incineration of 1 MT (1.1 US tons) of MSW releases approximately 0.95 MT CO2-eq (or 1.05 tons CO2-eq)</t>
  </si>
  <si>
    <t>https://www.ipcc-nggip.iges.or.jp/public/gp/bgp/5_3_Waste_Incineration.pdf</t>
  </si>
  <si>
    <t xml:space="preserve">A background paper on "Good Practice Guidance and Uncertainty Management in National Greenhouse Gas Inventories" reported that the incineration of 1 MT of MSW releases between 0.7-1.2 MT of CO2. An average value of 0.95 MT was used. </t>
  </si>
  <si>
    <t>Emission of nonplastic MSW = 1.05*Mass of nonplastic MSW into incineration</t>
  </si>
  <si>
    <t>Emissions from Incineration (UNUSED)</t>
  </si>
  <si>
    <t>Fraction of Fugitive Emissions from Forming/Molding Process (kg/kg formed)</t>
  </si>
  <si>
    <t>Source: EPA - Use of Additives in the Thermoplastic Converting Industry Draft</t>
  </si>
  <si>
    <t>2018 fugitive emissions from manufacture (tons)</t>
  </si>
  <si>
    <t>Plastic (Bulk) for Incineration</t>
  </si>
  <si>
    <t>Source: https://archive.epa.gov/epawaste/conserve/tools/warm/pdfs/Plastics.pdf</t>
  </si>
  <si>
    <t>Emissions from Plastic (tons CO2 equivalent)</t>
  </si>
  <si>
    <t>Plastic (Bulk) for Landfilling</t>
  </si>
  <si>
    <t>Amount (US tons)</t>
  </si>
  <si>
    <t>https://www.epa.gov/sites/production/files/2019-04/documents/2019_fast_facts_508_0.pdf</t>
  </si>
  <si>
    <t>Emissions from landfill -Combined (tons CO2 eq)</t>
  </si>
  <si>
    <t>https://www.epa.gov/ghgemissions/overview-greenhouse-gases#methane</t>
  </si>
  <si>
    <t>Emissions from Landfills 2018</t>
  </si>
  <si>
    <t>Fraction of MSW emission in landfiling</t>
  </si>
  <si>
    <t>https://www.epa.gov/lmop/basic-information-about-landfill-gas</t>
  </si>
  <si>
    <t>2018 Emission (metric tons CO2 eq</t>
  </si>
  <si>
    <t>(Exhibit 4)</t>
  </si>
  <si>
    <t>E. U. T. van Velzen, M. Jansen, M. T. Brouwer, A. Feil, K. Molenveld, and Th. Pretz, “Efficiency of recycling post-consumer plastic packages,” Lyon, France, 2017, p. 170002, doi: 10.1063/1.5016785.</t>
  </si>
  <si>
    <t xml:space="preserve">Stream 16 is the actual mass of plastic that has been recycled after the 90% efficiency has been applied. </t>
  </si>
  <si>
    <t>Mass of Polymer in = Mass of Polymer out. However, additives and contaminations do not remain constant</t>
  </si>
  <si>
    <t xml:space="preserve">Approximately 83-94% plastic recovery efficiency has been observed for mechanical recycling. At this time, we do not know how the rejected (10%) of plastic is being distributed (whether to incineration or landfill). Given that we have strictly followed the MSW data from the US EPA in 2018, we must assume that the mass reported as 'recycled' has undergone the necessary allocation already. </t>
  </si>
  <si>
    <t>Chemicals found in PC plastic</t>
  </si>
  <si>
    <t>Typical %</t>
  </si>
  <si>
    <t>Average %</t>
  </si>
  <si>
    <t>Contaminants</t>
  </si>
  <si>
    <t>0.003 - 0.01</t>
  </si>
  <si>
    <t>Polymer degradation products</t>
  </si>
  <si>
    <t>Additive degradation products</t>
  </si>
  <si>
    <t>0.033 - 0.07</t>
  </si>
  <si>
    <t>Additives</t>
  </si>
  <si>
    <t>0.003 - 0.08</t>
  </si>
  <si>
    <t>PC HDPE Concentration (Approx μg/g)</t>
  </si>
  <si>
    <t>PC LDPE Concentration (Approx μg/g)</t>
  </si>
  <si>
    <t>% in PC HDPE</t>
  </si>
  <si>
    <t>% in PC LDPE</t>
  </si>
  <si>
    <t>Additive Degradation Products</t>
  </si>
  <si>
    <t>Total Additive</t>
  </si>
  <si>
    <t>Stream 16</t>
  </si>
  <si>
    <t>Stream 16 Composition</t>
  </si>
  <si>
    <t>Stream 19 Additive Contamination Calculation</t>
  </si>
  <si>
    <t>Stream 19 (Assuming constant ratio lost)</t>
  </si>
  <si>
    <t xml:space="preserve">van Velzen et al 2017 reported that approximately 1-3% of the recovered polymer mass appeared as dissolved substances that were separated during the polymer wash. Although they were not specific about the identity of the dissolved substances, we can approximate that the dissolved substances are volatile/semi-volatile additives </t>
  </si>
  <si>
    <t>Stream 18 additives = Stream 16 additives * 0.02</t>
  </si>
  <si>
    <t>2% of the additives subjected to mechanical recycling has migrated from the polymer matrix</t>
  </si>
  <si>
    <t>The contamination/degradation products entering the manufacturing phase are neglected from Stream 4</t>
  </si>
  <si>
    <t xml:space="preserve">If we account for the contamination/degradation chemicals from stream 20 (recycled), then we would be entering a calculation loop. The contaminants/degradation from the plastic's previous life would get added onto the next cycle. </t>
  </si>
  <si>
    <t>Contaminants and Degradation products in Stream 20 does not get added to Stream 4</t>
  </si>
  <si>
    <t>O. Horodytska, A. Cabanes, and A. Fullana, “Non-intentionally added substances (NIAS) in recycled plastics,” Chemosphere, vol. 251, p. 126373, Jul. 2020, doi: 10.1016/j.chemosphere.2020.126373.</t>
  </si>
  <si>
    <t>2% of total plastic waste generated becomes litter</t>
  </si>
  <si>
    <t>Total mass of stream 9 = Stream 4*0.02</t>
  </si>
  <si>
    <t>Jambeck, J. R., Geyer, R., Wilcox, C., Siegler, T. R., Perryman, M., Andrady, A., … &amp; Law, K. L. (2015). Plastic waste inputs from land into the ocean. Science, 347(6223), 768-771. Available at: http://science.sciencemag.org/content/347/6223/768.</t>
  </si>
  <si>
    <t>Jambeck et al 2015 reported a 2% littering rate for plastic waste in their analysis</t>
  </si>
  <si>
    <t>Plastic waste lost to littering (fraction of waste generated)</t>
  </si>
  <si>
    <t>rounding error expected</t>
  </si>
  <si>
    <t xml:space="preserve">Additives added to help the polymer processability is lumped into the contamination stream (19). </t>
  </si>
  <si>
    <t>Contamination stream 19 represents additives from previous processing, the generated degradation products, and additional additives required for processing</t>
  </si>
  <si>
    <t xml:space="preserve">O. Horodytska, A. Cabanes, and A. Fullana, “Non-intentionally added substances (NIAS) in recycled plastics,” Chemosphere, vol. 251, p. 126373, Jul. 2020, doi: 10.1016/j.chemosphere.2020.126373.
</t>
  </si>
  <si>
    <t xml:space="preserve">Horodytska 2020's' study is focused on determining chemicals found in recycled plastic after they have been subjected to the mechanical recycling. During recycling, we know that more additives are added to improve processability. Some of the same additive can migrate out. Therefore, the entering contamination stream is the "net" mass flow rate of chemicals into the recycled plastics. </t>
  </si>
  <si>
    <t>(Exhibit 5-7 Raw material acquisition and manufacturing emissions</t>
  </si>
  <si>
    <t>Typical Waste transportation emission factor (kg CO2-eq/tons)</t>
  </si>
  <si>
    <t>Total emissions (kg CO2-eq)</t>
  </si>
  <si>
    <t>Total emissions (tons CO2-eq)</t>
  </si>
  <si>
    <t>Total emissions = 46.2 billion - 67.3 billion kg CO2/yr, which is, 51 - 74  million tons CO2 eq/yr</t>
  </si>
  <si>
    <t>Collection Emission</t>
  </si>
  <si>
    <t>Incineration Efficiency Fraction</t>
  </si>
  <si>
    <t>In 2018, the United Nation has indicated that the following plastic mass has been exported out of the country</t>
  </si>
  <si>
    <t>(UNCOMTRADE 2018)</t>
  </si>
  <si>
    <t>Reported Mass (tons)</t>
  </si>
  <si>
    <t>Plastic Export Fraction</t>
  </si>
  <si>
    <t>Total PET,HDPE,LDPE = 920,477 tons</t>
  </si>
  <si>
    <t>27 [Export]</t>
  </si>
  <si>
    <t>21 [Import]</t>
  </si>
  <si>
    <t>22 [Re-Export]</t>
  </si>
  <si>
    <t>Reported Recycled Plastics (US EPA 2018)</t>
  </si>
  <si>
    <t>Plastics Recycled - excluding mass exported for recycling</t>
  </si>
  <si>
    <t>Reported Plastic Import/Export (UNCOMTRADE 2018)</t>
  </si>
  <si>
    <t>Import (tons)</t>
  </si>
  <si>
    <t>Export (tons)</t>
  </si>
  <si>
    <t>Ethylene</t>
  </si>
  <si>
    <t>Vinyl Chloride</t>
  </si>
  <si>
    <t>Re-Export (tons)</t>
  </si>
  <si>
    <t>Plastic Waste Import/Export - Ethylene = HDPE/LDPE/PET and are evenly split</t>
  </si>
  <si>
    <t>Ethylene values reported as import/export/reexport are divided into three for HDPE, LDPE, and PET estimation</t>
  </si>
  <si>
    <t>UNCOMTRADE database grouped all ethylene polymer into one category rather than specifying HDPE, LDPE, and PET. Therefore, dividing the values into three is chosen as an assumption for calculation.</t>
  </si>
  <si>
    <t>https://comtrade.un.org/data/</t>
  </si>
  <si>
    <t>Ethylene polymers = equal split for calculation sake</t>
  </si>
  <si>
    <t>1/3 of Domestically Recycled Plastic is sent to incineration/landfill due to inefficiency problem</t>
  </si>
  <si>
    <t>Stream 23 and Stream 28 contains 1/3 of the wasted plastics sent to domestic recycling. This value is split equally between the two streams for simplification</t>
  </si>
  <si>
    <t>Only 3.9% has been domestically recycled in the United States while 4.5% has been exported for recycling in 2018. State-of-the-art technology could realistically recover 2/3 of the plastics sent for recycling, leaving 1/3 as waste. This assumption is "best case scenario"</t>
  </si>
  <si>
    <t>https://waste-management-world.com/a/carbonlite-opens-world-s-largest-bottle-to-bottle-recycling-plant-in-Pennsylvania</t>
  </si>
  <si>
    <t>Polymer recovery rate = 66.7-94%</t>
  </si>
  <si>
    <t>van Velzen et al 2017 performed a study on the polymer recovery efficiency via mechanical recycling and determined that the net polymer yields have varied between  for a standard recycling process. Some contaminants are partially removed following the same process. Additionally, a recent material recycling facility constructed in Philadelphia has demonstrated a recycling efficiency of 64%. We estimated a 66.7% efficiency for this one iteration. Opportunities for sensitivity analysis is availablefor this parameter</t>
  </si>
  <si>
    <t>Domestic Recycling efficiency = 0.667</t>
  </si>
  <si>
    <t>Plastic Recycled (Total, domestic and export)</t>
  </si>
  <si>
    <t>Sensitivity Analysis: Change only the Yellow Highlighted Cell</t>
  </si>
  <si>
    <t>Additive migration fraction</t>
  </si>
  <si>
    <t>Recycled Mass Reported (tons)</t>
  </si>
  <si>
    <t>Scaled Recycled Mass - Sensitivity Analysis(tons)</t>
  </si>
  <si>
    <t>(Stream 16)</t>
  </si>
  <si>
    <t>Scaled International Trade Data</t>
  </si>
  <si>
    <t>Stream 21</t>
  </si>
  <si>
    <t>Stream 22</t>
  </si>
  <si>
    <t>Stream 27</t>
  </si>
  <si>
    <t>Plastic Re-Export Fraction</t>
  </si>
  <si>
    <t xml:space="preserve">SENSITIVITY ANALYSIS </t>
  </si>
  <si>
    <t>Results</t>
  </si>
  <si>
    <t>Additive Content</t>
  </si>
  <si>
    <t>N/A</t>
  </si>
  <si>
    <t>Recycling Process Efficiency</t>
  </si>
  <si>
    <t>Greenhouse Gas Emission in EoL Phase (CO2-eq)</t>
  </si>
  <si>
    <t>Plastics Recycled - domestically in the US</t>
  </si>
  <si>
    <t>Plastic (Bulk) for Recycling</t>
  </si>
  <si>
    <t xml:space="preserve">Plastic (Bulk) </t>
  </si>
  <si>
    <t>Landfill leachate release additive at a 0.001% rate</t>
  </si>
  <si>
    <t>Stream 29 = Plastic Litter + 0.00001*Additive Input</t>
  </si>
  <si>
    <r>
      <t xml:space="preserve">E. L. Teuten, J. M. Saquing, D. R. U. Knappe, M. A. Barlaz, S. Jonsson, A. Björn, S. J. Rowland, R. C. Thompson, T. S. Galloway, R. Yamashita, D. Ochi, Y. Watanuki, C. Moore, P. H. Viet, T. S. Tana, M. Prudente, R. Boonyatumanond, M. P. Zakaria, K. Akkhavong, Y. Ogata, H. Hirai, S. Iwasa, K. Mizukawa, Y. Hagino, A. Imamura, M. Saha and H. Takada, Transport and release of chemicals from plastics to the environment and to wildlife, </t>
    </r>
    <r>
      <rPr>
        <i/>
        <sz val="11"/>
        <color theme="1"/>
        <rFont val="Calibri"/>
        <family val="2"/>
        <scheme val="minor"/>
      </rPr>
      <t>Philosophical Transactions of the Royal Society B: Biological Sciences</t>
    </r>
    <r>
      <rPr>
        <sz val="11"/>
        <color theme="1"/>
        <rFont val="Calibri"/>
        <family val="2"/>
        <scheme val="minor"/>
      </rPr>
      <t xml:space="preserve">, 2009, </t>
    </r>
    <r>
      <rPr>
        <b/>
        <sz val="11"/>
        <color theme="1"/>
        <rFont val="Calibri"/>
        <family val="2"/>
        <scheme val="minor"/>
      </rPr>
      <t>364</t>
    </r>
    <r>
      <rPr>
        <sz val="11"/>
        <color theme="1"/>
        <rFont val="Calibri"/>
        <family val="2"/>
        <scheme val="minor"/>
      </rPr>
      <t>, 2027–2045.</t>
    </r>
  </si>
  <si>
    <r>
      <t xml:space="preserve">Landfill sites in industrialized countries have been known to perform leachate treatment such as aerobic and membrane bioreactor to reduce the BPA concentration to 0.11 – 30 μg/L. Without proper leachate treatment, plastic additives and BPA could be released into the environment and contaminate the nearby water supply. The rate of leachate release has been estimated to vary between 20 – 30% of the wastes placed in the landfill </t>
    </r>
    <r>
      <rPr>
        <vertAlign val="superscript"/>
        <sz val="11"/>
        <color theme="1"/>
        <rFont val="Calibri"/>
        <family val="2"/>
        <scheme val="minor"/>
      </rPr>
      <t>23</t>
    </r>
    <r>
      <rPr>
        <sz val="11"/>
        <color theme="1"/>
        <rFont val="Calibri"/>
        <family val="2"/>
        <scheme val="minor"/>
      </rPr>
      <t xml:space="preserve">. Our generic scenario holds that over 146 million tons of waste have been sent to the landfill for 2018, with each landfill receiving on average 55,000 tons of municipal solid waste/day. The potential leachate generated from landfills may approach 29.2 – 43.8 million tons/yr or 11,000 – 16,500 tons/yr*site. For a given site, the estimated yearly additive release through leachate equates to 0.11 – 0.165 tons/yr*site (0.000001 – </t>
    </r>
    <r>
      <rPr>
        <sz val="11"/>
        <color rgb="FFFF0000"/>
        <rFont val="Calibri"/>
        <family val="2"/>
        <scheme val="minor"/>
      </rPr>
      <t>0.001%</t>
    </r>
    <r>
      <rPr>
        <sz val="11"/>
        <color theme="1"/>
        <rFont val="Calibri"/>
        <family val="2"/>
        <scheme val="minor"/>
      </rPr>
      <t xml:space="preserve"> additive in leachate, as estimated from </t>
    </r>
    <r>
      <rPr>
        <vertAlign val="superscript"/>
        <sz val="11"/>
        <color theme="1"/>
        <rFont val="Calibri"/>
        <family val="2"/>
        <scheme val="minor"/>
      </rPr>
      <t>40</t>
    </r>
    <r>
      <rPr>
        <sz val="11"/>
        <color theme="1"/>
        <rFont val="Calibri"/>
        <family val="2"/>
        <scheme val="minor"/>
      </rPr>
      <t>).</t>
    </r>
  </si>
  <si>
    <t>Plastics Released in Landfill in the US</t>
  </si>
  <si>
    <t>Plastic (Bulk) Released in Landfill</t>
  </si>
  <si>
    <t>Plastic (Bulk)</t>
  </si>
  <si>
    <t>Type</t>
  </si>
  <si>
    <t>Waste Generated (tons)</t>
  </si>
  <si>
    <t>Waste Exported for Recycling (tons)</t>
  </si>
  <si>
    <t>Waste Imported (tons)</t>
  </si>
  <si>
    <t>Actual Waste Recycled Domestically (tons)</t>
  </si>
  <si>
    <t>Plastics Sent for Recycling (tons)</t>
  </si>
  <si>
    <t>% Recycle (Actual/Sent)</t>
  </si>
  <si>
    <t>Instructions or Explanation (read comment)</t>
  </si>
  <si>
    <t>Current Status</t>
  </si>
  <si>
    <t>Material 1</t>
  </si>
  <si>
    <t>Material 2</t>
  </si>
  <si>
    <t>Material 3</t>
  </si>
  <si>
    <t>Material 4</t>
  </si>
  <si>
    <t>Material 5</t>
  </si>
  <si>
    <t>Material 6</t>
  </si>
  <si>
    <t>Material 7</t>
  </si>
  <si>
    <t>Material 8</t>
  </si>
  <si>
    <t>Units</t>
  </si>
  <si>
    <t>Material Type</t>
  </si>
  <si>
    <t>% Recycle content</t>
  </si>
  <si>
    <t>% yield</t>
  </si>
  <si>
    <t>EE of primary material</t>
  </si>
  <si>
    <t>MJ/kg</t>
  </si>
  <si>
    <t>EE of secondary material</t>
  </si>
  <si>
    <t>CO2e of primary material</t>
  </si>
  <si>
    <r>
      <t>kgCO</t>
    </r>
    <r>
      <rPr>
        <vertAlign val="subscript"/>
        <sz val="10"/>
        <rFont val="Arial"/>
        <family val="2"/>
      </rPr>
      <t>2</t>
    </r>
    <r>
      <rPr>
        <sz val="10"/>
        <rFont val="Arial"/>
        <family val="2"/>
      </rPr>
      <t>/kg</t>
    </r>
  </si>
  <si>
    <t>CO2e of secondary material</t>
  </si>
  <si>
    <t>Embodied Energy per kg of product</t>
  </si>
  <si>
    <t>CO2e emissions per kg of product</t>
  </si>
  <si>
    <r>
      <t>kgCO</t>
    </r>
    <r>
      <rPr>
        <vertAlign val="subscript"/>
        <sz val="10"/>
        <rFont val="Arial"/>
        <family val="2"/>
      </rPr>
      <t>2</t>
    </r>
    <r>
      <rPr>
        <sz val="10"/>
        <rFont val="Arial"/>
        <family val="2"/>
      </rPr>
      <t>/kg of product</t>
    </r>
  </si>
  <si>
    <t>Mass of material in product</t>
  </si>
  <si>
    <t>metric tons</t>
  </si>
  <si>
    <t>Total EE impacted</t>
  </si>
  <si>
    <t>MJ</t>
  </si>
  <si>
    <r>
      <rPr>
        <b/>
        <i/>
        <sz val="10"/>
        <rFont val="Arial"/>
        <family val="2"/>
      </rPr>
      <t xml:space="preserve">Warning:  </t>
    </r>
    <r>
      <rPr>
        <sz val="10"/>
        <rFont val="Arial"/>
        <family val="2"/>
      </rPr>
      <t>This calculator is intended to be an accesible and easy to use tool for "back of the envelope" calculations of savings in embodied energy and CO2e emissions when increasing the use of secondary (recycled) materials.  These estimated savings may be used by the REMADE Institute to estimate its expected overall impact, but more detailed calculations and LCAs should be used to estimate energy and CO2e savings after process details have been developed further as part of REMADE projects.</t>
    </r>
  </si>
  <si>
    <r>
      <rPr>
        <b/>
        <sz val="10"/>
        <rFont val="Arial"/>
        <family val="2"/>
      </rPr>
      <t>General Instructions:</t>
    </r>
    <r>
      <rPr>
        <sz val="10"/>
        <rFont val="Arial"/>
        <family val="2"/>
      </rPr>
      <t xml:space="preserve">  Please read and follow the Instructions below (provided as "Notes" in column B) to enter data into the cells highlighted in bright blue or yellow.  
In this version of the calculator tool, you may opt to use embodied energy and CO2e values for mechanically recycled secondary plastics by 1) using the corresponding values from columns D and F from the "EE CO2e" tab or 2) calculating the energy and CO2e using the appropriate sections of the "Plastics recycling calculator" tab.  For polymers recycled using chemical or solvent-based approaches, you must use the "Plastics recycling calculator" tab.  Values of embodied energy and CO2 savings in cells H35 and H38 below ( highlighted in bright green) should be reported in project proposals.</t>
    </r>
  </si>
  <si>
    <t>Total CO2 emissions impacted</t>
  </si>
  <si>
    <r>
      <t>metric tons CO</t>
    </r>
    <r>
      <rPr>
        <vertAlign val="subscript"/>
        <sz val="10"/>
        <rFont val="Arial"/>
        <family val="2"/>
      </rPr>
      <t>2</t>
    </r>
  </si>
  <si>
    <t>Data Summary from Analysis</t>
  </si>
  <si>
    <r>
      <rPr>
        <b/>
        <i/>
        <sz val="14"/>
        <color rgb="FFFF0000"/>
        <rFont val="Arial"/>
        <family val="2"/>
      </rPr>
      <t xml:space="preserve">REMADE CALCULATOR DRAFT </t>
    </r>
    <r>
      <rPr>
        <b/>
        <sz val="14"/>
        <rFont val="Arial"/>
        <family val="2"/>
      </rPr>
      <t>Calculator to estimate savings in embodied energy and CO2e emissions for Recycling</t>
    </r>
  </si>
  <si>
    <t/>
  </si>
  <si>
    <t>Suggested Embodied Energy (EE) and CO2 equivalent (CE) Data for Calculator</t>
  </si>
  <si>
    <t>Emb. Energy (MJ/kg)</t>
  </si>
  <si>
    <t>CO2e (kg/kg)</t>
  </si>
  <si>
    <t>Casting Processes</t>
  </si>
  <si>
    <t>Deformation Processing</t>
  </si>
  <si>
    <t>Polymer Molding</t>
  </si>
  <si>
    <t>Polymer Extrusion</t>
  </si>
  <si>
    <t>Data Source(s)</t>
  </si>
  <si>
    <t>Material</t>
  </si>
  <si>
    <t>Primary (virgin)</t>
  </si>
  <si>
    <t>Secondary (mechanically recycled)</t>
  </si>
  <si>
    <t>Emb. Energy 
(MJ/kg)</t>
  </si>
  <si>
    <t>Emissions
CO2e (kg/kg)</t>
  </si>
  <si>
    <t>Iron_Steel</t>
  </si>
  <si>
    <t>Low Carbon steel</t>
  </si>
  <si>
    <t>Ashby (mid-point)</t>
  </si>
  <si>
    <t>Low alloy steel (cranskshafts and tools)</t>
  </si>
  <si>
    <t>Cast Iron</t>
  </si>
  <si>
    <t>Stainless_Steel</t>
  </si>
  <si>
    <t>Aluminum</t>
  </si>
  <si>
    <t>Magnesium alloys</t>
  </si>
  <si>
    <t>Titanium alloy</t>
  </si>
  <si>
    <t>Copper alloys</t>
  </si>
  <si>
    <t>Lead alloys</t>
  </si>
  <si>
    <t>Zinc (die cast) alloys</t>
  </si>
  <si>
    <t>Zinc alloys</t>
  </si>
  <si>
    <t>Nickel-Chromium alloy</t>
  </si>
  <si>
    <t>Ashby (mid-point), Forging (rolling)</t>
  </si>
  <si>
    <t>Nickel-based superalloys</t>
  </si>
  <si>
    <t>4,3</t>
  </si>
  <si>
    <t>Silver</t>
  </si>
  <si>
    <t>Gold</t>
  </si>
  <si>
    <t>Platinum</t>
  </si>
  <si>
    <t>Ashby (mid-point) for primary, Simapro for secondary</t>
  </si>
  <si>
    <t>Nickel</t>
  </si>
  <si>
    <t>Palladium</t>
  </si>
  <si>
    <t>Rhodium</t>
  </si>
  <si>
    <t>Iridium</t>
  </si>
  <si>
    <t>PE</t>
  </si>
  <si>
    <t>PES (polysulfone)</t>
  </si>
  <si>
    <t>PUR (polyurethane)</t>
  </si>
  <si>
    <t>PUR foam</t>
  </si>
  <si>
    <t>ABS</t>
  </si>
  <si>
    <t>Polycarbonate</t>
  </si>
  <si>
    <t>Polyamide_Nylon</t>
  </si>
  <si>
    <t>Polyactide (PLA)</t>
  </si>
  <si>
    <t>Polyester</t>
  </si>
  <si>
    <t>Phenolics</t>
  </si>
  <si>
    <t>Nat_Rubber</t>
  </si>
  <si>
    <t>Butyl_Rubber_Synthetics</t>
  </si>
  <si>
    <t>Ethylene Vinyl Acetate (EVA)</t>
  </si>
  <si>
    <t>Paper_Cardboard</t>
  </si>
  <si>
    <t>Ashby (mid-point), Construction process</t>
  </si>
  <si>
    <t>Eglass_Fiber</t>
  </si>
  <si>
    <t>Ashby (mid-point), fabric production and prepreg production</t>
  </si>
  <si>
    <t>Cotton</t>
  </si>
  <si>
    <t>Ashby (mid-point), fabric production</t>
  </si>
  <si>
    <t>Systems (unit as specified)</t>
  </si>
  <si>
    <t>Desktop computer, without screen</t>
  </si>
  <si>
    <t>Ashby</t>
  </si>
  <si>
    <t>Laptop Computer</t>
  </si>
  <si>
    <t>Small electronic devices (per kg)</t>
  </si>
  <si>
    <r>
      <t>LCD displays (per m</t>
    </r>
    <r>
      <rPr>
        <vertAlign val="superscript"/>
        <sz val="12"/>
        <color theme="1"/>
        <rFont val="Arial"/>
        <family val="2"/>
      </rPr>
      <t>2</t>
    </r>
    <r>
      <rPr>
        <sz val="12"/>
        <color theme="1"/>
        <rFont val="Arial"/>
        <family val="2"/>
      </rPr>
      <t>)</t>
    </r>
  </si>
  <si>
    <t>Laser jet printer</t>
  </si>
  <si>
    <t>Subsytems, per unit</t>
  </si>
  <si>
    <t>Printed wiring board, desktop PC motherboard</t>
  </si>
  <si>
    <t>Printed wiring board, laptop PC motherboard</t>
  </si>
  <si>
    <t>hard disk drive</t>
  </si>
  <si>
    <t>CD-ROM/DVD-ROM drive</t>
  </si>
  <si>
    <t>Power supply</t>
  </si>
  <si>
    <t>Fan</t>
  </si>
  <si>
    <t>Keyboard (per unit)</t>
  </si>
  <si>
    <t>Mouse devices, optical with cable, per unit</t>
  </si>
  <si>
    <t>Toner module, laser jet</t>
  </si>
  <si>
    <t>CPU</t>
  </si>
  <si>
    <t>EEBC Version 2.0</t>
  </si>
  <si>
    <t>CRT</t>
  </si>
  <si>
    <t>LCD</t>
  </si>
  <si>
    <t>notebook</t>
  </si>
  <si>
    <t>computer_average</t>
  </si>
  <si>
    <t>mobile_phone</t>
  </si>
  <si>
    <t>CRT_glass</t>
  </si>
  <si>
    <t>E_waste_copper</t>
  </si>
  <si>
    <t>E_waste_lead</t>
  </si>
  <si>
    <t>Printed circuit board</t>
  </si>
  <si>
    <t>References:</t>
  </si>
  <si>
    <t>Ashby, MF, Materials and the Environment : Eco-Informed Material Choice, 2nd Edition, 2013.</t>
  </si>
  <si>
    <t>Simapro, https://simapro.com/ .  Data accessed November 2019.</t>
  </si>
  <si>
    <t>Energy Footprint (MJ)</t>
  </si>
  <si>
    <t>Energy Footprint (Adapted from REMADE Calculator)</t>
  </si>
  <si>
    <t>Greenhouse Gas Emission for Mechanical Recycling (CO2-eq)</t>
  </si>
  <si>
    <t>Energy Footprint and Global warming potential in the REMADE calculator for "Other resin" assumed as Polyurethane</t>
  </si>
  <si>
    <t>Estimation for "Other" plastic category is based on polyurethane</t>
  </si>
  <si>
    <t>Total Plastic Additive Release in Mechanical Recycling (tons)</t>
  </si>
  <si>
    <t>Additive migration + Sent to landfill and Incineration (before process)</t>
  </si>
  <si>
    <t>(Constant)</t>
  </si>
  <si>
    <t>Mechanical Recycling Rate</t>
  </si>
  <si>
    <t>Mass (tons)</t>
  </si>
  <si>
    <t>Source: LCA Ecoinvent3</t>
  </si>
  <si>
    <t>Assume that mix plastic's GWP is similar to Polyamide 6,6 data in Econinvent3</t>
  </si>
  <si>
    <t>Emissions (kg CO2-e)</t>
  </si>
  <si>
    <t>Emission Factor (kg CO2 eq/kg)</t>
  </si>
  <si>
    <t>Cumulative Energy (MJ/kg)</t>
  </si>
  <si>
    <t>J. Zappitelli, E. Smith, K. Padgett, M. M. Bilec, C. W. Babbitt, and V. Khanna, “Quantifying Energy and Greenhouse Gas Emissions Embodied in Global Primary Plastic Trade Network,” ACS Sustainable Chem. Eng., vol. 9, no. 44, pp. 14927–14936, Nov. 2021, doi: 10.1021/acssuschemeng.1c05236.</t>
  </si>
  <si>
    <t>Source: Ecoinvent3</t>
  </si>
  <si>
    <t>Plastic Mechanically Recycled (Domestic) fraction</t>
  </si>
  <si>
    <t xml:space="preserve"> Plastic Landfilled fraction (Lower Bound)</t>
  </si>
  <si>
    <t xml:space="preserve"> Plastic Landfilled fraction (Upper Bound)</t>
  </si>
  <si>
    <t>Plastic Incinerated fraction (Lower Bound)</t>
  </si>
  <si>
    <t>Plastic Incinerated fraction (Upper Bound)</t>
  </si>
  <si>
    <t>28-I</t>
  </si>
  <si>
    <t>28-L</t>
  </si>
  <si>
    <t>ACTIVE</t>
  </si>
  <si>
    <t>Notes</t>
  </si>
  <si>
    <t>INACTIVE</t>
  </si>
  <si>
    <t>The plastic fraction that does not get recycled and is sent to Chemical Recycling</t>
  </si>
  <si>
    <t>28-P</t>
  </si>
  <si>
    <t xml:space="preserve">REMADE calculator does not have data on mixed plastic waste. Polyurethane is one of the many plastic types without its own category for recycling. Without plastic type distribution data regarding the content of "other plastic waste", a representative plastic was chosen. </t>
  </si>
  <si>
    <t>Oil, gas, monomer (Products)</t>
  </si>
  <si>
    <t>Char, Solid Residues from Chemical Recycling</t>
  </si>
  <si>
    <t>Chemically Recycled Plastics (Domestic) Efficiency (Upper Bound)</t>
  </si>
  <si>
    <t>Chemically Recycled Plastics (Domestic) Efficiency (Lower Bound)</t>
  </si>
  <si>
    <t>Mechanical Recycling Efficiency</t>
  </si>
  <si>
    <t>Chemically Recycled Plastics (Domestic) Fraction (Upper Bound)</t>
  </si>
  <si>
    <t>Chemically Recycled Plastics (Domestic) Fraction (Lower Bound)</t>
  </si>
  <si>
    <t>Chemical Recycling Efficiency</t>
  </si>
  <si>
    <t>Embodied Energy (MJ)</t>
  </si>
  <si>
    <t>Material 9</t>
  </si>
  <si>
    <t>Chemically Recycled Product</t>
  </si>
  <si>
    <t>Chemical Recycling Rate (%)</t>
  </si>
  <si>
    <t>Scenario 2</t>
  </si>
  <si>
    <t xml:space="preserve">Pyrolysis was chosen to represent the chemical recycling, with an conversion efficiency range between 60 - 95%. </t>
  </si>
  <si>
    <t>The life cycle inventory for pyrolysis process was estimated based on the values reported by Jeswani et al. 2021. The mechanical recycling efficiency was held constant at 66.7%. The pyrolysis conversion efficiency was held at 95%</t>
  </si>
  <si>
    <t xml:space="preserve">This hypothetical scenario examines the effects of implementing pyrolysis to treat all plastic materials that were not successfully recycled through the mechanical route on the global warming potentials, additive release into the environment, and energy footprint. Mechanical recycling remains as the primary chosen method for recycling municipal plastic waste.  All untreatable waste and solid residues resulted as a byproduct of mechanical and chemical recycling are sent to incineration and landfilling at constant ratio of 17.2:82.8. International plastic waste export remains constant  at 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</si>
</sst>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00"/>
    <numFmt numFmtId="165" formatCode="0.0000"/>
    <numFmt numFmtId="166" formatCode="0.000"/>
    <numFmt numFmtId="167" formatCode="0.0"/>
    <numFmt numFmtId="168" formatCode="#,##0.000000000"/>
    <numFmt numFmtId="169" formatCode="0.000000"/>
    <numFmt numFmtId="170" formatCode="#,##0.0000"/>
    <numFmt numFmtId="171" formatCode="0.0%"/>
  </numFmts>
  <fonts count="43"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i/>
      <sz val="11"/>
      <color theme="1"/>
      <name val="Calibri"/>
      <family val="2"/>
      <scheme val="minor"/>
    </font>
    <font>
      <b/>
      <sz val="14"/>
      <color theme="0"/>
      <name val="Calibri"/>
      <family val="2"/>
      <scheme val="minor"/>
    </font>
    <font>
      <b/>
      <sz val="11"/>
      <name val="Calibri"/>
      <family val="2"/>
      <scheme val="minor"/>
    </font>
    <font>
      <sz val="11"/>
      <name val="Calibri"/>
      <family val="2"/>
      <scheme val="minor"/>
    </font>
    <font>
      <u/>
      <sz val="11"/>
      <color theme="10"/>
      <name val="Calibri"/>
      <family val="2"/>
      <scheme val="minor"/>
    </font>
    <font>
      <b/>
      <sz val="11"/>
      <color rgb="FFFFFF00"/>
      <name val="Calibri"/>
      <family val="2"/>
      <scheme val="minor"/>
    </font>
    <font>
      <sz val="11"/>
      <color rgb="FFFFFF00"/>
      <name val="Calibri"/>
      <family val="2"/>
      <scheme val="minor"/>
    </font>
    <font>
      <b/>
      <sz val="16"/>
      <color rgb="FFFF0000"/>
      <name val="Calibri"/>
      <family val="2"/>
      <scheme val="minor"/>
    </font>
    <font>
      <sz val="11"/>
      <color theme="0"/>
      <name val="Calibri"/>
      <family val="2"/>
      <scheme val="minor"/>
    </font>
    <font>
      <vertAlign val="superscript"/>
      <sz val="11"/>
      <color theme="1"/>
      <name val="Calibri"/>
      <family val="2"/>
      <scheme val="minor"/>
    </font>
    <font>
      <i/>
      <sz val="11"/>
      <name val="Calibri"/>
      <family val="2"/>
      <scheme val="minor"/>
    </font>
    <font>
      <b/>
      <sz val="14"/>
      <name val="Calibri"/>
      <family val="2"/>
      <scheme val="minor"/>
    </font>
    <font>
      <sz val="11"/>
      <color theme="1"/>
      <name val="Calibri"/>
      <family val="2"/>
      <scheme val="minor"/>
    </font>
    <font>
      <b/>
      <sz val="8"/>
      <name val="Arial"/>
      <family val="2"/>
    </font>
    <font>
      <b/>
      <i/>
      <sz val="12"/>
      <name val="Arial"/>
      <family val="2"/>
    </font>
    <font>
      <b/>
      <i/>
      <sz val="10"/>
      <name val="Arial"/>
      <family val="2"/>
    </font>
    <font>
      <sz val="10"/>
      <name val="Arial"/>
      <family val="2"/>
    </font>
    <font>
      <sz val="10"/>
      <color theme="1"/>
      <name val="Arial"/>
      <family val="2"/>
    </font>
    <font>
      <sz val="8"/>
      <color rgb="FFFF0000"/>
      <name val="Arial"/>
      <family val="2"/>
    </font>
    <font>
      <vertAlign val="subscript"/>
      <sz val="10"/>
      <name val="Arial"/>
      <family val="2"/>
    </font>
    <font>
      <sz val="10"/>
      <color rgb="FF000000"/>
      <name val="Arial"/>
      <family val="2"/>
    </font>
    <font>
      <b/>
      <sz val="9"/>
      <name val="Arial"/>
      <family val="2"/>
    </font>
    <font>
      <b/>
      <sz val="9"/>
      <color indexed="81"/>
      <name val="Tahoma"/>
      <family val="2"/>
    </font>
    <font>
      <sz val="9"/>
      <color indexed="81"/>
      <name val="Tahoma"/>
      <family val="2"/>
    </font>
    <font>
      <b/>
      <sz val="14"/>
      <name val="Arial"/>
      <family val="2"/>
    </font>
    <font>
      <b/>
      <i/>
      <sz val="14"/>
      <color rgb="FFFF0000"/>
      <name val="Arial"/>
      <family val="2"/>
    </font>
    <font>
      <b/>
      <sz val="10"/>
      <name val="Arial"/>
      <family val="2"/>
    </font>
    <font>
      <b/>
      <sz val="13"/>
      <name val="Arial"/>
      <family val="2"/>
    </font>
    <font>
      <sz val="12"/>
      <name val="Arial"/>
      <family val="2"/>
    </font>
    <font>
      <sz val="12"/>
      <name val="Calibri"/>
      <family val="2"/>
      <scheme val="minor"/>
    </font>
    <font>
      <b/>
      <sz val="12"/>
      <name val="Arial"/>
      <family val="2"/>
    </font>
    <font>
      <b/>
      <sz val="12"/>
      <name val="Calibri"/>
      <family val="2"/>
      <scheme val="minor"/>
    </font>
    <font>
      <sz val="12"/>
      <color rgb="FF000000"/>
      <name val="Arial"/>
      <family val="2"/>
    </font>
    <font>
      <sz val="12"/>
      <color theme="1"/>
      <name val="Arial"/>
      <family val="2"/>
    </font>
    <font>
      <b/>
      <sz val="12"/>
      <color theme="1"/>
      <name val="Arial"/>
      <family val="2"/>
    </font>
    <font>
      <vertAlign val="superscript"/>
      <sz val="12"/>
      <color theme="1"/>
      <name val="Arial"/>
      <family val="2"/>
    </font>
    <font>
      <sz val="12"/>
      <color rgb="FF000000"/>
      <name val="Calibri"/>
      <family val="2"/>
      <scheme val="minor"/>
    </font>
    <font>
      <b/>
      <sz val="14"/>
      <color rgb="FFFF0000"/>
      <name val="Calibri"/>
      <family val="2"/>
      <scheme val="minor"/>
    </font>
  </fonts>
  <fills count="30">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0.74999237037263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1" tint="0.14999847407452621"/>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rgb="FFFFFFCC"/>
      </patternFill>
    </fill>
    <fill>
      <patternFill patternType="solid">
        <fgColor rgb="FF00FFFF"/>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9" fillId="0" borderId="0" applyNumberFormat="0" applyFill="0" applyBorder="0" applyAlignment="0" applyProtection="0"/>
    <xf numFmtId="43" fontId="17" fillId="0" borderId="0" applyFont="0" applyFill="0" applyBorder="0" applyAlignment="0" applyProtection="0"/>
    <xf numFmtId="0" fontId="17" fillId="24" borderId="13" applyNumberFormat="0" applyFont="0" applyAlignment="0" applyProtection="0"/>
    <xf numFmtId="0" fontId="17" fillId="0" borderId="0"/>
  </cellStyleXfs>
  <cellXfs count="338">
    <xf numFmtId="0" fontId="0" fillId="0" borderId="0" xfId="0"/>
    <xf numFmtId="3" fontId="0" fillId="0" borderId="0" xfId="0" applyNumberFormat="1"/>
    <xf numFmtId="0" fontId="1" fillId="0" borderId="0" xfId="0" applyFont="1" applyAlignment="1">
      <alignment horizontal="left" vertical="center"/>
    </xf>
    <xf numFmtId="0" fontId="0" fillId="0" borderId="0" xfId="0" applyAlignment="1">
      <alignment horizontal="left" vertical="center"/>
    </xf>
    <xf numFmtId="0" fontId="0" fillId="4" borderId="0" xfId="0" applyFill="1" applyAlignment="1">
      <alignment horizontal="left" vertical="center"/>
    </xf>
    <xf numFmtId="0" fontId="1" fillId="5"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5" fillId="0" borderId="1" xfId="0" applyFont="1" applyBorder="1" applyAlignment="1">
      <alignment horizontal="left" vertical="center"/>
    </xf>
    <xf numFmtId="0" fontId="0" fillId="4" borderId="1" xfId="0" applyFill="1" applyBorder="1" applyAlignment="1">
      <alignment horizontal="left" vertical="center"/>
    </xf>
    <xf numFmtId="0" fontId="1" fillId="8" borderId="1" xfId="0" applyFont="1" applyFill="1" applyBorder="1" applyAlignment="1">
      <alignment horizontal="left" vertical="center"/>
    </xf>
    <xf numFmtId="0" fontId="7" fillId="9" borderId="1" xfId="0" applyFont="1" applyFill="1" applyBorder="1" applyAlignment="1">
      <alignment horizontal="left" vertical="center"/>
    </xf>
    <xf numFmtId="0" fontId="5" fillId="0" borderId="1" xfId="0" applyFont="1" applyFill="1" applyBorder="1" applyAlignment="1">
      <alignment horizontal="left" vertical="center"/>
    </xf>
    <xf numFmtId="0" fontId="5" fillId="4" borderId="1" xfId="0" applyFont="1" applyFill="1" applyBorder="1" applyAlignment="1">
      <alignment horizontal="left" vertical="center"/>
    </xf>
    <xf numFmtId="0" fontId="0" fillId="0" borderId="0" xfId="0" applyFill="1" applyAlignment="1">
      <alignment horizontal="left" vertical="center"/>
    </xf>
    <xf numFmtId="166" fontId="0" fillId="0" borderId="1" xfId="0" applyNumberFormat="1" applyBorder="1" applyAlignment="1">
      <alignment horizontal="left" vertical="center"/>
    </xf>
    <xf numFmtId="3" fontId="0" fillId="4" borderId="0" xfId="0" applyNumberFormat="1" applyFill="1"/>
    <xf numFmtId="164" fontId="0" fillId="4" borderId="0" xfId="0" applyNumberFormat="1" applyFill="1"/>
    <xf numFmtId="1" fontId="0" fillId="0" borderId="0" xfId="0" applyNumberFormat="1" applyAlignment="1">
      <alignment horizontal="left" vertical="center"/>
    </xf>
    <xf numFmtId="1" fontId="0" fillId="0" borderId="1" xfId="0" applyNumberFormat="1" applyBorder="1" applyAlignment="1">
      <alignment horizontal="left" vertical="center"/>
    </xf>
    <xf numFmtId="1" fontId="5" fillId="0" borderId="1" xfId="0" applyNumberFormat="1" applyFont="1" applyBorder="1" applyAlignment="1">
      <alignment horizontal="left" vertical="center"/>
    </xf>
    <xf numFmtId="0" fontId="5" fillId="0" borderId="0" xfId="0" applyFont="1" applyFill="1" applyBorder="1" applyAlignment="1">
      <alignment horizontal="left" vertical="center"/>
    </xf>
    <xf numFmtId="0" fontId="0" fillId="0" borderId="0" xfId="0" applyBorder="1" applyAlignment="1">
      <alignment horizontal="left" vertical="center"/>
    </xf>
    <xf numFmtId="0" fontId="1" fillId="0" borderId="0" xfId="0" applyFont="1" applyFill="1" applyBorder="1" applyAlignment="1">
      <alignment horizontal="left" vertical="center"/>
    </xf>
    <xf numFmtId="0" fontId="4" fillId="0" borderId="0" xfId="0" applyFont="1" applyFill="1" applyBorder="1" applyAlignment="1">
      <alignment horizontal="left" vertical="center"/>
    </xf>
    <xf numFmtId="164" fontId="0" fillId="6" borderId="0" xfId="0" applyNumberFormat="1" applyFill="1"/>
    <xf numFmtId="3" fontId="1" fillId="11" borderId="0" xfId="0" applyNumberFormat="1" applyFont="1" applyFill="1"/>
    <xf numFmtId="3" fontId="0" fillId="0" borderId="0" xfId="0" applyNumberFormat="1" applyFill="1"/>
    <xf numFmtId="1" fontId="4" fillId="0" borderId="1" xfId="0" applyNumberFormat="1" applyFont="1" applyBorder="1" applyAlignment="1">
      <alignment horizontal="left" vertical="center"/>
    </xf>
    <xf numFmtId="3" fontId="0" fillId="4" borderId="0" xfId="0" applyNumberFormat="1" applyFill="1" applyAlignment="1">
      <alignment horizontal="left" vertical="center"/>
    </xf>
    <xf numFmtId="165" fontId="8" fillId="0" borderId="1" xfId="0" applyNumberFormat="1" applyFont="1" applyFill="1" applyBorder="1" applyAlignment="1">
      <alignment horizontal="left" vertical="center"/>
    </xf>
    <xf numFmtId="164" fontId="0" fillId="0" borderId="0" xfId="0" applyNumberFormat="1" applyFill="1"/>
    <xf numFmtId="0" fontId="0" fillId="0" borderId="0" xfId="0" applyAlignment="1">
      <alignment wrapText="1"/>
    </xf>
    <xf numFmtId="0" fontId="1" fillId="0" borderId="0" xfId="0" applyFont="1" applyAlignment="1">
      <alignment wrapText="1"/>
    </xf>
    <xf numFmtId="0" fontId="1" fillId="0" borderId="0" xfId="0" applyFont="1" applyBorder="1" applyAlignment="1">
      <alignment horizontal="left" vertical="center"/>
    </xf>
    <xf numFmtId="1" fontId="0" fillId="0" borderId="0" xfId="0" applyNumberFormat="1" applyBorder="1" applyAlignment="1">
      <alignment horizontal="left" vertical="center"/>
    </xf>
    <xf numFmtId="3" fontId="0" fillId="0" borderId="0" xfId="0" applyNumberFormat="1" applyFill="1" applyAlignment="1">
      <alignment horizontal="left" vertical="center"/>
    </xf>
    <xf numFmtId="164" fontId="11" fillId="6" borderId="0" xfId="0" applyNumberFormat="1" applyFont="1" applyFill="1"/>
    <xf numFmtId="1" fontId="0" fillId="0" borderId="0" xfId="0" applyNumberFormat="1"/>
    <xf numFmtId="0" fontId="0" fillId="4" borderId="0" xfId="0" applyFill="1"/>
    <xf numFmtId="0" fontId="3" fillId="0" borderId="0" xfId="0" applyFont="1"/>
    <xf numFmtId="164" fontId="3" fillId="0" borderId="0" xfId="0" applyNumberFormat="1" applyFont="1" applyFill="1"/>
    <xf numFmtId="0" fontId="9" fillId="0" borderId="0" xfId="1"/>
    <xf numFmtId="167" fontId="0" fillId="0" borderId="0" xfId="0" applyNumberFormat="1" applyAlignment="1">
      <alignment horizontal="left" vertical="center"/>
    </xf>
    <xf numFmtId="168" fontId="0" fillId="0" borderId="0" xfId="0" applyNumberFormat="1" applyFill="1"/>
    <xf numFmtId="164" fontId="8" fillId="0" borderId="0" xfId="0" applyNumberFormat="1" applyFont="1" applyFill="1"/>
    <xf numFmtId="11" fontId="0" fillId="4" borderId="0" xfId="0" applyNumberFormat="1" applyFill="1"/>
    <xf numFmtId="4" fontId="3" fillId="0" borderId="0" xfId="0" applyNumberFormat="1" applyFont="1"/>
    <xf numFmtId="3" fontId="3" fillId="0" borderId="0" xfId="0" applyNumberFormat="1" applyFont="1" applyFill="1"/>
    <xf numFmtId="3" fontId="1" fillId="11" borderId="0" xfId="0" applyNumberFormat="1" applyFont="1" applyFill="1" applyAlignment="1">
      <alignment horizontal="right"/>
    </xf>
    <xf numFmtId="3" fontId="1" fillId="3" borderId="0" xfId="0" applyNumberFormat="1" applyFont="1" applyFill="1" applyAlignment="1">
      <alignment horizontal="right"/>
    </xf>
    <xf numFmtId="3" fontId="10" fillId="6" borderId="0" xfId="0" applyNumberFormat="1" applyFont="1" applyFill="1" applyAlignment="1">
      <alignment horizontal="right"/>
    </xf>
    <xf numFmtId="0" fontId="0" fillId="0" borderId="0" xfId="0" applyAlignment="1">
      <alignment horizontal="right"/>
    </xf>
    <xf numFmtId="0" fontId="1" fillId="0" borderId="0" xfId="0" applyFont="1"/>
    <xf numFmtId="1" fontId="3" fillId="0" borderId="0" xfId="0" applyNumberFormat="1" applyFont="1"/>
    <xf numFmtId="169" fontId="0" fillId="0" borderId="0" xfId="0" applyNumberFormat="1"/>
    <xf numFmtId="0" fontId="4" fillId="0" borderId="0" xfId="0" applyFont="1"/>
    <xf numFmtId="0" fontId="0" fillId="0" borderId="0" xfId="0" applyAlignment="1">
      <alignment vertical="center"/>
    </xf>
    <xf numFmtId="3" fontId="2" fillId="10" borderId="0" xfId="0" applyNumberFormat="1" applyFont="1" applyFill="1" applyAlignment="1">
      <alignment horizontal="right"/>
    </xf>
    <xf numFmtId="3" fontId="1" fillId="15" borderId="0" xfId="0" applyNumberFormat="1" applyFont="1" applyFill="1" applyAlignment="1">
      <alignment horizontal="right"/>
    </xf>
    <xf numFmtId="3" fontId="1" fillId="12" borderId="0" xfId="0" applyNumberFormat="1" applyFont="1" applyFill="1" applyAlignment="1">
      <alignment horizontal="right"/>
    </xf>
    <xf numFmtId="3" fontId="1" fillId="16" borderId="0" xfId="0" applyNumberFormat="1" applyFont="1" applyFill="1" applyAlignment="1">
      <alignment horizontal="right"/>
    </xf>
    <xf numFmtId="3" fontId="7" fillId="16" borderId="0" xfId="0" applyNumberFormat="1" applyFont="1" applyFill="1" applyAlignment="1">
      <alignment horizontal="right"/>
    </xf>
    <xf numFmtId="3" fontId="1" fillId="2" borderId="0" xfId="0" applyNumberFormat="1" applyFont="1" applyFill="1" applyAlignment="1">
      <alignment horizontal="right"/>
    </xf>
    <xf numFmtId="3" fontId="1" fillId="4" borderId="0" xfId="0" applyNumberFormat="1" applyFont="1" applyFill="1" applyAlignment="1">
      <alignment horizontal="right"/>
    </xf>
    <xf numFmtId="3" fontId="0" fillId="2" borderId="0" xfId="0" applyNumberFormat="1" applyFont="1" applyFill="1" applyAlignment="1">
      <alignment horizontal="right"/>
    </xf>
    <xf numFmtId="3" fontId="0" fillId="15" borderId="0" xfId="0" applyNumberFormat="1" applyFont="1" applyFill="1" applyAlignment="1">
      <alignment horizontal="right"/>
    </xf>
    <xf numFmtId="3" fontId="0" fillId="12" borderId="0" xfId="0" applyNumberFormat="1" applyFont="1" applyFill="1" applyAlignment="1">
      <alignment horizontal="right"/>
    </xf>
    <xf numFmtId="3" fontId="0" fillId="16" borderId="0" xfId="0" applyNumberFormat="1" applyFont="1" applyFill="1" applyAlignment="1">
      <alignment horizontal="right"/>
    </xf>
    <xf numFmtId="3" fontId="8" fillId="16" borderId="0" xfId="0" applyNumberFormat="1" applyFont="1" applyFill="1" applyAlignment="1">
      <alignment horizontal="right"/>
    </xf>
    <xf numFmtId="3" fontId="0" fillId="4" borderId="0" xfId="0" applyNumberFormat="1" applyFont="1" applyFill="1" applyAlignment="1">
      <alignment horizontal="right"/>
    </xf>
    <xf numFmtId="3" fontId="1" fillId="13" borderId="0" xfId="0" applyNumberFormat="1" applyFont="1" applyFill="1" applyAlignment="1">
      <alignment horizontal="right"/>
    </xf>
    <xf numFmtId="3" fontId="0" fillId="0" borderId="0" xfId="0" applyNumberFormat="1" applyAlignment="1">
      <alignment horizontal="right"/>
    </xf>
    <xf numFmtId="3" fontId="1" fillId="14" borderId="0" xfId="0" applyNumberFormat="1" applyFont="1" applyFill="1" applyAlignment="1">
      <alignment horizontal="right"/>
    </xf>
    <xf numFmtId="3" fontId="0" fillId="0" borderId="0" xfId="0" applyNumberFormat="1" applyFont="1" applyFill="1" applyAlignment="1">
      <alignment horizontal="right"/>
    </xf>
    <xf numFmtId="3" fontId="1" fillId="17" borderId="0" xfId="0" applyNumberFormat="1" applyFont="1" applyFill="1" applyAlignment="1">
      <alignment horizontal="right"/>
    </xf>
    <xf numFmtId="3" fontId="1" fillId="18" borderId="0" xfId="0" applyNumberFormat="1" applyFont="1" applyFill="1" applyAlignment="1">
      <alignment horizontal="right"/>
    </xf>
    <xf numFmtId="3" fontId="0" fillId="18" borderId="0" xfId="0" applyNumberFormat="1" applyFill="1" applyAlignment="1">
      <alignment horizontal="right"/>
    </xf>
    <xf numFmtId="3" fontId="0" fillId="2" borderId="0" xfId="0" applyNumberFormat="1" applyFill="1" applyAlignment="1">
      <alignment horizontal="right"/>
    </xf>
    <xf numFmtId="3" fontId="0" fillId="11" borderId="0" xfId="0" applyNumberFormat="1" applyFill="1" applyAlignment="1">
      <alignment horizontal="right"/>
    </xf>
    <xf numFmtId="3" fontId="1" fillId="0" borderId="0" xfId="0" applyNumberFormat="1" applyFont="1" applyFill="1" applyAlignment="1">
      <alignment horizontal="right"/>
    </xf>
    <xf numFmtId="3" fontId="3" fillId="0" borderId="0" xfId="0" applyNumberFormat="1" applyFont="1" applyAlignment="1">
      <alignment horizontal="right"/>
    </xf>
    <xf numFmtId="3" fontId="0" fillId="0" borderId="0" xfId="0" applyNumberFormat="1" applyFill="1" applyAlignment="1">
      <alignment horizontal="right"/>
    </xf>
    <xf numFmtId="164" fontId="0" fillId="0" borderId="0" xfId="0" applyNumberFormat="1" applyFill="1" applyAlignment="1">
      <alignment horizontal="right"/>
    </xf>
    <xf numFmtId="166" fontId="0" fillId="0" borderId="0" xfId="0" applyNumberFormat="1" applyAlignment="1">
      <alignment horizontal="left" vertical="center"/>
    </xf>
    <xf numFmtId="1" fontId="4" fillId="4" borderId="1" xfId="0" applyNumberFormat="1" applyFont="1" applyFill="1" applyBorder="1" applyAlignment="1">
      <alignment horizontal="left" vertical="center"/>
    </xf>
    <xf numFmtId="3" fontId="9" fillId="2" borderId="0" xfId="1" applyNumberFormat="1" applyFill="1"/>
    <xf numFmtId="4" fontId="0" fillId="0" borderId="0" xfId="0" applyNumberFormat="1"/>
    <xf numFmtId="164" fontId="0" fillId="0" borderId="0" xfId="0" applyNumberFormat="1"/>
    <xf numFmtId="3" fontId="7" fillId="2" borderId="0" xfId="0" applyNumberFormat="1" applyFont="1" applyFill="1" applyAlignment="1">
      <alignment horizontal="right"/>
    </xf>
    <xf numFmtId="164" fontId="0" fillId="9" borderId="0" xfId="0" applyNumberFormat="1" applyFill="1"/>
    <xf numFmtId="3" fontId="0" fillId="9" borderId="0" xfId="0" applyNumberFormat="1" applyFill="1"/>
    <xf numFmtId="0" fontId="0" fillId="0" borderId="0" xfId="0" applyAlignment="1"/>
    <xf numFmtId="0" fontId="3" fillId="6" borderId="0" xfId="0" applyFont="1" applyFill="1"/>
    <xf numFmtId="3" fontId="3" fillId="0" borderId="0" xfId="0" applyNumberFormat="1" applyFont="1"/>
    <xf numFmtId="0" fontId="8" fillId="4" borderId="0" xfId="0" applyFont="1" applyFill="1"/>
    <xf numFmtId="3" fontId="1" fillId="19" borderId="0" xfId="0" applyNumberFormat="1" applyFont="1" applyFill="1" applyAlignment="1">
      <alignment horizontal="right"/>
    </xf>
    <xf numFmtId="3" fontId="4" fillId="6" borderId="0" xfId="0" applyNumberFormat="1" applyFont="1" applyFill="1" applyAlignment="1">
      <alignment horizontal="right"/>
    </xf>
    <xf numFmtId="0" fontId="0" fillId="4" borderId="0" xfId="0" applyFill="1" applyAlignment="1">
      <alignment horizontal="left" vertical="top"/>
    </xf>
    <xf numFmtId="3" fontId="4" fillId="0" borderId="0" xfId="0" applyNumberFormat="1" applyFont="1" applyAlignment="1">
      <alignment horizontal="left" vertical="center"/>
    </xf>
    <xf numFmtId="0" fontId="4" fillId="0" borderId="0" xfId="0" applyFont="1" applyAlignment="1">
      <alignment horizontal="left" vertical="center"/>
    </xf>
    <xf numFmtId="170" fontId="0" fillId="4" borderId="0" xfId="0" applyNumberFormat="1" applyFill="1"/>
    <xf numFmtId="0" fontId="1" fillId="0" borderId="0" xfId="0" applyFont="1" applyFill="1" applyAlignment="1">
      <alignment horizontal="left" vertical="center"/>
    </xf>
    <xf numFmtId="3" fontId="1" fillId="5" borderId="0" xfId="0" applyNumberFormat="1" applyFont="1" applyFill="1" applyAlignment="1">
      <alignment horizontal="right"/>
    </xf>
    <xf numFmtId="3" fontId="0" fillId="5" borderId="0" xfId="0" applyNumberFormat="1" applyFill="1" applyAlignment="1">
      <alignment horizontal="right"/>
    </xf>
    <xf numFmtId="4" fontId="0" fillId="4" borderId="0" xfId="0" applyNumberFormat="1" applyFill="1"/>
    <xf numFmtId="0" fontId="9" fillId="0" borderId="0" xfId="1" applyAlignment="1">
      <alignment horizontal="left" vertical="center" indent="1"/>
    </xf>
    <xf numFmtId="0" fontId="0" fillId="0" borderId="0" xfId="0" applyAlignment="1">
      <alignment horizontal="left"/>
    </xf>
    <xf numFmtId="3" fontId="4" fillId="12" borderId="0" xfId="0" applyNumberFormat="1" applyFont="1" applyFill="1" applyAlignment="1">
      <alignment horizontal="right"/>
    </xf>
    <xf numFmtId="165" fontId="0" fillId="0" borderId="0" xfId="0" applyNumberFormat="1"/>
    <xf numFmtId="3" fontId="8" fillId="0" borderId="1" xfId="0" applyNumberFormat="1" applyFont="1" applyFill="1" applyBorder="1" applyAlignment="1">
      <alignment horizontal="left" vertical="center"/>
    </xf>
    <xf numFmtId="0" fontId="1" fillId="0" borderId="0" xfId="0" applyFont="1" applyAlignment="1">
      <alignment vertical="center" wrapText="1"/>
    </xf>
    <xf numFmtId="0" fontId="0" fillId="0" borderId="0" xfId="0" applyAlignment="1">
      <alignment vertical="center" wrapText="1"/>
    </xf>
    <xf numFmtId="0" fontId="8" fillId="0" borderId="0" xfId="1" applyFont="1" applyAlignment="1">
      <alignment vertical="center" wrapText="1"/>
    </xf>
    <xf numFmtId="0" fontId="0" fillId="20" borderId="0" xfId="0" applyFill="1" applyAlignment="1">
      <alignment vertical="center" wrapText="1"/>
    </xf>
    <xf numFmtId="1" fontId="0" fillId="0" borderId="0" xfId="0" applyNumberFormat="1" applyFill="1" applyAlignment="1">
      <alignment horizontal="left" vertical="center"/>
    </xf>
    <xf numFmtId="3" fontId="0" fillId="0" borderId="0" xfId="0" applyNumberFormat="1" applyAlignment="1">
      <alignment horizontal="left" vertical="center"/>
    </xf>
    <xf numFmtId="3" fontId="5" fillId="0" borderId="1" xfId="0" applyNumberFormat="1" applyFont="1" applyBorder="1" applyAlignment="1">
      <alignment horizontal="left" vertical="center"/>
    </xf>
    <xf numFmtId="1" fontId="5" fillId="0" borderId="1" xfId="0" applyNumberFormat="1" applyFont="1" applyFill="1" applyBorder="1" applyAlignment="1">
      <alignment horizontal="left" vertical="center"/>
    </xf>
    <xf numFmtId="3" fontId="5" fillId="0" borderId="1" xfId="0" applyNumberFormat="1" applyFont="1" applyFill="1" applyBorder="1" applyAlignment="1">
      <alignment horizontal="left" vertical="center"/>
    </xf>
    <xf numFmtId="0" fontId="0" fillId="0" borderId="0" xfId="0" applyAlignment="1">
      <alignment horizontal="left" vertical="center" wrapText="1"/>
    </xf>
    <xf numFmtId="0" fontId="1" fillId="0" borderId="1" xfId="0" applyFont="1" applyBorder="1"/>
    <xf numFmtId="166" fontId="0" fillId="0" borderId="1" xfId="0" applyNumberFormat="1" applyBorder="1"/>
    <xf numFmtId="0" fontId="0" fillId="0" borderId="1" xfId="0" applyBorder="1"/>
    <xf numFmtId="3" fontId="4" fillId="0" borderId="0" xfId="0" applyNumberFormat="1" applyFont="1" applyFill="1" applyBorder="1" applyAlignment="1">
      <alignment horizontal="left" vertical="center"/>
    </xf>
    <xf numFmtId="0" fontId="12" fillId="0" borderId="0" xfId="0" applyFont="1" applyFill="1" applyAlignment="1">
      <alignment horizontal="left" vertical="center" wrapText="1"/>
    </xf>
    <xf numFmtId="1" fontId="8"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164" fontId="8" fillId="9" borderId="0" xfId="0" applyNumberFormat="1" applyFont="1" applyFill="1"/>
    <xf numFmtId="0" fontId="1" fillId="4" borderId="0" xfId="0" applyFont="1" applyFill="1"/>
    <xf numFmtId="4" fontId="0" fillId="9" borderId="0" xfId="0" applyNumberFormat="1" applyFill="1"/>
    <xf numFmtId="0" fontId="0" fillId="9" borderId="0" xfId="0" applyNumberFormat="1" applyFill="1"/>
    <xf numFmtId="1" fontId="4" fillId="9" borderId="1" xfId="0" applyNumberFormat="1" applyFont="1" applyFill="1" applyBorder="1" applyAlignment="1">
      <alignment horizontal="left" vertical="center"/>
    </xf>
    <xf numFmtId="0" fontId="1" fillId="21" borderId="1" xfId="0" applyFont="1" applyFill="1" applyBorder="1"/>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4" fillId="9" borderId="1" xfId="0" applyFont="1" applyFill="1" applyBorder="1" applyAlignment="1">
      <alignment horizontal="left"/>
    </xf>
    <xf numFmtId="1" fontId="4" fillId="9" borderId="1" xfId="0" applyNumberFormat="1" applyFont="1" applyFill="1" applyBorder="1" applyAlignment="1">
      <alignment horizontal="left"/>
    </xf>
    <xf numFmtId="0" fontId="2" fillId="22" borderId="0" xfId="0" applyFont="1" applyFill="1"/>
    <xf numFmtId="0" fontId="13" fillId="22" borderId="0" xfId="0" applyFont="1" applyFill="1"/>
    <xf numFmtId="0" fontId="13" fillId="22" borderId="0" xfId="0" applyFont="1" applyFill="1" applyAlignment="1">
      <alignment horizontal="right"/>
    </xf>
    <xf numFmtId="164" fontId="13" fillId="22" borderId="0" xfId="0" applyNumberFormat="1" applyFont="1" applyFill="1"/>
    <xf numFmtId="0" fontId="4" fillId="0" borderId="0" xfId="0" applyFont="1" applyFill="1"/>
    <xf numFmtId="0" fontId="0" fillId="0" borderId="0" xfId="0" applyFont="1" applyFill="1"/>
    <xf numFmtId="3" fontId="8" fillId="0" borderId="0" xfId="0" applyNumberFormat="1" applyFont="1" applyFill="1" applyBorder="1" applyAlignment="1">
      <alignment horizontal="center"/>
    </xf>
    <xf numFmtId="0" fontId="1" fillId="23" borderId="8" xfId="0" applyFont="1" applyFill="1" applyBorder="1" applyAlignment="1">
      <alignment horizontal="center"/>
    </xf>
    <xf numFmtId="164" fontId="13" fillId="22" borderId="0" xfId="0" applyNumberFormat="1" applyFont="1" applyFill="1" applyAlignment="1">
      <alignment horizontal="right"/>
    </xf>
    <xf numFmtId="3" fontId="0" fillId="0" borderId="0" xfId="0" applyNumberFormat="1" applyFont="1" applyFill="1"/>
    <xf numFmtId="170" fontId="0" fillId="0" borderId="0" xfId="0" applyNumberFormat="1"/>
    <xf numFmtId="0" fontId="0" fillId="0" borderId="0" xfId="0" applyFont="1" applyAlignment="1">
      <alignment vertical="center" wrapText="1"/>
    </xf>
    <xf numFmtId="0" fontId="9" fillId="0" borderId="0" xfId="1" applyFont="1" applyAlignment="1">
      <alignment vertical="center" wrapText="1"/>
    </xf>
    <xf numFmtId="0" fontId="0" fillId="6" borderId="0" xfId="0" applyFont="1" applyFill="1" applyAlignment="1">
      <alignment vertical="center" wrapText="1"/>
    </xf>
    <xf numFmtId="9" fontId="0" fillId="20" borderId="0" xfId="0" applyNumberFormat="1" applyFont="1" applyFill="1" applyAlignment="1">
      <alignment vertical="center" wrapText="1"/>
    </xf>
    <xf numFmtId="0" fontId="0" fillId="20" borderId="0" xfId="0" applyFont="1" applyFill="1" applyAlignment="1">
      <alignment vertical="center" wrapText="1"/>
    </xf>
    <xf numFmtId="0" fontId="0" fillId="0" borderId="0" xfId="0" applyFont="1" applyFill="1" applyAlignment="1">
      <alignment vertical="center" wrapText="1"/>
    </xf>
    <xf numFmtId="0" fontId="9" fillId="0" borderId="0" xfId="1" applyFont="1" applyAlignment="1">
      <alignment horizontal="left" vertical="center" readingOrder="1"/>
    </xf>
    <xf numFmtId="0" fontId="9" fillId="0" borderId="0" xfId="1" applyFont="1" applyAlignment="1">
      <alignment horizontal="left" vertical="center" indent="2" readingOrder="1"/>
    </xf>
    <xf numFmtId="0" fontId="9" fillId="0" borderId="0" xfId="1" applyFont="1" applyAlignment="1">
      <alignment horizontal="left" vertical="center" wrapText="1" readingOrder="1"/>
    </xf>
    <xf numFmtId="0" fontId="0" fillId="0" borderId="0" xfId="0" applyFont="1" applyAlignment="1">
      <alignment wrapText="1"/>
    </xf>
    <xf numFmtId="0" fontId="0" fillId="6" borderId="0" xfId="0" applyFill="1" applyAlignment="1">
      <alignment horizontal="left" vertical="center"/>
    </xf>
    <xf numFmtId="0" fontId="7" fillId="6" borderId="1" xfId="0" applyFont="1" applyFill="1" applyBorder="1" applyAlignment="1">
      <alignment horizontal="left" vertical="center"/>
    </xf>
    <xf numFmtId="0" fontId="7" fillId="6" borderId="0" xfId="0" applyFont="1" applyFill="1" applyAlignment="1">
      <alignment horizontal="left" vertical="center"/>
    </xf>
    <xf numFmtId="0" fontId="8" fillId="6" borderId="0" xfId="0" applyFont="1" applyFill="1" applyAlignment="1">
      <alignment horizontal="left" vertical="center"/>
    </xf>
    <xf numFmtId="0" fontId="7" fillId="6" borderId="0" xfId="0" applyFont="1" applyFill="1" applyBorder="1" applyAlignment="1">
      <alignment horizontal="left" vertical="center"/>
    </xf>
    <xf numFmtId="0" fontId="8" fillId="6" borderId="1" xfId="0" applyFont="1" applyFill="1" applyBorder="1" applyAlignment="1">
      <alignment horizontal="left" vertical="center"/>
    </xf>
    <xf numFmtId="0" fontId="15" fillId="6" borderId="1" xfId="0" applyFont="1" applyFill="1" applyBorder="1" applyAlignment="1">
      <alignment horizontal="left" vertical="center"/>
    </xf>
    <xf numFmtId="0" fontId="15" fillId="6" borderId="0" xfId="0" applyFont="1" applyFill="1" applyBorder="1" applyAlignment="1">
      <alignment horizontal="left" vertical="center"/>
    </xf>
    <xf numFmtId="0" fontId="8" fillId="6" borderId="0" xfId="0" applyFont="1" applyFill="1" applyBorder="1" applyAlignment="1">
      <alignment horizontal="left" vertical="center"/>
    </xf>
    <xf numFmtId="3" fontId="15" fillId="6" borderId="1" xfId="0" applyNumberFormat="1" applyFont="1" applyFill="1" applyBorder="1" applyAlignment="1">
      <alignment horizontal="left" vertical="center"/>
    </xf>
    <xf numFmtId="1" fontId="15" fillId="6" borderId="1" xfId="0" applyNumberFormat="1" applyFont="1" applyFill="1" applyBorder="1" applyAlignment="1">
      <alignment horizontal="left" vertical="center"/>
    </xf>
    <xf numFmtId="1" fontId="8" fillId="6" borderId="1" xfId="0" applyNumberFormat="1" applyFont="1" applyFill="1" applyBorder="1" applyAlignment="1">
      <alignment horizontal="left" vertical="center"/>
    </xf>
    <xf numFmtId="3" fontId="8" fillId="6" borderId="0" xfId="0" applyNumberFormat="1" applyFont="1" applyFill="1" applyAlignment="1">
      <alignment horizontal="left" vertical="center"/>
    </xf>
    <xf numFmtId="1" fontId="4" fillId="0" borderId="0" xfId="0" applyNumberFormat="1" applyFont="1" applyFill="1" applyBorder="1" applyAlignment="1">
      <alignment horizontal="left" vertical="center"/>
    </xf>
    <xf numFmtId="166" fontId="0" fillId="0" borderId="0" xfId="0" applyNumberFormat="1"/>
    <xf numFmtId="0" fontId="18" fillId="0" borderId="14" xfId="0" applyFont="1" applyBorder="1" applyAlignment="1">
      <alignment wrapText="1"/>
    </xf>
    <xf numFmtId="0" fontId="19" fillId="0" borderId="14" xfId="0" applyFont="1" applyBorder="1"/>
    <xf numFmtId="0" fontId="20" fillId="0" borderId="14" xfId="0" applyFont="1" applyBorder="1"/>
    <xf numFmtId="0" fontId="21" fillId="0" borderId="15" xfId="0" applyFont="1" applyBorder="1"/>
    <xf numFmtId="0" fontId="22" fillId="25" borderId="15" xfId="0" applyFont="1" applyFill="1" applyBorder="1"/>
    <xf numFmtId="0" fontId="23" fillId="26" borderId="15" xfId="0" applyFont="1" applyFill="1" applyBorder="1"/>
    <xf numFmtId="171" fontId="22" fillId="25" borderId="15" xfId="0" applyNumberFormat="1" applyFont="1" applyFill="1" applyBorder="1"/>
    <xf numFmtId="9" fontId="21" fillId="26" borderId="15" xfId="0" applyNumberFormat="1" applyFont="1" applyFill="1" applyBorder="1"/>
    <xf numFmtId="9" fontId="22" fillId="25" borderId="15" xfId="0" applyNumberFormat="1" applyFont="1" applyFill="1" applyBorder="1"/>
    <xf numFmtId="0" fontId="21" fillId="0" borderId="15" xfId="0" applyFont="1" applyFill="1" applyBorder="1"/>
    <xf numFmtId="167" fontId="22" fillId="14" borderId="15" xfId="0" applyNumberFormat="1" applyFont="1" applyFill="1" applyBorder="1"/>
    <xf numFmtId="167" fontId="22" fillId="0" borderId="15" xfId="0" applyNumberFormat="1" applyFont="1" applyBorder="1"/>
    <xf numFmtId="0" fontId="21" fillId="26" borderId="15" xfId="0" applyFont="1" applyFill="1" applyBorder="1"/>
    <xf numFmtId="2" fontId="22" fillId="0" borderId="15" xfId="0" applyNumberFormat="1" applyFont="1" applyBorder="1"/>
    <xf numFmtId="11" fontId="22" fillId="25" borderId="15" xfId="2" applyNumberFormat="1" applyFont="1" applyFill="1" applyBorder="1"/>
    <xf numFmtId="1" fontId="22" fillId="25" borderId="15" xfId="0" applyNumberFormat="1" applyFont="1" applyFill="1" applyBorder="1"/>
    <xf numFmtId="11" fontId="22" fillId="0" borderId="15" xfId="2" applyNumberFormat="1" applyFont="1" applyBorder="1"/>
    <xf numFmtId="11" fontId="26" fillId="0" borderId="15" xfId="2" applyNumberFormat="1" applyFont="1" applyBorder="1"/>
    <xf numFmtId="11" fontId="22" fillId="0" borderId="15" xfId="0" applyNumberFormat="1" applyFont="1" applyBorder="1"/>
    <xf numFmtId="0" fontId="21" fillId="9" borderId="0" xfId="0" applyFont="1" applyFill="1" applyAlignment="1">
      <alignment vertical="center"/>
    </xf>
    <xf numFmtId="167" fontId="21" fillId="9" borderId="0" xfId="0" applyNumberFormat="1" applyFont="1" applyFill="1" applyAlignment="1">
      <alignment vertical="center"/>
    </xf>
    <xf numFmtId="167" fontId="21" fillId="9" borderId="0" xfId="0" quotePrefix="1" applyNumberFormat="1" applyFont="1" applyFill="1" applyAlignment="1">
      <alignment vertical="center"/>
    </xf>
    <xf numFmtId="0" fontId="32" fillId="9" borderId="0" xfId="0" applyFont="1" applyFill="1" applyAlignment="1">
      <alignment vertical="center"/>
    </xf>
    <xf numFmtId="167" fontId="33" fillId="9" borderId="0" xfId="0" applyNumberFormat="1" applyFont="1" applyFill="1" applyAlignment="1">
      <alignment vertical="center"/>
    </xf>
    <xf numFmtId="0" fontId="33" fillId="9" borderId="0" xfId="0" applyFont="1" applyFill="1" applyAlignment="1">
      <alignment vertical="center"/>
    </xf>
    <xf numFmtId="0" fontId="34" fillId="9" borderId="0" xfId="0" applyFont="1" applyFill="1" applyAlignment="1">
      <alignment vertical="center"/>
    </xf>
    <xf numFmtId="0" fontId="33" fillId="16" borderId="21" xfId="0" applyFont="1" applyFill="1" applyBorder="1" applyAlignment="1">
      <alignment vertical="center"/>
    </xf>
    <xf numFmtId="0" fontId="21" fillId="0" borderId="0" xfId="0" applyFont="1" applyAlignment="1">
      <alignment vertical="center"/>
    </xf>
    <xf numFmtId="0" fontId="31" fillId="9" borderId="0" xfId="0" applyFont="1" applyFill="1" applyAlignment="1">
      <alignment horizontal="center" vertical="center" wrapText="1"/>
    </xf>
    <xf numFmtId="0" fontId="35" fillId="16" borderId="26" xfId="0" applyFont="1" applyFill="1" applyBorder="1" applyAlignment="1">
      <alignment horizontal="center" vertical="center" wrapText="1"/>
    </xf>
    <xf numFmtId="0" fontId="35" fillId="13" borderId="16" xfId="0" applyFont="1" applyFill="1" applyBorder="1" applyAlignment="1">
      <alignment horizontal="center" vertical="center" wrapText="1"/>
    </xf>
    <xf numFmtId="0" fontId="35" fillId="13" borderId="17" xfId="0" applyFont="1" applyFill="1" applyBorder="1" applyAlignment="1">
      <alignment horizontal="center" vertical="center" wrapText="1"/>
    </xf>
    <xf numFmtId="0" fontId="35" fillId="2" borderId="16"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36" fillId="9" borderId="0" xfId="0" applyFont="1" applyFill="1" applyAlignment="1">
      <alignment horizontal="center" vertical="center"/>
    </xf>
    <xf numFmtId="0" fontId="31" fillId="0" borderId="0" xfId="0" applyFont="1" applyAlignment="1">
      <alignment horizontal="center" vertical="center" wrapText="1"/>
    </xf>
    <xf numFmtId="0" fontId="0" fillId="9" borderId="0" xfId="0" applyFill="1"/>
    <xf numFmtId="0" fontId="37" fillId="0" borderId="26" xfId="4" applyFont="1" applyBorder="1" applyAlignment="1">
      <alignment vertical="center"/>
    </xf>
    <xf numFmtId="167" fontId="33" fillId="13" borderId="16" xfId="0" applyNumberFormat="1" applyFont="1" applyFill="1" applyBorder="1" applyAlignment="1">
      <alignment horizontal="center" vertical="center"/>
    </xf>
    <xf numFmtId="167" fontId="33" fillId="0" borderId="17" xfId="0" applyNumberFormat="1" applyFont="1" applyBorder="1" applyAlignment="1">
      <alignment horizontal="center" vertical="center"/>
    </xf>
    <xf numFmtId="2" fontId="33" fillId="2" borderId="16" xfId="0" applyNumberFormat="1" applyFont="1" applyFill="1" applyBorder="1" applyAlignment="1">
      <alignment horizontal="center" vertical="center"/>
    </xf>
    <xf numFmtId="2" fontId="37" fillId="0" borderId="17" xfId="4" applyNumberFormat="1" applyFont="1" applyBorder="1" applyAlignment="1">
      <alignment horizontal="center" vertical="center"/>
    </xf>
    <xf numFmtId="0" fontId="0" fillId="0" borderId="26" xfId="0" applyBorder="1"/>
    <xf numFmtId="0" fontId="37" fillId="0" borderId="26" xfId="4" applyFont="1" applyFill="1" applyBorder="1" applyAlignment="1">
      <alignment vertical="center"/>
    </xf>
    <xf numFmtId="2" fontId="37" fillId="0" borderId="17" xfId="4" applyNumberFormat="1" applyFont="1" applyFill="1" applyBorder="1" applyAlignment="1">
      <alignment horizontal="center" vertical="center"/>
    </xf>
    <xf numFmtId="0" fontId="34" fillId="0" borderId="26" xfId="0" applyFont="1" applyBorder="1" applyAlignment="1">
      <alignment vertical="center"/>
    </xf>
    <xf numFmtId="0" fontId="37" fillId="0" borderId="26" xfId="4" applyFont="1" applyFill="1" applyBorder="1" applyAlignment="1">
      <alignment vertical="center" wrapText="1"/>
    </xf>
    <xf numFmtId="0" fontId="25" fillId="0" borderId="26" xfId="4" applyFont="1" applyFill="1" applyBorder="1" applyAlignment="1">
      <alignment vertical="center" wrapText="1"/>
    </xf>
    <xf numFmtId="0" fontId="38" fillId="0" borderId="26" xfId="4" applyFont="1" applyFill="1" applyBorder="1" applyAlignment="1">
      <alignment vertical="center"/>
    </xf>
    <xf numFmtId="167" fontId="38" fillId="13" borderId="16" xfId="0" applyNumberFormat="1" applyFont="1" applyFill="1" applyBorder="1" applyAlignment="1">
      <alignment horizontal="center" vertical="center"/>
    </xf>
    <xf numFmtId="167" fontId="38" fillId="0" borderId="17" xfId="0" applyNumberFormat="1" applyFont="1" applyBorder="1" applyAlignment="1">
      <alignment horizontal="center" vertical="center"/>
    </xf>
    <xf numFmtId="2" fontId="38" fillId="2" borderId="16" xfId="0" applyNumberFormat="1" applyFont="1" applyFill="1" applyBorder="1" applyAlignment="1">
      <alignment horizontal="center" vertical="center"/>
    </xf>
    <xf numFmtId="2" fontId="38" fillId="0" borderId="17" xfId="4" applyNumberFormat="1" applyFont="1" applyFill="1" applyBorder="1" applyAlignment="1">
      <alignment horizontal="center" vertical="center"/>
    </xf>
    <xf numFmtId="0" fontId="33" fillId="0" borderId="27" xfId="0" applyFont="1" applyBorder="1" applyAlignment="1">
      <alignment vertical="center"/>
    </xf>
    <xf numFmtId="0" fontId="21" fillId="4" borderId="0" xfId="0" applyFont="1" applyFill="1" applyAlignment="1">
      <alignment vertical="center"/>
    </xf>
    <xf numFmtId="0" fontId="38" fillId="4" borderId="26" xfId="4" applyFont="1" applyFill="1" applyBorder="1" applyAlignment="1">
      <alignment vertical="center"/>
    </xf>
    <xf numFmtId="167" fontId="38" fillId="4" borderId="16" xfId="0" applyNumberFormat="1" applyFont="1" applyFill="1" applyBorder="1" applyAlignment="1">
      <alignment horizontal="center" vertical="center"/>
    </xf>
    <xf numFmtId="167" fontId="38" fillId="4" borderId="17" xfId="0" applyNumberFormat="1" applyFont="1" applyFill="1" applyBorder="1" applyAlignment="1">
      <alignment horizontal="center" vertical="center"/>
    </xf>
    <xf numFmtId="2" fontId="38" fillId="4" borderId="16" xfId="0" applyNumberFormat="1" applyFont="1" applyFill="1" applyBorder="1" applyAlignment="1">
      <alignment horizontal="center" vertical="center"/>
    </xf>
    <xf numFmtId="2" fontId="38" fillId="4" borderId="17" xfId="4" applyNumberFormat="1" applyFont="1" applyFill="1" applyBorder="1" applyAlignment="1">
      <alignment horizontal="center" vertical="center"/>
    </xf>
    <xf numFmtId="0" fontId="34" fillId="4" borderId="26" xfId="0" applyFont="1" applyFill="1" applyBorder="1" applyAlignment="1">
      <alignment vertical="center"/>
    </xf>
    <xf numFmtId="0" fontId="36" fillId="4" borderId="0" xfId="0" applyFont="1" applyFill="1" applyAlignment="1">
      <alignment horizontal="center" vertical="center"/>
    </xf>
    <xf numFmtId="0" fontId="0" fillId="12" borderId="0" xfId="0" applyFill="1"/>
    <xf numFmtId="0" fontId="37" fillId="12" borderId="26" xfId="4" applyFont="1" applyFill="1" applyBorder="1" applyAlignment="1">
      <alignment vertical="center"/>
    </xf>
    <xf numFmtId="167" fontId="33" fillId="12" borderId="16" xfId="0" applyNumberFormat="1" applyFont="1" applyFill="1" applyBorder="1" applyAlignment="1">
      <alignment horizontal="center" vertical="center"/>
    </xf>
    <xf numFmtId="167" fontId="33" fillId="12" borderId="17" xfId="0" applyNumberFormat="1" applyFont="1" applyFill="1" applyBorder="1" applyAlignment="1">
      <alignment horizontal="center" vertical="center"/>
    </xf>
    <xf numFmtId="2" fontId="33" fillId="12" borderId="16" xfId="0" applyNumberFormat="1" applyFont="1" applyFill="1" applyBorder="1" applyAlignment="1">
      <alignment horizontal="center" vertical="center"/>
    </xf>
    <xf numFmtId="2" fontId="37" fillId="12" borderId="17" xfId="4" applyNumberFormat="1" applyFont="1" applyFill="1" applyBorder="1" applyAlignment="1">
      <alignment horizontal="center" vertical="center"/>
    </xf>
    <xf numFmtId="0" fontId="0" fillId="12" borderId="26" xfId="0" applyFill="1" applyBorder="1"/>
    <xf numFmtId="0" fontId="36" fillId="9" borderId="0" xfId="0" applyFont="1" applyFill="1" applyAlignment="1">
      <alignment horizontal="center" vertical="center" wrapText="1"/>
    </xf>
    <xf numFmtId="0" fontId="38" fillId="0" borderId="26" xfId="4" applyFont="1" applyFill="1" applyBorder="1" applyAlignment="1">
      <alignment vertical="center" wrapText="1"/>
    </xf>
    <xf numFmtId="0" fontId="34" fillId="0" borderId="26" xfId="0" applyFont="1" applyBorder="1" applyAlignment="1">
      <alignment vertical="center" wrapText="1"/>
    </xf>
    <xf numFmtId="0" fontId="39" fillId="0" borderId="26" xfId="4" applyFont="1" applyFill="1" applyBorder="1" applyAlignment="1">
      <alignment vertical="center" wrapText="1"/>
    </xf>
    <xf numFmtId="167" fontId="38" fillId="2" borderId="16" xfId="0" applyNumberFormat="1" applyFont="1" applyFill="1" applyBorder="1" applyAlignment="1">
      <alignment horizontal="center" vertical="center"/>
    </xf>
    <xf numFmtId="0" fontId="37" fillId="0" borderId="26" xfId="0" applyFont="1" applyBorder="1" applyAlignment="1">
      <alignment vertical="center"/>
    </xf>
    <xf numFmtId="2" fontId="37" fillId="0" borderId="17" xfId="0" applyNumberFormat="1" applyFont="1" applyBorder="1" applyAlignment="1">
      <alignment horizontal="center" vertical="center"/>
    </xf>
    <xf numFmtId="0" fontId="21" fillId="0" borderId="26" xfId="0" applyFont="1" applyBorder="1"/>
    <xf numFmtId="167" fontId="33" fillId="13" borderId="16" xfId="0" applyNumberFormat="1" applyFont="1" applyFill="1" applyBorder="1" applyAlignment="1">
      <alignment horizontal="center" vertical="center" wrapText="1"/>
    </xf>
    <xf numFmtId="0" fontId="37" fillId="0" borderId="28" xfId="4" applyFont="1" applyBorder="1" applyAlignment="1">
      <alignment vertical="center"/>
    </xf>
    <xf numFmtId="167" fontId="33" fillId="13" borderId="29" xfId="0" applyNumberFormat="1" applyFont="1" applyFill="1" applyBorder="1" applyAlignment="1">
      <alignment horizontal="center" vertical="center" wrapText="1"/>
    </xf>
    <xf numFmtId="0" fontId="0" fillId="0" borderId="30" xfId="0" applyBorder="1"/>
    <xf numFmtId="167" fontId="33" fillId="0" borderId="29" xfId="0" applyNumberFormat="1" applyFont="1" applyBorder="1" applyAlignment="1">
      <alignment horizontal="center" vertical="center"/>
    </xf>
    <xf numFmtId="2" fontId="37" fillId="0" borderId="30" xfId="0" applyNumberFormat="1" applyFont="1" applyBorder="1" applyAlignment="1">
      <alignment horizontal="center" vertical="center"/>
    </xf>
    <xf numFmtId="0" fontId="0" fillId="0" borderId="28" xfId="0" applyBorder="1"/>
    <xf numFmtId="0" fontId="41" fillId="9" borderId="0" xfId="4" applyFont="1" applyFill="1" applyBorder="1" applyAlignment="1">
      <alignment vertical="center"/>
    </xf>
    <xf numFmtId="167" fontId="34" fillId="9" borderId="0" xfId="0" applyNumberFormat="1" applyFont="1" applyFill="1" applyAlignment="1">
      <alignment vertical="center"/>
    </xf>
    <xf numFmtId="0" fontId="37" fillId="9" borderId="0" xfId="4" applyFont="1" applyFill="1" applyBorder="1" applyAlignment="1">
      <alignment vertical="center"/>
    </xf>
    <xf numFmtId="0" fontId="25" fillId="9" borderId="0" xfId="4" applyFont="1" applyFill="1" applyBorder="1" applyAlignment="1">
      <alignment vertical="center"/>
    </xf>
    <xf numFmtId="0" fontId="25" fillId="9" borderId="0" xfId="0" applyFont="1" applyFill="1" applyBorder="1" applyAlignment="1">
      <alignment vertical="center"/>
    </xf>
    <xf numFmtId="0" fontId="25" fillId="0" borderId="0" xfId="4" applyFont="1" applyFill="1" applyBorder="1" applyAlignment="1">
      <alignment vertical="center"/>
    </xf>
    <xf numFmtId="167" fontId="21" fillId="0" borderId="0" xfId="0" applyNumberFormat="1" applyFont="1" applyAlignment="1">
      <alignment vertical="center"/>
    </xf>
    <xf numFmtId="0" fontId="21" fillId="0" borderId="0" xfId="0" applyFont="1" applyFill="1" applyAlignment="1">
      <alignment vertical="center"/>
    </xf>
    <xf numFmtId="0" fontId="42" fillId="0" borderId="0" xfId="0" applyFont="1"/>
    <xf numFmtId="167" fontId="21" fillId="24" borderId="13" xfId="3" applyNumberFormat="1" applyFont="1" applyAlignment="1">
      <alignment horizontal="right" vertical="center"/>
    </xf>
    <xf numFmtId="2" fontId="21" fillId="24" borderId="13" xfId="3" applyNumberFormat="1" applyFont="1" applyAlignment="1">
      <alignment horizontal="right" vertical="center"/>
    </xf>
    <xf numFmtId="2" fontId="25" fillId="24" borderId="13" xfId="3" applyNumberFormat="1" applyFont="1" applyAlignment="1">
      <alignment horizontal="right" vertical="center"/>
    </xf>
    <xf numFmtId="0" fontId="13" fillId="6" borderId="5" xfId="0" applyFont="1" applyFill="1" applyBorder="1"/>
    <xf numFmtId="0" fontId="13" fillId="6" borderId="6" xfId="0" applyFont="1" applyFill="1" applyBorder="1"/>
    <xf numFmtId="0" fontId="13" fillId="6" borderId="7" xfId="0" applyFont="1" applyFill="1" applyBorder="1"/>
    <xf numFmtId="3" fontId="0" fillId="0" borderId="0" xfId="0" applyNumberFormat="1" applyFill="1" applyBorder="1" applyAlignment="1">
      <alignment horizontal="center"/>
    </xf>
    <xf numFmtId="3" fontId="8" fillId="0" borderId="11" xfId="0" applyNumberFormat="1" applyFont="1" applyFill="1" applyBorder="1" applyAlignment="1">
      <alignment horizontal="center"/>
    </xf>
    <xf numFmtId="0" fontId="1" fillId="0" borderId="0" xfId="0" applyFont="1" applyFill="1" applyBorder="1" applyAlignment="1">
      <alignment horizontal="center"/>
    </xf>
    <xf numFmtId="0" fontId="0" fillId="0" borderId="0" xfId="0" applyFill="1" applyBorder="1"/>
    <xf numFmtId="0" fontId="7" fillId="0" borderId="0" xfId="0" applyFont="1" applyFill="1" applyBorder="1" applyAlignment="1">
      <alignment horizontal="center"/>
    </xf>
    <xf numFmtId="3" fontId="0" fillId="0" borderId="9" xfId="0" applyNumberFormat="1" applyBorder="1"/>
    <xf numFmtId="0" fontId="13" fillId="6" borderId="0" xfId="0" applyFont="1" applyFill="1" applyAlignment="1">
      <alignment horizontal="right"/>
    </xf>
    <xf numFmtId="3" fontId="4" fillId="6" borderId="0" xfId="0" applyNumberFormat="1" applyFont="1" applyFill="1"/>
    <xf numFmtId="3" fontId="4" fillId="13" borderId="0" xfId="0" applyNumberFormat="1" applyFont="1" applyFill="1"/>
    <xf numFmtId="1" fontId="1" fillId="0" borderId="0" xfId="0" applyNumberFormat="1" applyFont="1" applyAlignment="1">
      <alignment horizontal="left" vertical="center"/>
    </xf>
    <xf numFmtId="167" fontId="4" fillId="0" borderId="0" xfId="0" applyNumberFormat="1" applyFont="1" applyAlignment="1">
      <alignment horizontal="left" vertical="center"/>
    </xf>
    <xf numFmtId="0" fontId="9" fillId="0" borderId="0" xfId="1" applyAlignment="1">
      <alignment vertical="center"/>
    </xf>
    <xf numFmtId="0" fontId="0" fillId="6" borderId="0" xfId="0" applyFill="1"/>
    <xf numFmtId="3" fontId="1" fillId="27" borderId="0" xfId="0" applyNumberFormat="1" applyFont="1" applyFill="1" applyAlignment="1">
      <alignment horizontal="right"/>
    </xf>
    <xf numFmtId="3" fontId="1" fillId="28" borderId="0" xfId="0" applyNumberFormat="1" applyFont="1" applyFill="1" applyAlignment="1">
      <alignment horizontal="right"/>
    </xf>
    <xf numFmtId="3" fontId="1" fillId="29" borderId="0" xfId="0" applyNumberFormat="1" applyFont="1" applyFill="1" applyAlignment="1">
      <alignment horizontal="right"/>
    </xf>
    <xf numFmtId="0" fontId="1" fillId="23" borderId="10" xfId="0" applyFont="1" applyFill="1" applyBorder="1" applyAlignment="1">
      <alignment horizontal="center"/>
    </xf>
    <xf numFmtId="3" fontId="0" fillId="4" borderId="0" xfId="0" applyNumberFormat="1" applyFill="1" applyAlignment="1">
      <alignment horizontal="right"/>
    </xf>
    <xf numFmtId="0" fontId="1" fillId="6" borderId="1" xfId="0" applyFont="1" applyFill="1" applyBorder="1" applyAlignment="1">
      <alignment horizontal="left" vertical="center"/>
    </xf>
    <xf numFmtId="0" fontId="1" fillId="6" borderId="0" xfId="0" applyFont="1" applyFill="1" applyBorder="1" applyAlignment="1">
      <alignment horizontal="left" vertical="center"/>
    </xf>
    <xf numFmtId="166" fontId="0" fillId="6" borderId="1" xfId="0" applyNumberFormat="1" applyFill="1" applyBorder="1" applyAlignment="1">
      <alignment horizontal="left" vertical="center"/>
    </xf>
    <xf numFmtId="1" fontId="4" fillId="6" borderId="1" xfId="0" applyNumberFormat="1" applyFont="1" applyFill="1" applyBorder="1" applyAlignment="1">
      <alignment horizontal="left" vertical="center"/>
    </xf>
    <xf numFmtId="0" fontId="4" fillId="6" borderId="0" xfId="0" applyFont="1" applyFill="1" applyBorder="1" applyAlignment="1">
      <alignment horizontal="left" vertical="center"/>
    </xf>
    <xf numFmtId="0" fontId="5" fillId="6" borderId="1" xfId="0" applyFont="1" applyFill="1" applyBorder="1" applyAlignment="1">
      <alignment horizontal="left" vertical="center"/>
    </xf>
    <xf numFmtId="166" fontId="0" fillId="6" borderId="0" xfId="0" applyNumberFormat="1" applyFill="1" applyAlignment="1">
      <alignment horizontal="left" vertical="center"/>
    </xf>
    <xf numFmtId="0" fontId="5" fillId="6" borderId="0" xfId="0" applyFont="1" applyFill="1" applyBorder="1" applyAlignment="1">
      <alignment horizontal="left" vertical="center"/>
    </xf>
    <xf numFmtId="0" fontId="0" fillId="6" borderId="0" xfId="0" applyFill="1" applyBorder="1" applyAlignment="1">
      <alignment horizontal="left" vertical="center"/>
    </xf>
    <xf numFmtId="0" fontId="1" fillId="6" borderId="0" xfId="0" applyFont="1" applyFill="1" applyAlignment="1">
      <alignment horizontal="left" vertical="center"/>
    </xf>
    <xf numFmtId="0" fontId="1" fillId="23" borderId="5" xfId="0" applyFont="1" applyFill="1" applyBorder="1" applyAlignment="1">
      <alignment horizontal="center"/>
    </xf>
    <xf numFmtId="3" fontId="8" fillId="0" borderId="6" xfId="0" applyNumberFormat="1" applyFont="1" applyFill="1" applyBorder="1" applyAlignment="1">
      <alignment horizontal="center"/>
    </xf>
    <xf numFmtId="3" fontId="0" fillId="0" borderId="7" xfId="0" applyNumberFormat="1" applyBorder="1"/>
    <xf numFmtId="3" fontId="0" fillId="0" borderId="12" xfId="0" applyNumberFormat="1" applyFill="1" applyBorder="1"/>
    <xf numFmtId="0" fontId="8" fillId="4" borderId="1" xfId="0" applyFont="1" applyFill="1" applyBorder="1" applyAlignment="1">
      <alignment horizontal="left"/>
    </xf>
    <xf numFmtId="0" fontId="8" fillId="4" borderId="1" xfId="0" applyFont="1" applyFill="1" applyBorder="1" applyAlignment="1">
      <alignment horizontal="left" vertical="center"/>
    </xf>
    <xf numFmtId="0" fontId="0" fillId="0" borderId="0" xfId="0" applyAlignment="1">
      <alignment horizontal="left" vertical="center" wrapText="1"/>
    </xf>
    <xf numFmtId="0" fontId="29" fillId="9" borderId="0" xfId="0" applyFont="1" applyFill="1" applyAlignment="1">
      <alignment horizontal="left" vertical="center" wrapText="1"/>
    </xf>
    <xf numFmtId="0" fontId="21" fillId="0" borderId="0" xfId="0" applyFont="1" applyBorder="1" applyAlignment="1">
      <alignment horizontal="left" vertical="center" wrapText="1"/>
    </xf>
    <xf numFmtId="0" fontId="21" fillId="0" borderId="18"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36" fillId="0" borderId="21" xfId="0" applyFont="1" applyBorder="1" applyAlignment="1">
      <alignment horizontal="center" vertical="center" wrapText="1"/>
    </xf>
    <xf numFmtId="0" fontId="36" fillId="0" borderId="26" xfId="0" applyFont="1" applyBorder="1" applyAlignment="1">
      <alignment horizontal="center" vertical="center" wrapText="1"/>
    </xf>
    <xf numFmtId="167" fontId="35" fillId="13" borderId="22" xfId="0" applyNumberFormat="1" applyFont="1" applyFill="1" applyBorder="1" applyAlignment="1">
      <alignment horizontal="center" vertical="center" wrapText="1"/>
    </xf>
    <xf numFmtId="0" fontId="33" fillId="0" borderId="23" xfId="0" applyFont="1" applyBorder="1" applyAlignment="1">
      <alignment vertical="center"/>
    </xf>
    <xf numFmtId="167" fontId="35" fillId="2" borderId="22" xfId="0" applyNumberFormat="1" applyFont="1" applyFill="1" applyBorder="1" applyAlignment="1">
      <alignment horizontal="center" vertical="center" wrapText="1"/>
    </xf>
    <xf numFmtId="0" fontId="33" fillId="2" borderId="23" xfId="0" applyFont="1" applyFill="1" applyBorder="1" applyAlignment="1">
      <alignment vertical="center"/>
    </xf>
    <xf numFmtId="0" fontId="35" fillId="2" borderId="24" xfId="0" applyFont="1" applyFill="1" applyBorder="1" applyAlignment="1">
      <alignment horizontal="center" vertical="center"/>
    </xf>
    <xf numFmtId="0" fontId="35" fillId="2" borderId="25" xfId="0" applyFont="1" applyFill="1" applyBorder="1" applyAlignment="1">
      <alignment horizontal="center" vertical="center"/>
    </xf>
    <xf numFmtId="0" fontId="1" fillId="8" borderId="1" xfId="0" applyFont="1" applyFill="1" applyBorder="1" applyAlignment="1">
      <alignment horizontal="center" vertical="center"/>
    </xf>
    <xf numFmtId="0" fontId="6" fillId="7"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7" fillId="6" borderId="1" xfId="0" applyFont="1" applyFill="1" applyBorder="1" applyAlignment="1">
      <alignment horizontal="center" vertical="center"/>
    </xf>
    <xf numFmtId="0" fontId="16"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1"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4" fillId="0" borderId="0" xfId="0" applyFont="1" applyAlignment="1">
      <alignment vertical="top" wrapText="1"/>
    </xf>
    <xf numFmtId="0" fontId="4" fillId="0" borderId="0" xfId="0" applyFont="1" applyAlignment="1">
      <alignment vertical="top"/>
    </xf>
    <xf numFmtId="3" fontId="0" fillId="0" borderId="0" xfId="0" applyNumberFormat="1" applyFill="1" applyBorder="1"/>
    <xf numFmtId="0" fontId="1" fillId="0" borderId="0" xfId="0" applyFont="1" applyFill="1" applyBorder="1"/>
  </cellXfs>
  <cellStyles count="5">
    <cellStyle name="Comma" xfId="2" builtinId="3"/>
    <cellStyle name="Hyperlink" xfId="1" builtinId="8"/>
    <cellStyle name="Normal" xfId="0" builtinId="0"/>
    <cellStyle name="Normal 2 4" xfId="4" xr:uid="{00000000-0005-0000-0000-000003000000}"/>
    <cellStyle name="Note" xfId="3" builtinId="10"/>
  </cellStyles>
  <dxfs count="0"/>
  <tableStyles count="0" defaultTableStyle="TableStyleMedium2" defaultPivotStyle="PivotStyleLight16"/>
  <colors>
    <mruColors>
      <color rgb="FF93F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495300</xdr:colOff>
          <xdr:row>48</xdr:row>
          <xdr:rowOff>123825</xdr:rowOff>
        </xdr:from>
        <xdr:to>
          <xdr:col>14</xdr:col>
          <xdr:colOff>171450</xdr:colOff>
          <xdr:row>85</xdr:row>
          <xdr:rowOff>47625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638175</xdr:colOff>
          <xdr:row>50</xdr:row>
          <xdr:rowOff>9525</xdr:rowOff>
        </xdr:from>
        <xdr:to>
          <xdr:col>9</xdr:col>
          <xdr:colOff>1190625</xdr:colOff>
          <xdr:row>93</xdr:row>
          <xdr:rowOff>57150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0</xdr:row>
      <xdr:rowOff>114300</xdr:rowOff>
    </xdr:from>
    <xdr:to>
      <xdr:col>14</xdr:col>
      <xdr:colOff>221381</xdr:colOff>
      <xdr:row>13</xdr:row>
      <xdr:rowOff>275895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0353675" y="114300"/>
          <a:ext cx="5002931" cy="26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chemosphere.2020.12637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oi.org/10.1021/acssuschemeng.1c05236"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i.org/10.1021/acssuschemeng.1c05236"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science.sciencemag.org/content/347/6223/768" TargetMode="External"/><Relationship Id="rId7" Type="http://schemas.openxmlformats.org/officeDocument/2006/relationships/printerSettings" Target="../printerSettings/printerSettings2.bin"/><Relationship Id="rId2" Type="http://schemas.openxmlformats.org/officeDocument/2006/relationships/hyperlink" Target="https://www.nap.edu/read/9190/chapter/6" TargetMode="External"/><Relationship Id="rId1" Type="http://schemas.openxmlformats.org/officeDocument/2006/relationships/hyperlink" Target="https://plastic-pollution.org/" TargetMode="External"/><Relationship Id="rId6" Type="http://schemas.openxmlformats.org/officeDocument/2006/relationships/hyperlink" Target="https://waste-management-world.com/a/carbonlite-opens-world-s-largest-bottle-to-bottle-recycling-plant-in-Pennsylvania" TargetMode="External"/><Relationship Id="rId5" Type="http://schemas.openxmlformats.org/officeDocument/2006/relationships/hyperlink" Target="https://waste-management-world.com/a/carbonlite-opens-world-s-largest-bottle-to-bottle-recycling-plant-in-Pennsylvania" TargetMode="External"/><Relationship Id="rId4" Type="http://schemas.openxmlformats.org/officeDocument/2006/relationships/hyperlink" Target="https://comtrade.un.org/data/" TargetMode="External"/></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Visio_Drawing1.vsdx"/><Relationship Id="rId3" Type="http://schemas.openxmlformats.org/officeDocument/2006/relationships/hyperlink" Target="https://ghgdata.epa.gov/ghgp/main.do" TargetMode="External"/><Relationship Id="rId7" Type="http://schemas.openxmlformats.org/officeDocument/2006/relationships/vmlDrawing" Target="../drawings/vmlDrawing2.vml"/><Relationship Id="rId2" Type="http://schemas.openxmlformats.org/officeDocument/2006/relationships/hyperlink" Target="https://www.epa.gov/facts-and-figures-about-materials-waste-and-recycling/national-overview-facts-and-figures-materials" TargetMode="External"/><Relationship Id="rId1" Type="http://schemas.openxmlformats.org/officeDocument/2006/relationships/hyperlink" Target="https://www.nap.edu/read/9190/chapter/6"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ciel.org/wp-content/uploads/2019/05/Plastic-and-Climate-Executive-Summary-2019.pdf" TargetMode="External"/><Relationship Id="rId9" Type="http://schemas.openxmlformats.org/officeDocument/2006/relationships/image" Target="../media/image1.emf"/></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
  <sheetViews>
    <sheetView workbookViewId="0">
      <selection activeCell="A8" sqref="A8:A9"/>
    </sheetView>
  </sheetViews>
  <sheetFormatPr defaultRowHeight="15" x14ac:dyDescent="0.25"/>
  <cols>
    <col min="1" max="1" width="93.7109375" customWidth="1"/>
  </cols>
  <sheetData>
    <row r="1" spans="1:1" x14ac:dyDescent="0.25">
      <c r="A1" t="s">
        <v>512</v>
      </c>
    </row>
    <row r="3" spans="1:1" ht="120.75" customHeight="1" x14ac:dyDescent="0.25">
      <c r="A3" s="308" t="s">
        <v>515</v>
      </c>
    </row>
    <row r="4" spans="1:1" x14ac:dyDescent="0.25">
      <c r="A4" s="308"/>
    </row>
    <row r="5" spans="1:1" x14ac:dyDescent="0.25">
      <c r="A5" s="308"/>
    </row>
    <row r="6" spans="1:1" x14ac:dyDescent="0.25">
      <c r="A6" s="308"/>
    </row>
    <row r="8" spans="1:1" ht="30" x14ac:dyDescent="0.25">
      <c r="A8" s="33" t="s">
        <v>513</v>
      </c>
    </row>
    <row r="9" spans="1:1" ht="45" x14ac:dyDescent="0.25">
      <c r="A9" s="33" t="s">
        <v>514</v>
      </c>
    </row>
    <row r="10" spans="1:1" x14ac:dyDescent="0.25">
      <c r="A10" s="33"/>
    </row>
    <row r="11" spans="1:1" x14ac:dyDescent="0.25">
      <c r="A11" s="33"/>
    </row>
    <row r="12" spans="1:1" x14ac:dyDescent="0.25">
      <c r="A12" s="33"/>
    </row>
  </sheetData>
  <mergeCells count="1">
    <mergeCell ref="A3:A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4"/>
  <sheetViews>
    <sheetView workbookViewId="0">
      <selection activeCell="C9" sqref="C9"/>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v>426000</v>
      </c>
      <c r="C2" s="3" t="s">
        <v>67</v>
      </c>
    </row>
    <row r="3" spans="1:12" x14ac:dyDescent="0.25">
      <c r="A3" s="2"/>
    </row>
    <row r="4" spans="1:12" x14ac:dyDescent="0.25">
      <c r="A4" s="5" t="s">
        <v>25</v>
      </c>
      <c r="B4" s="5" t="s">
        <v>26</v>
      </c>
      <c r="C4" s="5" t="s">
        <v>57</v>
      </c>
      <c r="F4" s="5" t="s">
        <v>35</v>
      </c>
      <c r="G4" s="324" t="s">
        <v>36</v>
      </c>
      <c r="H4" s="325"/>
      <c r="L4" s="2" t="s">
        <v>101</v>
      </c>
    </row>
    <row r="5" spans="1:12" x14ac:dyDescent="0.25">
      <c r="A5" s="6" t="s">
        <v>27</v>
      </c>
      <c r="B5" s="16">
        <v>0.14817927170868347</v>
      </c>
      <c r="C5" s="29">
        <f>B5*$B$2</f>
        <v>63124.36974789916</v>
      </c>
      <c r="F5" s="8"/>
      <c r="G5" s="9" t="s">
        <v>37</v>
      </c>
      <c r="H5" s="9" t="s">
        <v>38</v>
      </c>
      <c r="I5" s="9" t="s">
        <v>65</v>
      </c>
      <c r="K5" s="6" t="s">
        <v>9</v>
      </c>
      <c r="L5" s="3">
        <f>SUM(B40,G40,G53)</f>
        <v>6073.7815126050427</v>
      </c>
    </row>
    <row r="6" spans="1:12" x14ac:dyDescent="0.25">
      <c r="A6" s="6" t="s">
        <v>28</v>
      </c>
      <c r="B6" s="16">
        <v>0.17647058823529413</v>
      </c>
      <c r="C6" s="29">
        <f t="shared" ref="C6:C12" si="0">B6*$B$2</f>
        <v>75176.470588235301</v>
      </c>
      <c r="F6" s="6" t="s">
        <v>9</v>
      </c>
      <c r="G6" s="7">
        <v>0.1</v>
      </c>
      <c r="H6" s="7">
        <v>0.7</v>
      </c>
      <c r="I6" s="31">
        <f>(G6+H6)/2</f>
        <v>0.39999999999999997</v>
      </c>
      <c r="K6" s="6" t="s">
        <v>10</v>
      </c>
      <c r="L6" s="3">
        <f>SUM(B20,B32,B55,G31,G57)</f>
        <v>2713.8705882352942</v>
      </c>
    </row>
    <row r="7" spans="1:12" x14ac:dyDescent="0.25">
      <c r="A7" s="6" t="s">
        <v>29</v>
      </c>
      <c r="B7" s="16">
        <v>2.3529411764705882E-2</v>
      </c>
      <c r="C7" s="29">
        <f t="shared" si="0"/>
        <v>10023.529411764706</v>
      </c>
      <c r="F7" s="6" t="s">
        <v>10</v>
      </c>
      <c r="G7" s="7">
        <v>7.0000000000000001E-3</v>
      </c>
      <c r="H7" s="7">
        <v>0.25</v>
      </c>
      <c r="I7" s="31">
        <f t="shared" ref="I7:I21" si="1">(G7+H7)/2</f>
        <v>0.1285</v>
      </c>
      <c r="K7" s="6" t="s">
        <v>39</v>
      </c>
      <c r="L7" s="3">
        <f>SUM(B19,B30,B33,B43,B54,B70,G30,G32,G41,G55,G63)</f>
        <v>3415.7563025210093</v>
      </c>
    </row>
    <row r="8" spans="1:12" x14ac:dyDescent="0.25">
      <c r="A8" s="6" t="s">
        <v>30</v>
      </c>
      <c r="B8" s="16">
        <v>0.24061624649859945</v>
      </c>
      <c r="C8" s="29">
        <f t="shared" si="0"/>
        <v>102502.52100840336</v>
      </c>
      <c r="F8" s="6" t="s">
        <v>39</v>
      </c>
      <c r="G8" s="7">
        <v>5.0000000000000001E-3</v>
      </c>
      <c r="H8" s="7">
        <v>0.03</v>
      </c>
      <c r="I8" s="31">
        <f t="shared" si="1"/>
        <v>1.7499999999999998E-2</v>
      </c>
      <c r="K8" s="6" t="s">
        <v>40</v>
      </c>
      <c r="L8" s="3">
        <f>SUM(B29,B41,B52,G54,G28,G45,B68)</f>
        <v>1813.1848739495799</v>
      </c>
    </row>
    <row r="9" spans="1:12" x14ac:dyDescent="0.25">
      <c r="A9" s="6" t="s">
        <v>31</v>
      </c>
      <c r="B9" s="16">
        <v>2.5210084033613447E-3</v>
      </c>
      <c r="C9" s="29">
        <f t="shared" si="0"/>
        <v>1073.9495798319329</v>
      </c>
      <c r="F9" s="6" t="s">
        <v>40</v>
      </c>
      <c r="G9" s="7">
        <v>5.0000000000000001E-3</v>
      </c>
      <c r="H9" s="7">
        <v>0.03</v>
      </c>
      <c r="I9" s="31">
        <f t="shared" si="1"/>
        <v>1.7499999999999998E-2</v>
      </c>
      <c r="K9" s="6" t="s">
        <v>12</v>
      </c>
      <c r="L9" s="3">
        <f>SUM(B42,B53,B69,G68,G29)</f>
        <v>286.38655462184875</v>
      </c>
    </row>
    <row r="10" spans="1:12" x14ac:dyDescent="0.25">
      <c r="A10" s="6" t="s">
        <v>32</v>
      </c>
      <c r="B10" s="16">
        <v>0.22829131652661064</v>
      </c>
      <c r="C10" s="29">
        <f t="shared" si="0"/>
        <v>97252.100840336134</v>
      </c>
      <c r="F10" s="6" t="s">
        <v>12</v>
      </c>
      <c r="G10" s="7">
        <v>1E-3</v>
      </c>
      <c r="H10" s="7">
        <v>0.03</v>
      </c>
      <c r="I10" s="31">
        <f t="shared" si="1"/>
        <v>1.55E-2</v>
      </c>
      <c r="K10" s="6" t="s">
        <v>41</v>
      </c>
      <c r="L10" s="3">
        <f>SUM(B44,G67)</f>
        <v>59.663865546218489</v>
      </c>
    </row>
    <row r="11" spans="1:12" x14ac:dyDescent="0.25">
      <c r="A11" s="6" t="s">
        <v>33</v>
      </c>
      <c r="B11" s="16">
        <v>6.3305322128851538E-2</v>
      </c>
      <c r="C11" s="29">
        <f t="shared" si="0"/>
        <v>26968.067226890755</v>
      </c>
      <c r="F11" s="6" t="s">
        <v>41</v>
      </c>
      <c r="G11" s="7">
        <v>1E-3</v>
      </c>
      <c r="H11" s="7">
        <v>0.03</v>
      </c>
      <c r="I11" s="31">
        <f t="shared" si="1"/>
        <v>1.55E-2</v>
      </c>
      <c r="K11" s="6" t="s">
        <v>42</v>
      </c>
      <c r="L11" s="3">
        <f>SUM(B21,B71,G69)</f>
        <v>139.73277310924371</v>
      </c>
    </row>
    <row r="12" spans="1:12" x14ac:dyDescent="0.25">
      <c r="A12" s="6" t="s">
        <v>34</v>
      </c>
      <c r="B12" s="16">
        <v>0.11652661064425771</v>
      </c>
      <c r="C12" s="29">
        <f t="shared" si="0"/>
        <v>49640.336134453784</v>
      </c>
      <c r="F12" s="6" t="s">
        <v>42</v>
      </c>
      <c r="G12" s="7">
        <v>1E-3</v>
      </c>
      <c r="H12" s="7">
        <v>0.01</v>
      </c>
      <c r="I12" s="31">
        <f t="shared" si="1"/>
        <v>5.4999999999999997E-3</v>
      </c>
      <c r="K12" s="6" t="s">
        <v>43</v>
      </c>
      <c r="L12" s="3">
        <f>SUM(G58)</f>
        <v>49.640336134453783</v>
      </c>
    </row>
    <row r="13" spans="1:12" x14ac:dyDescent="0.25">
      <c r="C13" s="19">
        <f>SUM(C5:C12)</f>
        <v>425761.34453781514</v>
      </c>
      <c r="F13" s="6" t="s">
        <v>43</v>
      </c>
      <c r="G13" s="7">
        <v>1E-3</v>
      </c>
      <c r="H13" s="7">
        <v>0.02</v>
      </c>
      <c r="I13" s="31">
        <f t="shared" si="1"/>
        <v>1.0500000000000001E-2</v>
      </c>
      <c r="K13" s="6" t="s">
        <v>44</v>
      </c>
      <c r="L13" s="3">
        <f>SUM(G59)</f>
        <v>248.20168067226894</v>
      </c>
    </row>
    <row r="14" spans="1:12" x14ac:dyDescent="0.25">
      <c r="F14" s="6" t="s">
        <v>44</v>
      </c>
      <c r="G14" s="7">
        <v>5.0000000000000001E-3</v>
      </c>
      <c r="H14" s="7">
        <v>0.20499999999999999</v>
      </c>
      <c r="I14" s="31">
        <f t="shared" si="1"/>
        <v>0.105</v>
      </c>
      <c r="K14" s="6" t="s">
        <v>45</v>
      </c>
      <c r="L14" s="3">
        <f>SUM(G44,G60)</f>
        <v>0.50714285714285723</v>
      </c>
    </row>
    <row r="15" spans="1:12" ht="18.75" x14ac:dyDescent="0.25">
      <c r="A15" s="323" t="s">
        <v>1</v>
      </c>
      <c r="B15" s="323"/>
      <c r="C15" s="323"/>
      <c r="D15" s="323"/>
      <c r="F15" s="6" t="s">
        <v>45</v>
      </c>
      <c r="G15" s="7">
        <v>1.0000000000000001E-5</v>
      </c>
      <c r="H15" s="7">
        <v>0.01</v>
      </c>
      <c r="I15" s="31">
        <f t="shared" si="1"/>
        <v>5.0049999999999999E-3</v>
      </c>
      <c r="K15" s="6" t="s">
        <v>11</v>
      </c>
      <c r="L15" s="3">
        <f>SUM(B31,B45,B72,G33,G46,G56)</f>
        <v>663.46218487394958</v>
      </c>
    </row>
    <row r="16" spans="1:12" x14ac:dyDescent="0.25">
      <c r="A16" s="11" t="s">
        <v>35</v>
      </c>
      <c r="B16" s="322" t="s">
        <v>58</v>
      </c>
      <c r="C16" s="322"/>
      <c r="D16" s="322"/>
      <c r="F16" s="6" t="s">
        <v>11</v>
      </c>
      <c r="G16" s="7">
        <v>2.5000000000000001E-3</v>
      </c>
      <c r="H16" s="7">
        <v>0.05</v>
      </c>
      <c r="I16" s="31">
        <f t="shared" si="1"/>
        <v>2.6250000000000002E-2</v>
      </c>
      <c r="K16" s="6" t="s">
        <v>46</v>
      </c>
      <c r="L16" s="3">
        <f>SUM(B23,B34,G34,B46,B57,G64,B73)</f>
        <v>4.2468739495798324</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31.50252100840336</v>
      </c>
    </row>
    <row r="18" spans="1:12" x14ac:dyDescent="0.25">
      <c r="A18" s="12" t="s">
        <v>47</v>
      </c>
      <c r="B18" s="9">
        <f>$C$5-SUM(B19:B23)</f>
        <v>62293.653042016806</v>
      </c>
      <c r="C18" s="13">
        <f>$C$5-SUM(C19:C23)</f>
        <v>43227.568403361343</v>
      </c>
      <c r="D18" s="20">
        <f>(B18+C18)/2</f>
        <v>52760.610722689074</v>
      </c>
      <c r="E18" s="19"/>
      <c r="F18" s="6" t="s">
        <v>48</v>
      </c>
      <c r="G18" s="7">
        <v>1.4999999999999999E-4</v>
      </c>
      <c r="H18" s="7">
        <v>2.0000000000000001E-4</v>
      </c>
      <c r="I18" s="31">
        <f t="shared" si="1"/>
        <v>1.75E-4</v>
      </c>
      <c r="K18" s="6" t="s">
        <v>50</v>
      </c>
      <c r="L18" s="3">
        <f>SUM(G62)</f>
        <v>4.9640336134453786</v>
      </c>
    </row>
    <row r="19" spans="1:12" x14ac:dyDescent="0.25">
      <c r="A19" s="6" t="s">
        <v>49</v>
      </c>
      <c r="B19" s="7">
        <f>$C$5*G8</f>
        <v>315.62184873949582</v>
      </c>
      <c r="C19" s="7">
        <f>$C$5*H8</f>
        <v>1893.7310924369747</v>
      </c>
      <c r="D19" s="20">
        <f t="shared" ref="D19:D73" si="2">(B19+C19)/2</f>
        <v>1104.6764705882351</v>
      </c>
      <c r="E19" s="19"/>
      <c r="F19" s="6" t="s">
        <v>50</v>
      </c>
      <c r="G19" s="7">
        <v>1E-4</v>
      </c>
      <c r="H19" s="7">
        <v>0.1</v>
      </c>
      <c r="I19" s="31">
        <f t="shared" si="1"/>
        <v>5.0050000000000004E-2</v>
      </c>
      <c r="K19" s="6" t="s">
        <v>14</v>
      </c>
      <c r="L19" s="3">
        <f>SUM(G42,G65)</f>
        <v>0.50714285714285723</v>
      </c>
    </row>
    <row r="20" spans="1:12" x14ac:dyDescent="0.25">
      <c r="A20" s="6" t="s">
        <v>10</v>
      </c>
      <c r="B20" s="7">
        <f>$C$5*G7</f>
        <v>441.87058823529412</v>
      </c>
      <c r="C20" s="7">
        <f>$C$5*H7</f>
        <v>15781.09243697479</v>
      </c>
      <c r="D20" s="20">
        <f t="shared" si="2"/>
        <v>8111.4815126050416</v>
      </c>
      <c r="E20" s="19"/>
      <c r="F20" s="6" t="s">
        <v>14</v>
      </c>
      <c r="G20" s="7">
        <v>1.0000000000000001E-5</v>
      </c>
      <c r="H20" s="7">
        <v>0.5</v>
      </c>
      <c r="I20" s="31">
        <f t="shared" si="1"/>
        <v>0.25000499999999998</v>
      </c>
      <c r="K20" s="6" t="s">
        <v>15</v>
      </c>
      <c r="L20" s="3">
        <f>SUM(G66,G43)</f>
        <v>7607.1428571428569</v>
      </c>
    </row>
    <row r="21" spans="1:12" x14ac:dyDescent="0.25">
      <c r="A21" s="6" t="s">
        <v>51</v>
      </c>
      <c r="B21" s="7">
        <f>$C$5*G12</f>
        <v>63.124369747899159</v>
      </c>
      <c r="C21" s="7">
        <f>$C$5*H12</f>
        <v>631.24369747899163</v>
      </c>
      <c r="D21" s="20">
        <f t="shared" si="2"/>
        <v>347.18403361344542</v>
      </c>
      <c r="E21" s="19"/>
      <c r="F21" s="6" t="s">
        <v>15</v>
      </c>
      <c r="G21" s="7">
        <v>0.15</v>
      </c>
      <c r="H21" s="7">
        <v>0.3</v>
      </c>
      <c r="I21" s="31">
        <f t="shared" si="1"/>
        <v>0.22499999999999998</v>
      </c>
    </row>
    <row r="22" spans="1:12" x14ac:dyDescent="0.25">
      <c r="A22" s="6" t="s">
        <v>48</v>
      </c>
      <c r="B22" s="7">
        <f>$C$5*G18</f>
        <v>9.4686554621848735</v>
      </c>
      <c r="C22" s="7">
        <f>$C$5*H18</f>
        <v>12.624873949579833</v>
      </c>
      <c r="D22" s="20">
        <f t="shared" si="2"/>
        <v>11.046764705882353</v>
      </c>
      <c r="E22" s="19"/>
    </row>
    <row r="23" spans="1:12" x14ac:dyDescent="0.25">
      <c r="A23" s="6" t="s">
        <v>46</v>
      </c>
      <c r="B23" s="7">
        <f>$C$5*G17</f>
        <v>0.63124369747899167</v>
      </c>
      <c r="C23" s="7">
        <f>$C$5*H17</f>
        <v>1578.1092436974791</v>
      </c>
      <c r="D23" s="20">
        <f t="shared" si="2"/>
        <v>789.37024369747905</v>
      </c>
      <c r="E23" s="19"/>
    </row>
    <row r="24" spans="1:12" ht="18.75" x14ac:dyDescent="0.25">
      <c r="D24" s="19"/>
      <c r="E24" s="19"/>
      <c r="F24" s="323" t="s">
        <v>4</v>
      </c>
      <c r="G24" s="323"/>
      <c r="H24" s="323"/>
      <c r="I24" s="323"/>
    </row>
    <row r="25" spans="1:12" ht="18.75" x14ac:dyDescent="0.25">
      <c r="A25" s="323" t="s">
        <v>2</v>
      </c>
      <c r="B25" s="323"/>
      <c r="C25" s="323"/>
      <c r="D25" s="323"/>
      <c r="E25" s="19"/>
      <c r="F25" s="11" t="s">
        <v>35</v>
      </c>
      <c r="G25" s="322" t="s">
        <v>60</v>
      </c>
      <c r="H25" s="322"/>
      <c r="I25" s="322"/>
    </row>
    <row r="26" spans="1:12" x14ac:dyDescent="0.25">
      <c r="A26" s="11" t="s">
        <v>35</v>
      </c>
      <c r="B26" s="322" t="s">
        <v>59</v>
      </c>
      <c r="C26" s="322"/>
      <c r="D26" s="322"/>
      <c r="E26" s="19"/>
      <c r="F26" s="8"/>
      <c r="G26" s="9" t="s">
        <v>37</v>
      </c>
      <c r="H26" s="9" t="s">
        <v>38</v>
      </c>
      <c r="I26" s="7" t="s">
        <v>66</v>
      </c>
    </row>
    <row r="27" spans="1:12" x14ac:dyDescent="0.25">
      <c r="A27" s="8"/>
      <c r="B27" s="9" t="s">
        <v>37</v>
      </c>
      <c r="C27" s="9" t="s">
        <v>38</v>
      </c>
      <c r="D27" s="21" t="s">
        <v>66</v>
      </c>
      <c r="E27" s="19"/>
      <c r="F27" s="12" t="s">
        <v>47</v>
      </c>
      <c r="G27" s="9">
        <f>$C$8-SUM(G28:G34)</f>
        <v>99887.681697478984</v>
      </c>
      <c r="H27" s="9">
        <f>$C$8-SUM(H28:H34)</f>
        <v>56888.899159663859</v>
      </c>
      <c r="I27" s="7">
        <f>(G27+H27)/2</f>
        <v>78388.290428571418</v>
      </c>
    </row>
    <row r="28" spans="1:12" x14ac:dyDescent="0.25">
      <c r="A28" s="12" t="s">
        <v>47</v>
      </c>
      <c r="B28" s="9">
        <f>$C$6-SUM(B29:B34)</f>
        <v>73183.542352941178</v>
      </c>
      <c r="C28" s="13">
        <f>$C$5-SUM(C29:C34)</f>
        <v>15387.310924369747</v>
      </c>
      <c r="D28" s="20">
        <f t="shared" si="2"/>
        <v>44285.426638655466</v>
      </c>
      <c r="E28" s="19"/>
      <c r="F28" s="12" t="s">
        <v>40</v>
      </c>
      <c r="G28" s="7">
        <f>$C$8*G9</f>
        <v>512.51260504201684</v>
      </c>
      <c r="H28" s="7">
        <f>$C$8*H9</f>
        <v>3075.0756302521008</v>
      </c>
      <c r="I28" s="7">
        <f t="shared" ref="I28:I69" si="3">(G28+H28)/2</f>
        <v>1793.7941176470588</v>
      </c>
    </row>
    <row r="29" spans="1:12" x14ac:dyDescent="0.25">
      <c r="A29" s="6" t="s">
        <v>40</v>
      </c>
      <c r="B29" s="7">
        <f>$C$6*G9</f>
        <v>375.88235294117652</v>
      </c>
      <c r="C29" s="7">
        <f>$C$6*H9</f>
        <v>2255.294117647059</v>
      </c>
      <c r="D29" s="20">
        <f t="shared" si="2"/>
        <v>1315.5882352941178</v>
      </c>
      <c r="E29" s="19"/>
      <c r="F29" s="6" t="s">
        <v>52</v>
      </c>
      <c r="G29" s="7">
        <f>$C$8*G10</f>
        <v>102.50252100840336</v>
      </c>
      <c r="H29" s="7">
        <f>$C$8*H10</f>
        <v>3075.0756302521008</v>
      </c>
      <c r="I29" s="7">
        <f t="shared" si="3"/>
        <v>1588.789075630252</v>
      </c>
    </row>
    <row r="30" spans="1:12" x14ac:dyDescent="0.25">
      <c r="A30" s="6" t="s">
        <v>49</v>
      </c>
      <c r="B30" s="7">
        <f>$C$6*G8</f>
        <v>375.88235294117652</v>
      </c>
      <c r="C30" s="7">
        <f>$C$6*H8</f>
        <v>2255.294117647059</v>
      </c>
      <c r="D30" s="20">
        <f t="shared" si="2"/>
        <v>1315.5882352941178</v>
      </c>
      <c r="E30" s="19"/>
      <c r="F30" s="6" t="s">
        <v>49</v>
      </c>
      <c r="G30" s="7">
        <f>$C$8*G8</f>
        <v>512.51260504201684</v>
      </c>
      <c r="H30" s="7">
        <f>$C$8*H8</f>
        <v>3075.0756302521008</v>
      </c>
      <c r="I30" s="7">
        <f t="shared" si="3"/>
        <v>1793.7941176470588</v>
      </c>
    </row>
    <row r="31" spans="1:12" x14ac:dyDescent="0.25">
      <c r="A31" s="6" t="s">
        <v>11</v>
      </c>
      <c r="B31" s="7">
        <f>$C$6*G16</f>
        <v>187.94117647058826</v>
      </c>
      <c r="C31" s="7">
        <f>$C$6*H16</f>
        <v>3758.8235294117653</v>
      </c>
      <c r="D31" s="20">
        <f t="shared" si="2"/>
        <v>1973.3823529411768</v>
      </c>
      <c r="E31" s="19"/>
      <c r="F31" s="6" t="s">
        <v>10</v>
      </c>
      <c r="G31" s="7">
        <f>$C$8*G7</f>
        <v>717.51764705882351</v>
      </c>
      <c r="H31" s="7">
        <f>$C$8*H7</f>
        <v>25625.63025210084</v>
      </c>
      <c r="I31" s="7">
        <f t="shared" si="3"/>
        <v>13171.573949579832</v>
      </c>
    </row>
    <row r="32" spans="1:12" x14ac:dyDescent="0.25">
      <c r="A32" s="6" t="s">
        <v>10</v>
      </c>
      <c r="B32" s="7">
        <f>$C$6*G7</f>
        <v>526.23529411764707</v>
      </c>
      <c r="C32" s="7">
        <f>$C$6*H7</f>
        <v>18794.117647058825</v>
      </c>
      <c r="D32" s="20">
        <f t="shared" si="2"/>
        <v>9660.176470588236</v>
      </c>
      <c r="E32" s="19"/>
      <c r="F32" s="6" t="s">
        <v>53</v>
      </c>
      <c r="G32" s="7">
        <f>$C$8*G8</f>
        <v>512.51260504201684</v>
      </c>
      <c r="H32" s="7">
        <f>$C$8*H8</f>
        <v>3075.0756302521008</v>
      </c>
      <c r="I32" s="7">
        <f t="shared" si="3"/>
        <v>1793.7941176470588</v>
      </c>
    </row>
    <row r="33" spans="1:9" x14ac:dyDescent="0.25">
      <c r="A33" s="6" t="s">
        <v>53</v>
      </c>
      <c r="B33" s="7">
        <f>$C$6*G7</f>
        <v>526.23529411764707</v>
      </c>
      <c r="C33" s="7">
        <f>$C$6*H7</f>
        <v>18794.117647058825</v>
      </c>
      <c r="D33" s="20">
        <f t="shared" si="2"/>
        <v>9660.176470588236</v>
      </c>
      <c r="E33" s="19"/>
      <c r="F33" s="6" t="s">
        <v>11</v>
      </c>
      <c r="G33" s="7">
        <f>$C$8*G16</f>
        <v>256.25630252100842</v>
      </c>
      <c r="H33" s="7">
        <f>$C$8*H16</f>
        <v>5125.1260504201682</v>
      </c>
      <c r="I33" s="7">
        <f t="shared" si="3"/>
        <v>2690.6911764705883</v>
      </c>
    </row>
    <row r="34" spans="1:9" x14ac:dyDescent="0.25">
      <c r="A34" s="6" t="s">
        <v>46</v>
      </c>
      <c r="B34" s="7">
        <f>$C$6*G17</f>
        <v>0.75176470588235311</v>
      </c>
      <c r="C34" s="7">
        <f>$C$6*H17</f>
        <v>1879.4117647058827</v>
      </c>
      <c r="D34" s="20">
        <f t="shared" si="2"/>
        <v>940.08176470588251</v>
      </c>
      <c r="E34" s="19"/>
      <c r="F34" s="6" t="s">
        <v>46</v>
      </c>
      <c r="G34" s="7">
        <f>$C$8*G17</f>
        <v>1.0250252100840338</v>
      </c>
      <c r="H34" s="7">
        <f>$C$8*H17</f>
        <v>2562.5630252100841</v>
      </c>
      <c r="I34" s="7">
        <f t="shared" si="3"/>
        <v>1281.7940252100841</v>
      </c>
    </row>
    <row r="35" spans="1:9" x14ac:dyDescent="0.25">
      <c r="D35" s="19"/>
      <c r="E35" s="19"/>
    </row>
    <row r="36" spans="1:9" ht="18.75" x14ac:dyDescent="0.25">
      <c r="A36" s="323" t="s">
        <v>3</v>
      </c>
      <c r="B36" s="323"/>
      <c r="C36" s="323"/>
      <c r="D36" s="323"/>
      <c r="E36" s="19"/>
      <c r="F36" s="323" t="s">
        <v>5</v>
      </c>
      <c r="G36" s="323"/>
      <c r="H36" s="323"/>
      <c r="I36" s="323"/>
    </row>
    <row r="37" spans="1:9" x14ac:dyDescent="0.25">
      <c r="A37" s="11" t="s">
        <v>35</v>
      </c>
      <c r="B37" s="322" t="s">
        <v>59</v>
      </c>
      <c r="C37" s="322"/>
      <c r="D37" s="322"/>
      <c r="E37" s="19"/>
      <c r="F37" s="11" t="s">
        <v>35</v>
      </c>
      <c r="G37" s="322" t="s">
        <v>61</v>
      </c>
      <c r="H37" s="322"/>
      <c r="I37" s="322"/>
    </row>
    <row r="38" spans="1:9" x14ac:dyDescent="0.25">
      <c r="A38" s="8"/>
      <c r="B38" s="9" t="s">
        <v>37</v>
      </c>
      <c r="C38" s="9" t="s">
        <v>38</v>
      </c>
      <c r="D38" s="21" t="s">
        <v>66</v>
      </c>
      <c r="E38" s="19"/>
      <c r="F38" s="8"/>
      <c r="G38" s="9" t="s">
        <v>37</v>
      </c>
      <c r="H38" s="9" t="s">
        <v>38</v>
      </c>
      <c r="I38" s="7" t="s">
        <v>66</v>
      </c>
    </row>
    <row r="39" spans="1:9" x14ac:dyDescent="0.25">
      <c r="A39" s="12" t="s">
        <v>47</v>
      </c>
      <c r="B39" s="21">
        <f>$C$7-SUM(B40:B46)</f>
        <v>8875.7350588235295</v>
      </c>
      <c r="C39" s="9">
        <f>$C$7-SUM(C40:C46)</f>
        <v>1052.4705882352937</v>
      </c>
      <c r="D39" s="20">
        <f t="shared" si="2"/>
        <v>4964.1028235294116</v>
      </c>
      <c r="E39" s="19"/>
      <c r="F39" s="12" t="s">
        <v>47</v>
      </c>
      <c r="G39" s="21">
        <f>$C$9-SUM(G40:G46)</f>
        <v>792.01633613445392</v>
      </c>
      <c r="H39" s="14">
        <f>$C$9-SUM(H40:H46)</f>
        <v>-665.84873949579833</v>
      </c>
      <c r="I39" s="7">
        <f t="shared" si="3"/>
        <v>63.083798319327798</v>
      </c>
    </row>
    <row r="40" spans="1:9" x14ac:dyDescent="0.25">
      <c r="A40" s="12" t="s">
        <v>9</v>
      </c>
      <c r="B40" s="7">
        <f>$C$7*G6</f>
        <v>1002.3529411764707</v>
      </c>
      <c r="C40" s="7">
        <f>$C$7*H6</f>
        <v>7016.4705882352937</v>
      </c>
      <c r="D40" s="20">
        <f t="shared" si="2"/>
        <v>4009.411764705882</v>
      </c>
      <c r="E40" s="19"/>
      <c r="F40" s="12" t="s">
        <v>9</v>
      </c>
      <c r="G40" s="7">
        <f>$C$9*G6</f>
        <v>107.39495798319329</v>
      </c>
      <c r="H40" s="7">
        <f>$C$9*H6</f>
        <v>751.76470588235293</v>
      </c>
      <c r="I40" s="7">
        <f t="shared" si="3"/>
        <v>429.57983193277312</v>
      </c>
    </row>
    <row r="41" spans="1:9" x14ac:dyDescent="0.25">
      <c r="A41" s="6" t="s">
        <v>40</v>
      </c>
      <c r="B41" s="7">
        <f>$C$7*G9</f>
        <v>50.117647058823536</v>
      </c>
      <c r="C41" s="7">
        <f>$C$7*H9</f>
        <v>300.70588235294116</v>
      </c>
      <c r="D41" s="20">
        <f t="shared" si="2"/>
        <v>175.41176470588235</v>
      </c>
      <c r="E41" s="19"/>
      <c r="F41" s="6" t="s">
        <v>53</v>
      </c>
      <c r="G41" s="7">
        <f>$C$9*G8</f>
        <v>5.3697478991596643</v>
      </c>
      <c r="H41" s="7">
        <f>$C$9*H8</f>
        <v>32.218487394957982</v>
      </c>
      <c r="I41" s="7">
        <f t="shared" si="3"/>
        <v>18.794117647058822</v>
      </c>
    </row>
    <row r="42" spans="1:9" x14ac:dyDescent="0.25">
      <c r="A42" s="6" t="s">
        <v>52</v>
      </c>
      <c r="B42" s="7">
        <f>$C$7*G10</f>
        <v>10.023529411764706</v>
      </c>
      <c r="C42" s="7">
        <f>$C$7*H10</f>
        <v>300.70588235294116</v>
      </c>
      <c r="D42" s="20">
        <f t="shared" si="2"/>
        <v>155.36470588235292</v>
      </c>
      <c r="E42" s="19"/>
      <c r="F42" s="6" t="s">
        <v>14</v>
      </c>
      <c r="G42" s="7">
        <f>$C$9*G20</f>
        <v>1.0739495798319329E-2</v>
      </c>
      <c r="H42" s="7">
        <f>$C$9*H20</f>
        <v>536.97478991596643</v>
      </c>
      <c r="I42" s="7">
        <f t="shared" si="3"/>
        <v>268.49276470588239</v>
      </c>
    </row>
    <row r="43" spans="1:9" x14ac:dyDescent="0.25">
      <c r="A43" s="6" t="s">
        <v>53</v>
      </c>
      <c r="B43" s="7">
        <f>$C$7*G8</f>
        <v>50.117647058823536</v>
      </c>
      <c r="C43" s="7">
        <f>$C$7*H8</f>
        <v>300.70588235294116</v>
      </c>
      <c r="D43" s="20">
        <f t="shared" si="2"/>
        <v>175.41176470588235</v>
      </c>
      <c r="E43" s="19"/>
      <c r="F43" s="6" t="s">
        <v>54</v>
      </c>
      <c r="G43" s="7">
        <f>$C$9*G21</f>
        <v>161.09243697478993</v>
      </c>
      <c r="H43" s="7">
        <f>$C$9*H21</f>
        <v>322.18487394957987</v>
      </c>
      <c r="I43" s="7">
        <f t="shared" si="3"/>
        <v>241.63865546218489</v>
      </c>
    </row>
    <row r="44" spans="1:9" x14ac:dyDescent="0.25">
      <c r="A44" s="6" t="s">
        <v>41</v>
      </c>
      <c r="B44" s="7">
        <f>$C$7*G11</f>
        <v>10.023529411764706</v>
      </c>
      <c r="C44" s="7">
        <f>$C$7*H11</f>
        <v>300.70588235294116</v>
      </c>
      <c r="D44" s="20">
        <f t="shared" si="2"/>
        <v>155.36470588235292</v>
      </c>
      <c r="E44" s="19"/>
      <c r="F44" s="6" t="s">
        <v>13</v>
      </c>
      <c r="G44" s="7">
        <f>$C$9*G15</f>
        <v>1.0739495798319329E-2</v>
      </c>
      <c r="H44" s="7">
        <f>$C$9*H15</f>
        <v>10.739495798319329</v>
      </c>
      <c r="I44" s="7">
        <f t="shared" si="3"/>
        <v>5.3751176470588238</v>
      </c>
    </row>
    <row r="45" spans="1:9" x14ac:dyDescent="0.25">
      <c r="A45" s="6" t="s">
        <v>11</v>
      </c>
      <c r="B45" s="7">
        <f>$C$7*G16</f>
        <v>25.058823529411768</v>
      </c>
      <c r="C45" s="7">
        <f>$C$7*H16</f>
        <v>501.17647058823536</v>
      </c>
      <c r="D45" s="20">
        <f t="shared" si="2"/>
        <v>263.11764705882354</v>
      </c>
      <c r="E45" s="19"/>
      <c r="F45" s="6" t="s">
        <v>40</v>
      </c>
      <c r="G45" s="7">
        <f>$C$9*G9</f>
        <v>5.3697478991596643</v>
      </c>
      <c r="H45" s="7">
        <f>$C$9*H9</f>
        <v>32.218487394957982</v>
      </c>
      <c r="I45" s="7">
        <f t="shared" si="3"/>
        <v>18.794117647058822</v>
      </c>
    </row>
    <row r="46" spans="1:9" x14ac:dyDescent="0.25">
      <c r="A46" s="6" t="s">
        <v>46</v>
      </c>
      <c r="B46" s="7">
        <f>$C$7*G17</f>
        <v>0.10023529411764708</v>
      </c>
      <c r="C46" s="7">
        <f>$C$7*H17</f>
        <v>250.58823529411768</v>
      </c>
      <c r="D46" s="20">
        <f t="shared" si="2"/>
        <v>125.34423529411767</v>
      </c>
      <c r="E46" s="19"/>
      <c r="F46" s="6" t="s">
        <v>11</v>
      </c>
      <c r="G46" s="7">
        <f>$C$9*G16</f>
        <v>2.6848739495798322</v>
      </c>
      <c r="H46" s="7">
        <f>$C$9*H16</f>
        <v>53.697478991596647</v>
      </c>
      <c r="I46" s="7">
        <f t="shared" si="3"/>
        <v>28.191176470588239</v>
      </c>
    </row>
    <row r="47" spans="1:9" x14ac:dyDescent="0.25">
      <c r="D47" s="19"/>
      <c r="E47" s="19"/>
    </row>
    <row r="48" spans="1:9" ht="18.75" x14ac:dyDescent="0.25">
      <c r="A48" s="323" t="s">
        <v>6</v>
      </c>
      <c r="B48" s="323"/>
      <c r="C48" s="323"/>
      <c r="D48" s="323"/>
      <c r="E48" s="19"/>
      <c r="F48" s="4" t="s">
        <v>69</v>
      </c>
    </row>
    <row r="49" spans="1:9" ht="18.75" x14ac:dyDescent="0.25">
      <c r="A49" s="11" t="s">
        <v>35</v>
      </c>
      <c r="B49" s="322" t="s">
        <v>62</v>
      </c>
      <c r="C49" s="322"/>
      <c r="D49" s="322"/>
      <c r="E49" s="19"/>
      <c r="F49" s="323" t="s">
        <v>34</v>
      </c>
      <c r="G49" s="323"/>
      <c r="H49" s="323"/>
      <c r="I49" s="323"/>
    </row>
    <row r="50" spans="1:9" x14ac:dyDescent="0.25">
      <c r="A50" s="8"/>
      <c r="B50" s="9" t="s">
        <v>37</v>
      </c>
      <c r="C50" s="9" t="s">
        <v>38</v>
      </c>
      <c r="D50" s="21" t="s">
        <v>66</v>
      </c>
      <c r="E50" s="19"/>
      <c r="F50" s="11" t="s">
        <v>35</v>
      </c>
      <c r="G50" s="322" t="s">
        <v>64</v>
      </c>
      <c r="H50" s="322"/>
      <c r="I50" s="322"/>
    </row>
    <row r="51" spans="1:9" x14ac:dyDescent="0.25">
      <c r="A51" s="12" t="s">
        <v>47</v>
      </c>
      <c r="B51" s="9">
        <f>$C$10-SUM(B52:B57)</f>
        <v>95486.002689075627</v>
      </c>
      <c r="C51" s="9">
        <f>$C$10-SUM(C52:C57)</f>
        <v>61735.633613445374</v>
      </c>
      <c r="D51" s="20">
        <f t="shared" si="2"/>
        <v>78610.818151260493</v>
      </c>
      <c r="E51" s="19"/>
      <c r="F51" s="8"/>
      <c r="G51" s="9" t="s">
        <v>37</v>
      </c>
      <c r="H51" s="9" t="s">
        <v>38</v>
      </c>
      <c r="I51" s="7" t="s">
        <v>66</v>
      </c>
    </row>
    <row r="52" spans="1:9" x14ac:dyDescent="0.25">
      <c r="A52" s="6" t="s">
        <v>40</v>
      </c>
      <c r="B52" s="7">
        <f>$C$10*G9</f>
        <v>486.2605042016807</v>
      </c>
      <c r="C52" s="7">
        <f>$C$10*H9</f>
        <v>2917.5630252100841</v>
      </c>
      <c r="D52" s="20">
        <f t="shared" si="2"/>
        <v>1701.9117647058824</v>
      </c>
      <c r="E52" s="19"/>
      <c r="F52" s="12" t="s">
        <v>47</v>
      </c>
      <c r="G52" s="21">
        <f>$C$12-SUM(G53:G69)</f>
        <v>35553.401546218491</v>
      </c>
      <c r="H52" s="14">
        <f>$C$12-SUM(H53:H69)</f>
        <v>-65535.171764705869</v>
      </c>
      <c r="I52" s="7">
        <f t="shared" si="3"/>
        <v>-14990.885109243689</v>
      </c>
    </row>
    <row r="53" spans="1:9" x14ac:dyDescent="0.25">
      <c r="A53" s="6" t="s">
        <v>52</v>
      </c>
      <c r="B53" s="7">
        <f>$C$10*G10</f>
        <v>97.252100840336141</v>
      </c>
      <c r="C53" s="7">
        <f>$C$10*H10</f>
        <v>2917.5630252100841</v>
      </c>
      <c r="D53" s="20">
        <f t="shared" si="2"/>
        <v>1507.40756302521</v>
      </c>
      <c r="E53" s="19"/>
      <c r="F53" s="12" t="s">
        <v>9</v>
      </c>
      <c r="G53" s="7">
        <f>$C$12*G6</f>
        <v>4964.0336134453792</v>
      </c>
      <c r="H53" s="7">
        <f>$C$12*H6</f>
        <v>34748.235294117643</v>
      </c>
      <c r="I53" s="7">
        <f t="shared" si="3"/>
        <v>19856.134453781509</v>
      </c>
    </row>
    <row r="54" spans="1:9" x14ac:dyDescent="0.25">
      <c r="A54" s="6" t="s">
        <v>49</v>
      </c>
      <c r="B54" s="7">
        <f>$C$10*G8</f>
        <v>486.2605042016807</v>
      </c>
      <c r="C54" s="7">
        <f>$C$10*H8</f>
        <v>2917.5630252100841</v>
      </c>
      <c r="D54" s="20">
        <f t="shared" si="2"/>
        <v>1701.9117647058824</v>
      </c>
      <c r="E54" s="19"/>
      <c r="F54" s="12" t="s">
        <v>40</v>
      </c>
      <c r="G54" s="7">
        <f>$C$12*G9</f>
        <v>248.20168067226894</v>
      </c>
      <c r="H54" s="7">
        <f>$C$12*H9</f>
        <v>1489.2100840336134</v>
      </c>
      <c r="I54" s="7">
        <f t="shared" si="3"/>
        <v>868.70588235294122</v>
      </c>
    </row>
    <row r="55" spans="1:9" x14ac:dyDescent="0.25">
      <c r="A55" s="6" t="s">
        <v>10</v>
      </c>
      <c r="B55" s="7">
        <f>$C$10*G7</f>
        <v>680.76470588235293</v>
      </c>
      <c r="C55" s="7">
        <f>$C$10*H7</f>
        <v>24313.025210084033</v>
      </c>
      <c r="D55" s="20">
        <f t="shared" si="2"/>
        <v>12496.894957983193</v>
      </c>
      <c r="E55" s="19"/>
      <c r="F55" s="12" t="s">
        <v>49</v>
      </c>
      <c r="G55" s="7">
        <f>$C$12*G8</f>
        <v>248.20168067226894</v>
      </c>
      <c r="H55" s="7">
        <f>$C$12*H8</f>
        <v>1489.2100840336134</v>
      </c>
      <c r="I55" s="7">
        <f t="shared" si="3"/>
        <v>868.70588235294122</v>
      </c>
    </row>
    <row r="56" spans="1:9" x14ac:dyDescent="0.25">
      <c r="A56" s="6" t="s">
        <v>48</v>
      </c>
      <c r="B56" s="7">
        <f>$C$10*G18</f>
        <v>14.587815126050419</v>
      </c>
      <c r="C56" s="7">
        <f>$C$10*H18</f>
        <v>19.450420168067229</v>
      </c>
      <c r="D56" s="20">
        <f t="shared" si="2"/>
        <v>17.019117647058824</v>
      </c>
      <c r="E56" s="19"/>
      <c r="F56" s="12" t="s">
        <v>11</v>
      </c>
      <c r="G56" s="7">
        <f>$C$12*G16</f>
        <v>124.10084033613447</v>
      </c>
      <c r="H56" s="7">
        <f>$C$12*H16</f>
        <v>2482.0168067226896</v>
      </c>
      <c r="I56" s="7">
        <f t="shared" si="3"/>
        <v>1303.0588235294119</v>
      </c>
    </row>
    <row r="57" spans="1:9" x14ac:dyDescent="0.25">
      <c r="A57" s="6" t="s">
        <v>46</v>
      </c>
      <c r="B57" s="7">
        <f>$C$10*G17</f>
        <v>0.97252100840336142</v>
      </c>
      <c r="C57" s="7">
        <f>$C$10*H17</f>
        <v>2431.3025210084033</v>
      </c>
      <c r="D57" s="20">
        <f t="shared" si="2"/>
        <v>1216.1375210084034</v>
      </c>
      <c r="E57" s="19"/>
      <c r="F57" s="6" t="s">
        <v>10</v>
      </c>
      <c r="G57" s="7">
        <f>$C$12*G7</f>
        <v>347.48235294117649</v>
      </c>
      <c r="H57" s="7">
        <f>$C$12*H7</f>
        <v>12410.084033613446</v>
      </c>
      <c r="I57" s="7">
        <f t="shared" si="3"/>
        <v>6378.7831932773115</v>
      </c>
    </row>
    <row r="58" spans="1:9" x14ac:dyDescent="0.25">
      <c r="A58" s="35"/>
      <c r="B58" s="23"/>
      <c r="C58" s="23"/>
      <c r="D58" s="36"/>
      <c r="E58" s="19"/>
      <c r="F58" s="6" t="s">
        <v>98</v>
      </c>
      <c r="G58" s="7">
        <f t="shared" ref="G58:H60" si="4">$C$12*G13</f>
        <v>49.640336134453783</v>
      </c>
      <c r="H58" s="7">
        <f t="shared" si="4"/>
        <v>992.80672268907574</v>
      </c>
      <c r="I58" s="7">
        <f t="shared" si="3"/>
        <v>521.22352941176473</v>
      </c>
    </row>
    <row r="59" spans="1:9" x14ac:dyDescent="0.25">
      <c r="A59" s="35"/>
      <c r="B59" s="23"/>
      <c r="C59" s="23"/>
      <c r="D59" s="36"/>
      <c r="E59" s="19"/>
      <c r="F59" s="6" t="s">
        <v>99</v>
      </c>
      <c r="G59" s="7">
        <f t="shared" si="4"/>
        <v>248.20168067226894</v>
      </c>
      <c r="H59" s="7">
        <f t="shared" si="4"/>
        <v>10176.268907563026</v>
      </c>
      <c r="I59" s="7">
        <f t="shared" si="3"/>
        <v>5212.2352941176478</v>
      </c>
    </row>
    <row r="60" spans="1:9" x14ac:dyDescent="0.25">
      <c r="A60" s="35"/>
      <c r="B60" s="23"/>
      <c r="C60" s="23"/>
      <c r="D60" s="36"/>
      <c r="E60" s="19"/>
      <c r="F60" s="6" t="s">
        <v>13</v>
      </c>
      <c r="G60" s="7">
        <f t="shared" si="4"/>
        <v>0.49640336134453789</v>
      </c>
      <c r="H60" s="7">
        <f t="shared" si="4"/>
        <v>496.40336134453787</v>
      </c>
      <c r="I60" s="7">
        <f t="shared" si="3"/>
        <v>248.44988235294122</v>
      </c>
    </row>
    <row r="61" spans="1:9" x14ac:dyDescent="0.25">
      <c r="A61" s="35"/>
      <c r="B61" s="23"/>
      <c r="C61" s="23"/>
      <c r="D61" s="36"/>
      <c r="E61" s="19"/>
      <c r="F61" s="6" t="s">
        <v>48</v>
      </c>
      <c r="G61" s="7">
        <f>$C$12*G18</f>
        <v>7.4460504201680671</v>
      </c>
      <c r="H61" s="7">
        <f>$C$12*H18</f>
        <v>9.9280672268907573</v>
      </c>
      <c r="I61" s="7">
        <f t="shared" si="3"/>
        <v>8.6870588235294122</v>
      </c>
    </row>
    <row r="62" spans="1:9" x14ac:dyDescent="0.25">
      <c r="A62" s="35"/>
      <c r="B62" s="23"/>
      <c r="C62" s="23"/>
      <c r="D62" s="36"/>
      <c r="E62" s="19"/>
      <c r="F62" s="6" t="s">
        <v>100</v>
      </c>
      <c r="G62" s="7">
        <f>$C$12*G19</f>
        <v>4.9640336134453786</v>
      </c>
      <c r="H62" s="7">
        <f>$C$12*H19</f>
        <v>4964.0336134453792</v>
      </c>
      <c r="I62" s="7">
        <f t="shared" si="3"/>
        <v>2484.4988235294122</v>
      </c>
    </row>
    <row r="63" spans="1:9" x14ac:dyDescent="0.25">
      <c r="D63" s="19"/>
      <c r="E63" s="19"/>
      <c r="F63" s="6" t="s">
        <v>53</v>
      </c>
      <c r="G63" s="7">
        <f>$C$12*G8</f>
        <v>248.20168067226894</v>
      </c>
      <c r="H63" s="7">
        <f>$C$12*H8</f>
        <v>1489.2100840336134</v>
      </c>
      <c r="I63" s="7">
        <f t="shared" si="3"/>
        <v>868.70588235294122</v>
      </c>
    </row>
    <row r="64" spans="1:9" ht="18.75" x14ac:dyDescent="0.25">
      <c r="A64" s="323" t="s">
        <v>7</v>
      </c>
      <c r="B64" s="323"/>
      <c r="C64" s="323"/>
      <c r="D64" s="323"/>
      <c r="E64" s="19"/>
      <c r="F64" s="6" t="s">
        <v>46</v>
      </c>
      <c r="G64" s="7">
        <f>$C$12*G17</f>
        <v>0.49640336134453789</v>
      </c>
      <c r="H64" s="7">
        <f>$C$12*H17</f>
        <v>1241.0084033613448</v>
      </c>
      <c r="I64" s="7">
        <f t="shared" si="3"/>
        <v>620.7524033613447</v>
      </c>
    </row>
    <row r="65" spans="1:9" x14ac:dyDescent="0.25">
      <c r="A65" s="11" t="s">
        <v>35</v>
      </c>
      <c r="B65" s="322" t="s">
        <v>63</v>
      </c>
      <c r="C65" s="322"/>
      <c r="D65" s="322"/>
      <c r="E65" s="19"/>
      <c r="F65" s="6" t="s">
        <v>14</v>
      </c>
      <c r="G65" s="7">
        <f>$C$12*G20</f>
        <v>0.49640336134453789</v>
      </c>
      <c r="H65" s="7">
        <f>$C$12*H20</f>
        <v>24820.168067226892</v>
      </c>
      <c r="I65" s="7">
        <f t="shared" si="3"/>
        <v>12410.332235294118</v>
      </c>
    </row>
    <row r="66" spans="1:9" x14ac:dyDescent="0.25">
      <c r="A66" s="8"/>
      <c r="B66" s="9" t="s">
        <v>37</v>
      </c>
      <c r="C66" s="9" t="s">
        <v>38</v>
      </c>
      <c r="D66" s="21" t="s">
        <v>66</v>
      </c>
      <c r="E66" s="19"/>
      <c r="F66" s="6" t="s">
        <v>56</v>
      </c>
      <c r="G66" s="7">
        <f>$C$12*G21</f>
        <v>7446.0504201680669</v>
      </c>
      <c r="H66" s="7">
        <f>$C$12*H21</f>
        <v>14892.100840336134</v>
      </c>
      <c r="I66" s="7">
        <f t="shared" si="3"/>
        <v>11169.0756302521</v>
      </c>
    </row>
    <row r="67" spans="1:9" x14ac:dyDescent="0.25">
      <c r="A67" s="12" t="s">
        <v>47</v>
      </c>
      <c r="B67" s="9">
        <f>$C$11-SUM(B68:B73)</f>
        <v>26576.760571428571</v>
      </c>
      <c r="C67" s="9">
        <f>$C$11-SUM(C68:C73)</f>
        <v>22248.655462184874</v>
      </c>
      <c r="D67" s="20">
        <f t="shared" si="2"/>
        <v>24412.708016806722</v>
      </c>
      <c r="E67" s="19"/>
      <c r="F67" s="6" t="s">
        <v>41</v>
      </c>
      <c r="G67" s="7">
        <f>$C$12*G11</f>
        <v>49.640336134453783</v>
      </c>
      <c r="H67" s="7">
        <f>$C$12*H11</f>
        <v>1489.2100840336134</v>
      </c>
      <c r="I67" s="7">
        <f t="shared" si="3"/>
        <v>769.42521008403355</v>
      </c>
    </row>
    <row r="68" spans="1:9" x14ac:dyDescent="0.25">
      <c r="A68" s="6" t="s">
        <v>40</v>
      </c>
      <c r="B68" s="7">
        <f>$C$11*G9</f>
        <v>134.84033613445376</v>
      </c>
      <c r="C68" s="7">
        <f>$C$11*H9</f>
        <v>809.04201680672259</v>
      </c>
      <c r="D68" s="20">
        <f t="shared" si="2"/>
        <v>471.94117647058818</v>
      </c>
      <c r="E68" s="19"/>
      <c r="F68" s="6" t="s">
        <v>52</v>
      </c>
      <c r="G68" s="7">
        <f>$C$12*G10</f>
        <v>49.640336134453783</v>
      </c>
      <c r="H68" s="7">
        <f>$C$12*H10</f>
        <v>1489.2100840336134</v>
      </c>
      <c r="I68" s="7">
        <f t="shared" si="3"/>
        <v>769.42521008403355</v>
      </c>
    </row>
    <row r="69" spans="1:9" x14ac:dyDescent="0.25">
      <c r="A69" s="6" t="s">
        <v>52</v>
      </c>
      <c r="B69" s="7">
        <f>$C$11*G10</f>
        <v>26.968067226890756</v>
      </c>
      <c r="C69" s="7">
        <f>$C$11*H10</f>
        <v>809.04201680672259</v>
      </c>
      <c r="D69" s="20">
        <f t="shared" si="2"/>
        <v>418.00504201680667</v>
      </c>
      <c r="E69" s="19"/>
      <c r="F69" s="6" t="s">
        <v>51</v>
      </c>
      <c r="G69" s="7">
        <f>$C$12*G12</f>
        <v>49.640336134453783</v>
      </c>
      <c r="H69" s="7">
        <f>$C$12*H12</f>
        <v>496.40336134453787</v>
      </c>
      <c r="I69" s="7">
        <f t="shared" si="3"/>
        <v>273.02184873949585</v>
      </c>
    </row>
    <row r="70" spans="1:9" x14ac:dyDescent="0.25">
      <c r="A70" s="6" t="s">
        <v>49</v>
      </c>
      <c r="B70" s="7">
        <f>$C$11*G8</f>
        <v>134.84033613445376</v>
      </c>
      <c r="C70" s="7">
        <f>$C$11*H8</f>
        <v>809.04201680672259</v>
      </c>
      <c r="D70" s="20">
        <f t="shared" si="2"/>
        <v>471.94117647058818</v>
      </c>
      <c r="E70" s="19"/>
      <c r="F70" s="4" t="s">
        <v>68</v>
      </c>
    </row>
    <row r="71" spans="1:9" x14ac:dyDescent="0.25">
      <c r="A71" s="6" t="s">
        <v>51</v>
      </c>
      <c r="B71" s="7">
        <f>$C$11*G12</f>
        <v>26.968067226890756</v>
      </c>
      <c r="C71" s="7">
        <f>$C$11*H12</f>
        <v>269.68067226890753</v>
      </c>
      <c r="D71" s="20">
        <f t="shared" si="2"/>
        <v>148.32436974789914</v>
      </c>
      <c r="E71" s="19"/>
    </row>
    <row r="72" spans="1:9" x14ac:dyDescent="0.25">
      <c r="A72" s="6" t="s">
        <v>11</v>
      </c>
      <c r="B72" s="7">
        <f>$C$11*G16</f>
        <v>67.420168067226882</v>
      </c>
      <c r="C72" s="7">
        <f>$C$11*H16</f>
        <v>1348.4033613445379</v>
      </c>
      <c r="D72" s="20">
        <f t="shared" si="2"/>
        <v>707.91176470588243</v>
      </c>
      <c r="E72" s="19"/>
    </row>
    <row r="73" spans="1:9" x14ac:dyDescent="0.25">
      <c r="A73" s="6" t="s">
        <v>46</v>
      </c>
      <c r="B73" s="7">
        <f>$C$11*G17</f>
        <v>0.26968067226890757</v>
      </c>
      <c r="C73" s="7">
        <f>$C$11*H17</f>
        <v>674.20168067226894</v>
      </c>
      <c r="D73" s="20">
        <f t="shared" si="2"/>
        <v>337.23568067226893</v>
      </c>
      <c r="E73" s="19"/>
    </row>
    <row r="74" spans="1:9" x14ac:dyDescent="0.25">
      <c r="G74" s="19">
        <f>SUM(G52:G69,B67:B73,B51:B57,G39:G46,B39:B46,B28:B34,G27:G34,B18:B23)</f>
        <v>425761.34453781514</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3"/>
  <sheetViews>
    <sheetView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32" style="3" customWidth="1"/>
    <col min="5" max="5" width="34.4257812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295</v>
      </c>
    </row>
    <row r="2" spans="1:12" x14ac:dyDescent="0.25">
      <c r="A2" s="2" t="s">
        <v>23</v>
      </c>
      <c r="B2" s="37">
        <f>SUM(C5:C12)</f>
        <v>1367592</v>
      </c>
      <c r="C2" s="3" t="s">
        <v>24</v>
      </c>
    </row>
    <row r="3" spans="1:12" x14ac:dyDescent="0.25">
      <c r="A3" s="2"/>
    </row>
    <row r="4" spans="1:12" x14ac:dyDescent="0.25">
      <c r="A4" s="5" t="s">
        <v>25</v>
      </c>
      <c r="B4" s="5" t="s">
        <v>26</v>
      </c>
      <c r="C4" s="5" t="s">
        <v>57</v>
      </c>
      <c r="D4" s="24"/>
      <c r="F4" s="5" t="s">
        <v>35</v>
      </c>
      <c r="G4" s="324" t="s">
        <v>36</v>
      </c>
      <c r="H4" s="325"/>
      <c r="L4" s="2" t="s">
        <v>101</v>
      </c>
    </row>
    <row r="5" spans="1:12" x14ac:dyDescent="0.25">
      <c r="A5" s="6" t="s">
        <v>27</v>
      </c>
      <c r="B5" s="16">
        <f>C5/$B$2</f>
        <v>0.30132450331125826</v>
      </c>
      <c r="C5" s="127">
        <f>'US 2018 Facts - Sensitivity'!G9*('US 2018 Facts - Sensitivity'!$B$5/('US 2018 Facts - Sensitivity'!$B$5+'US 2018 Facts - Sensitivity'!$B$11))</f>
        <v>412088.98013245029</v>
      </c>
      <c r="D5" s="125"/>
      <c r="F5" s="8"/>
      <c r="G5" s="9" t="s">
        <v>37</v>
      </c>
      <c r="H5" s="9" t="s">
        <v>38</v>
      </c>
      <c r="I5" s="9" t="s">
        <v>66</v>
      </c>
      <c r="K5" s="6" t="s">
        <v>9</v>
      </c>
      <c r="L5" s="3">
        <f>SUM(B40,G40,G53)</f>
        <v>50265.798675496691</v>
      </c>
    </row>
    <row r="6" spans="1:12" x14ac:dyDescent="0.25">
      <c r="A6" s="6" t="s">
        <v>28</v>
      </c>
      <c r="B6" s="16">
        <f t="shared" ref="B6:B12" si="0">C6/$B$2</f>
        <v>0.18543046357615894</v>
      </c>
      <c r="C6" s="127">
        <f>'US 2018 Facts - Sensitivity'!G10*('US 2018 Facts - Sensitivity'!$B$5/('US 2018 Facts - Sensitivity'!$B$5+'US 2018 Facts - Sensitivity'!$B$11))</f>
        <v>253593.21854304636</v>
      </c>
      <c r="D6" s="125"/>
      <c r="F6" s="6" t="s">
        <v>9</v>
      </c>
      <c r="G6" s="7">
        <v>0.1</v>
      </c>
      <c r="H6" s="7">
        <v>0.7</v>
      </c>
      <c r="I6" s="10">
        <f>(G6+H6)/2</f>
        <v>0.39999999999999997</v>
      </c>
      <c r="K6" s="6" t="s">
        <v>10</v>
      </c>
      <c r="L6" s="3">
        <f>SUM(B20,B32,B55,G31,G57)</f>
        <v>9509.7456953642395</v>
      </c>
    </row>
    <row r="7" spans="1:12" x14ac:dyDescent="0.25">
      <c r="A7" s="6" t="s">
        <v>29</v>
      </c>
      <c r="B7" s="16">
        <f t="shared" si="0"/>
        <v>0</v>
      </c>
      <c r="C7" s="127">
        <f>'US 2018 Facts - Sensitivity'!G11*('US 2018 Facts - Sensitivity'!$B$5/('US 2018 Facts - Sensitivity'!$B$5+'US 2018 Facts - Sensitivity'!$B$11))</f>
        <v>0</v>
      </c>
      <c r="D7" s="125"/>
      <c r="F7" s="6" t="s">
        <v>10</v>
      </c>
      <c r="G7" s="7">
        <v>7.0000000000000001E-3</v>
      </c>
      <c r="H7" s="7">
        <v>0.25</v>
      </c>
      <c r="I7" s="10">
        <f t="shared" ref="I7:I21" si="1">(G7+H7)/2</f>
        <v>0.1285</v>
      </c>
      <c r="K7" s="6" t="s">
        <v>39</v>
      </c>
      <c r="L7" s="3">
        <f>SUM(B19,B30,B33,B43,B54,B70,G30,G32,G41,G55,G63)</f>
        <v>11964.165774834437</v>
      </c>
    </row>
    <row r="8" spans="1:12" x14ac:dyDescent="0.25">
      <c r="A8" s="6" t="s">
        <v>30</v>
      </c>
      <c r="B8" s="16">
        <f t="shared" si="0"/>
        <v>0.12251655629139073</v>
      </c>
      <c r="C8" s="127">
        <f>'US 2018 Facts - Sensitivity'!G12*('US 2018 Facts - Sensitivity'!$B$5/('US 2018 Facts - Sensitivity'!$B$5+'US 2018 Facts - Sensitivity'!$B$11))</f>
        <v>167552.66225165562</v>
      </c>
      <c r="D8" s="125"/>
      <c r="F8" s="6" t="s">
        <v>39</v>
      </c>
      <c r="G8" s="7">
        <v>5.0000000000000001E-3</v>
      </c>
      <c r="H8" s="7">
        <v>0.03</v>
      </c>
      <c r="I8" s="10">
        <f t="shared" si="1"/>
        <v>1.7499999999999998E-2</v>
      </c>
      <c r="K8" s="6" t="s">
        <v>40</v>
      </c>
      <c r="L8" s="3">
        <f>SUM(B29,B41,B52,G54,G28,G45,B68)</f>
        <v>4777.5150993377483</v>
      </c>
    </row>
    <row r="9" spans="1:12" x14ac:dyDescent="0.25">
      <c r="A9" s="6" t="s">
        <v>31</v>
      </c>
      <c r="B9" s="16">
        <f t="shared" si="0"/>
        <v>0</v>
      </c>
      <c r="C9" s="127">
        <f>'US 2018 Facts - Sensitivity'!G13*('US 2018 Facts - Sensitivity'!$B$5/('US 2018 Facts - Sensitivity'!$B$5+'US 2018 Facts - Sensitivity'!$B$11))</f>
        <v>0</v>
      </c>
      <c r="D9" s="125"/>
      <c r="F9" s="6" t="s">
        <v>40</v>
      </c>
      <c r="G9" s="7">
        <v>5.0000000000000001E-3</v>
      </c>
      <c r="H9" s="7">
        <v>0.03</v>
      </c>
      <c r="I9" s="10">
        <f t="shared" si="1"/>
        <v>1.7499999999999998E-2</v>
      </c>
      <c r="K9" s="6" t="s">
        <v>12</v>
      </c>
      <c r="L9" s="3">
        <f>SUM(B42,B53,B69,G68,G29)</f>
        <v>701.90980132450329</v>
      </c>
    </row>
    <row r="10" spans="1:12" x14ac:dyDescent="0.25">
      <c r="A10" s="6" t="s">
        <v>32</v>
      </c>
      <c r="B10" s="16">
        <f t="shared" si="0"/>
        <v>1.6556291390728478E-2</v>
      </c>
      <c r="C10" s="127">
        <f>'US 2018 Facts - Sensitivity'!G14*('US 2018 Facts - Sensitivity'!$B$5/('US 2018 Facts - Sensitivity'!$B$5+'US 2018 Facts - Sensitivity'!$B$11))</f>
        <v>22642.251655629141</v>
      </c>
      <c r="D10" s="125"/>
      <c r="F10" s="6" t="s">
        <v>12</v>
      </c>
      <c r="G10" s="7">
        <v>1E-3</v>
      </c>
      <c r="H10" s="7">
        <v>0.03</v>
      </c>
      <c r="I10" s="10">
        <f t="shared" si="1"/>
        <v>1.55E-2</v>
      </c>
      <c r="K10" s="6" t="s">
        <v>41</v>
      </c>
      <c r="L10" s="3">
        <f>SUM(B44,G67)</f>
        <v>502.65798675496688</v>
      </c>
    </row>
    <row r="11" spans="1:12" x14ac:dyDescent="0.25">
      <c r="A11" s="6" t="s">
        <v>33</v>
      </c>
      <c r="B11" s="16">
        <f t="shared" si="0"/>
        <v>6.6225165562913907E-3</v>
      </c>
      <c r="C11" s="127">
        <f>'US 2018 Facts - Sensitivity'!G15*('US 2018 Facts - Sensitivity'!$B$5/('US 2018 Facts - Sensitivity'!$B$5+'US 2018 Facts - Sensitivity'!$B$11))</f>
        <v>9056.9006622516554</v>
      </c>
      <c r="D11" s="125"/>
      <c r="F11" s="6" t="s">
        <v>41</v>
      </c>
      <c r="G11" s="7">
        <v>1E-3</v>
      </c>
      <c r="H11" s="7">
        <v>0.03</v>
      </c>
      <c r="I11" s="10">
        <f t="shared" si="1"/>
        <v>1.55E-2</v>
      </c>
      <c r="K11" s="6" t="s">
        <v>42</v>
      </c>
      <c r="L11" s="3">
        <f>SUM(B21,B71,G69)</f>
        <v>923.80386754966889</v>
      </c>
    </row>
    <row r="12" spans="1:12" x14ac:dyDescent="0.25">
      <c r="A12" s="6" t="s">
        <v>34</v>
      </c>
      <c r="B12" s="16">
        <f t="shared" si="0"/>
        <v>0.36754966887417218</v>
      </c>
      <c r="C12" s="127">
        <f>'US 2018 Facts - Sensitivity'!G16*('US 2018 Facts - Sensitivity'!$B$5/('US 2018 Facts - Sensitivity'!$B$5+'US 2018 Facts - Sensitivity'!$B$11))</f>
        <v>502657.9867549669</v>
      </c>
      <c r="D12" s="125"/>
      <c r="E12" s="121"/>
      <c r="F12" s="6" t="s">
        <v>42</v>
      </c>
      <c r="G12" s="7">
        <v>1E-3</v>
      </c>
      <c r="H12" s="7">
        <v>0.01</v>
      </c>
      <c r="I12" s="10">
        <f t="shared" si="1"/>
        <v>5.4999999999999997E-3</v>
      </c>
      <c r="K12" s="6" t="s">
        <v>43</v>
      </c>
      <c r="L12" s="3">
        <f>SUM(G58)</f>
        <v>502.65798675496688</v>
      </c>
    </row>
    <row r="13" spans="1:12" x14ac:dyDescent="0.25">
      <c r="B13" s="85"/>
      <c r="C13" s="3" t="s">
        <v>179</v>
      </c>
      <c r="E13" s="117"/>
      <c r="F13" s="6" t="s">
        <v>43</v>
      </c>
      <c r="G13" s="7">
        <v>1E-3</v>
      </c>
      <c r="H13" s="7">
        <v>0.02</v>
      </c>
      <c r="I13" s="10">
        <f t="shared" si="1"/>
        <v>1.0500000000000001E-2</v>
      </c>
      <c r="K13" s="6" t="s">
        <v>44</v>
      </c>
      <c r="L13" s="3">
        <f>SUM(G59)</f>
        <v>2513.2899337748345</v>
      </c>
    </row>
    <row r="14" spans="1:12" ht="21" x14ac:dyDescent="0.25">
      <c r="E14" s="126"/>
      <c r="F14" s="6" t="s">
        <v>44</v>
      </c>
      <c r="G14" s="7">
        <v>5.0000000000000001E-3</v>
      </c>
      <c r="H14" s="7">
        <v>0.20499999999999999</v>
      </c>
      <c r="I14" s="10">
        <f t="shared" si="1"/>
        <v>0.105</v>
      </c>
      <c r="K14" s="6" t="s">
        <v>45</v>
      </c>
      <c r="L14" s="3">
        <f>SUM(G44,G60)</f>
        <v>5.0265798675496693</v>
      </c>
    </row>
    <row r="15" spans="1:12" ht="18.75" x14ac:dyDescent="0.25">
      <c r="A15" s="323" t="s">
        <v>1</v>
      </c>
      <c r="B15" s="323"/>
      <c r="C15" s="323"/>
      <c r="D15" s="323"/>
      <c r="F15" s="6" t="s">
        <v>45</v>
      </c>
      <c r="G15" s="7">
        <v>1.0000000000000001E-5</v>
      </c>
      <c r="H15" s="7">
        <v>0.01</v>
      </c>
      <c r="I15" s="10">
        <f t="shared" si="1"/>
        <v>5.0049999999999999E-3</v>
      </c>
      <c r="K15" s="6" t="s">
        <v>11</v>
      </c>
      <c r="L15" s="3">
        <f>SUM(B31,B45,B72,G33,G46,G56)</f>
        <v>2332.1519205298014</v>
      </c>
    </row>
    <row r="16" spans="1:12" x14ac:dyDescent="0.25">
      <c r="A16" s="11" t="s">
        <v>35</v>
      </c>
      <c r="B16" s="322" t="s">
        <v>58</v>
      </c>
      <c r="C16" s="322"/>
      <c r="D16" s="322"/>
      <c r="F16" s="6" t="s">
        <v>11</v>
      </c>
      <c r="G16" s="7">
        <v>2.5000000000000001E-3</v>
      </c>
      <c r="H16" s="7">
        <v>0.05</v>
      </c>
      <c r="I16" s="10">
        <f t="shared" si="1"/>
        <v>2.6250000000000002E-2</v>
      </c>
      <c r="K16" s="6" t="s">
        <v>46</v>
      </c>
      <c r="L16" s="3">
        <f>SUM(B23,B34,G34,B46,B57,G64,B73)</f>
        <v>13.67592</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140.60838278145692</v>
      </c>
    </row>
    <row r="18" spans="1:15" x14ac:dyDescent="0.25">
      <c r="A18" s="12" t="s">
        <v>47</v>
      </c>
      <c r="B18" s="118">
        <f>$C$5-SUM(B19:B23)</f>
        <v>406665.88915390725</v>
      </c>
      <c r="C18" s="120">
        <f>$C$5-SUM(C19:C23)</f>
        <v>282198.53359470196</v>
      </c>
      <c r="D18" s="119">
        <f>(B18+C18)/2</f>
        <v>344432.21137430461</v>
      </c>
      <c r="F18" s="6" t="s">
        <v>48</v>
      </c>
      <c r="G18" s="7">
        <v>1.4999999999999999E-4</v>
      </c>
      <c r="H18" s="7">
        <v>2.0000000000000001E-4</v>
      </c>
      <c r="I18" s="10">
        <f t="shared" si="1"/>
        <v>1.75E-4</v>
      </c>
      <c r="K18" s="6" t="s">
        <v>50</v>
      </c>
      <c r="L18" s="3">
        <f>SUM(G62)</f>
        <v>50.26579867549669</v>
      </c>
    </row>
    <row r="19" spans="1:15" x14ac:dyDescent="0.25">
      <c r="A19" s="6" t="s">
        <v>49</v>
      </c>
      <c r="B19" s="7">
        <f>$C$5*G8</f>
        <v>2060.4449006622517</v>
      </c>
      <c r="C19" s="7">
        <f>$C$5*H8</f>
        <v>12362.669403973508</v>
      </c>
      <c r="D19" s="119">
        <f t="shared" ref="D19:D73" si="2">(B19+C19)/2</f>
        <v>7211.5571523178805</v>
      </c>
      <c r="F19" s="6" t="s">
        <v>50</v>
      </c>
      <c r="G19" s="7">
        <v>1E-4</v>
      </c>
      <c r="H19" s="7">
        <v>0.1</v>
      </c>
      <c r="I19" s="10">
        <f t="shared" si="1"/>
        <v>5.0050000000000004E-2</v>
      </c>
      <c r="K19" s="6" t="s">
        <v>14</v>
      </c>
      <c r="L19" s="3">
        <f>SUM(G42,G65)</f>
        <v>5.0265798675496693</v>
      </c>
    </row>
    <row r="20" spans="1:15" x14ac:dyDescent="0.25">
      <c r="A20" s="6" t="s">
        <v>10</v>
      </c>
      <c r="B20" s="7">
        <f>$C$5*G7</f>
        <v>2884.622860927152</v>
      </c>
      <c r="C20" s="7">
        <f>$C$5*H7</f>
        <v>103022.24503311257</v>
      </c>
      <c r="D20" s="119">
        <f t="shared" si="2"/>
        <v>52953.433947019861</v>
      </c>
      <c r="F20" s="6" t="s">
        <v>14</v>
      </c>
      <c r="G20" s="7">
        <v>1.0000000000000001E-5</v>
      </c>
      <c r="H20" s="7">
        <v>0.5</v>
      </c>
      <c r="I20" s="10">
        <f t="shared" si="1"/>
        <v>0.25000499999999998</v>
      </c>
      <c r="K20" s="6" t="s">
        <v>15</v>
      </c>
      <c r="L20" s="3">
        <f>SUM(G66,G43)</f>
        <v>75398.698013245026</v>
      </c>
    </row>
    <row r="21" spans="1:15" x14ac:dyDescent="0.25">
      <c r="A21" s="6" t="s">
        <v>51</v>
      </c>
      <c r="B21" s="7">
        <f>$C$5*G12</f>
        <v>412.08898013245027</v>
      </c>
      <c r="C21" s="7">
        <f>$C$5*H12</f>
        <v>4120.8898013245034</v>
      </c>
      <c r="D21" s="119">
        <f t="shared" si="2"/>
        <v>2266.4893907284768</v>
      </c>
      <c r="F21" s="6" t="s">
        <v>15</v>
      </c>
      <c r="G21" s="7">
        <v>0.15</v>
      </c>
      <c r="H21" s="7">
        <v>0.3</v>
      </c>
      <c r="I21" s="10">
        <f t="shared" si="1"/>
        <v>0.22499999999999998</v>
      </c>
      <c r="M21" s="3" t="s">
        <v>237</v>
      </c>
    </row>
    <row r="22" spans="1:15" x14ac:dyDescent="0.25">
      <c r="A22" s="6" t="s">
        <v>48</v>
      </c>
      <c r="B22" s="7">
        <f>$C$5*G18</f>
        <v>61.813347019867535</v>
      </c>
      <c r="C22" s="7">
        <f>$C$5*H18</f>
        <v>82.417796026490066</v>
      </c>
      <c r="D22" s="119">
        <f t="shared" si="2"/>
        <v>72.115571523178801</v>
      </c>
      <c r="L22" s="19"/>
      <c r="M22" s="15" t="s">
        <v>226</v>
      </c>
      <c r="N22" s="37"/>
      <c r="O22" s="37"/>
    </row>
    <row r="23" spans="1:15" x14ac:dyDescent="0.25">
      <c r="A23" s="6" t="s">
        <v>46</v>
      </c>
      <c r="B23" s="7">
        <f>$C$5*G17</f>
        <v>4.1208898013245037</v>
      </c>
      <c r="C23" s="20">
        <f>$C$5*H17</f>
        <v>10302.224503311258</v>
      </c>
      <c r="D23" s="119">
        <f t="shared" si="2"/>
        <v>5153.1726965562912</v>
      </c>
      <c r="K23" s="2" t="s">
        <v>332</v>
      </c>
      <c r="L23" s="19"/>
      <c r="M23" s="2" t="s">
        <v>213</v>
      </c>
      <c r="N23" s="2" t="s">
        <v>214</v>
      </c>
      <c r="O23" s="2" t="s">
        <v>215</v>
      </c>
    </row>
    <row r="24" spans="1:15" ht="18.75" x14ac:dyDescent="0.25">
      <c r="D24" s="22"/>
      <c r="F24" s="323" t="s">
        <v>4</v>
      </c>
      <c r="G24" s="323"/>
      <c r="H24" s="323"/>
      <c r="I24" s="323"/>
      <c r="K24" s="3" t="s">
        <v>27</v>
      </c>
      <c r="L24" s="19">
        <f>C5</f>
        <v>412088.98013245029</v>
      </c>
      <c r="M24" s="99">
        <v>-1.1299999999999999</v>
      </c>
      <c r="N24" s="3">
        <f t="shared" ref="N24:N31" si="3">L24*M24</f>
        <v>-465660.54754966876</v>
      </c>
      <c r="O24" s="3">
        <f t="shared" ref="O24:O31" si="4">N24*1.10231</f>
        <v>-513302.27816947532</v>
      </c>
    </row>
    <row r="25" spans="1:15" ht="18.75" x14ac:dyDescent="0.25">
      <c r="A25" s="323" t="s">
        <v>2</v>
      </c>
      <c r="B25" s="323"/>
      <c r="C25" s="323"/>
      <c r="D25" s="323"/>
      <c r="F25" s="11" t="s">
        <v>35</v>
      </c>
      <c r="G25" s="322" t="s">
        <v>60</v>
      </c>
      <c r="H25" s="322"/>
      <c r="I25" s="322"/>
      <c r="K25" s="3" t="s">
        <v>28</v>
      </c>
      <c r="L25" s="19">
        <f t="shared" ref="L25:L31" si="5">C6</f>
        <v>253593.21854304636</v>
      </c>
      <c r="M25" s="99">
        <v>-0.88</v>
      </c>
      <c r="N25" s="3">
        <f t="shared" si="3"/>
        <v>-223162.0323178808</v>
      </c>
      <c r="O25" s="3">
        <f t="shared" si="4"/>
        <v>-245993.73984432317</v>
      </c>
    </row>
    <row r="26" spans="1:15" x14ac:dyDescent="0.25">
      <c r="A26" s="11" t="s">
        <v>35</v>
      </c>
      <c r="B26" s="322" t="s">
        <v>59</v>
      </c>
      <c r="C26" s="322"/>
      <c r="D26" s="322"/>
      <c r="F26" s="8"/>
      <c r="G26" s="9" t="s">
        <v>37</v>
      </c>
      <c r="H26" s="9" t="s">
        <v>38</v>
      </c>
      <c r="I26" s="9" t="s">
        <v>66</v>
      </c>
      <c r="K26" s="3" t="s">
        <v>29</v>
      </c>
      <c r="L26" s="19">
        <f t="shared" si="5"/>
        <v>0</v>
      </c>
      <c r="M26" s="99">
        <v>0</v>
      </c>
      <c r="N26" s="3">
        <f t="shared" si="3"/>
        <v>0</v>
      </c>
      <c r="O26" s="3">
        <f t="shared" si="4"/>
        <v>0</v>
      </c>
    </row>
    <row r="27" spans="1:15" x14ac:dyDescent="0.25">
      <c r="A27" s="8"/>
      <c r="B27" s="9" t="s">
        <v>37</v>
      </c>
      <c r="C27" s="9" t="s">
        <v>38</v>
      </c>
      <c r="D27" s="13" t="s">
        <v>66</v>
      </c>
      <c r="F27" s="12" t="s">
        <v>47</v>
      </c>
      <c r="G27" s="9">
        <f>$C$8-SUM(G28:G34)</f>
        <v>163278.39383761588</v>
      </c>
      <c r="H27" s="9">
        <f>$C$8-SUM(H28:H34)</f>
        <v>92991.727549668867</v>
      </c>
      <c r="I27" s="7">
        <f>(G27+H27)/2</f>
        <v>128135.06069364237</v>
      </c>
      <c r="K27" s="3" t="s">
        <v>122</v>
      </c>
      <c r="L27" s="19">
        <f t="shared" si="5"/>
        <v>167552.66225165562</v>
      </c>
      <c r="M27" s="99">
        <v>0</v>
      </c>
      <c r="N27" s="3">
        <f t="shared" si="3"/>
        <v>0</v>
      </c>
      <c r="O27" s="3">
        <f t="shared" si="4"/>
        <v>0</v>
      </c>
    </row>
    <row r="28" spans="1:15" x14ac:dyDescent="0.25">
      <c r="A28" s="12" t="s">
        <v>47</v>
      </c>
      <c r="B28" s="9">
        <f>$C$6-SUM(B29:B34)</f>
        <v>246870.46231947019</v>
      </c>
      <c r="C28" s="13">
        <f>$C$5-SUM(C29:C34)</f>
        <v>251057.28635761584</v>
      </c>
      <c r="D28" s="13">
        <f t="shared" si="2"/>
        <v>248963.87433854301</v>
      </c>
      <c r="F28" s="12" t="s">
        <v>40</v>
      </c>
      <c r="G28" s="7">
        <f>$C$8*G9</f>
        <v>837.76331125827812</v>
      </c>
      <c r="H28" s="7">
        <f>$C$8*H9</f>
        <v>5026.579867549669</v>
      </c>
      <c r="I28" s="7">
        <f t="shared" ref="I28:I69" si="6">(G28+H28)/2</f>
        <v>2932.1715894039735</v>
      </c>
      <c r="K28" s="3" t="s">
        <v>31</v>
      </c>
      <c r="L28" s="19">
        <f t="shared" si="5"/>
        <v>0</v>
      </c>
      <c r="M28" s="99">
        <v>0</v>
      </c>
      <c r="N28" s="3">
        <f t="shared" si="3"/>
        <v>0</v>
      </c>
      <c r="O28" s="3">
        <f t="shared" si="4"/>
        <v>0</v>
      </c>
    </row>
    <row r="29" spans="1:15" x14ac:dyDescent="0.25">
      <c r="A29" s="6" t="s">
        <v>40</v>
      </c>
      <c r="B29" s="7">
        <f>$C$6*G9</f>
        <v>1267.9660927152318</v>
      </c>
      <c r="C29" s="7">
        <f>$C$6*H9</f>
        <v>7607.7965562913905</v>
      </c>
      <c r="D29" s="13">
        <f t="shared" si="2"/>
        <v>4437.8813245033107</v>
      </c>
      <c r="F29" s="6" t="s">
        <v>52</v>
      </c>
      <c r="G29" s="7">
        <f>$C$8*G10</f>
        <v>167.55266225165562</v>
      </c>
      <c r="H29" s="7">
        <f>$C$8*H10</f>
        <v>5026.579867549669</v>
      </c>
      <c r="I29" s="7">
        <f t="shared" si="6"/>
        <v>2597.0662649006622</v>
      </c>
      <c r="K29" s="3" t="s">
        <v>32</v>
      </c>
      <c r="L29" s="19">
        <f t="shared" si="5"/>
        <v>22642.251655629141</v>
      </c>
      <c r="M29" s="99">
        <v>0</v>
      </c>
      <c r="N29" s="3">
        <f t="shared" si="3"/>
        <v>0</v>
      </c>
      <c r="O29" s="3">
        <f t="shared" si="4"/>
        <v>0</v>
      </c>
    </row>
    <row r="30" spans="1:15" x14ac:dyDescent="0.25">
      <c r="A30" s="6" t="s">
        <v>49</v>
      </c>
      <c r="B30" s="7">
        <f>$C$6*G8</f>
        <v>1267.9660927152318</v>
      </c>
      <c r="C30" s="7">
        <f>$C$6*H8</f>
        <v>7607.7965562913905</v>
      </c>
      <c r="D30" s="13">
        <f t="shared" si="2"/>
        <v>4437.8813245033107</v>
      </c>
      <c r="F30" s="6" t="s">
        <v>49</v>
      </c>
      <c r="G30" s="7">
        <f>$C$8*G8</f>
        <v>837.76331125827812</v>
      </c>
      <c r="H30" s="7">
        <f>$C$8*H8</f>
        <v>5026.579867549669</v>
      </c>
      <c r="I30" s="7">
        <f t="shared" si="6"/>
        <v>2932.1715894039735</v>
      </c>
      <c r="K30" s="3" t="s">
        <v>33</v>
      </c>
      <c r="L30" s="19">
        <f t="shared" si="5"/>
        <v>9056.9006622516554</v>
      </c>
      <c r="M30" s="99">
        <v>0</v>
      </c>
      <c r="N30" s="3">
        <f t="shared" si="3"/>
        <v>0</v>
      </c>
      <c r="O30" s="3">
        <f t="shared" si="4"/>
        <v>0</v>
      </c>
    </row>
    <row r="31" spans="1:15" x14ac:dyDescent="0.25">
      <c r="A31" s="6" t="s">
        <v>11</v>
      </c>
      <c r="B31" s="7">
        <f>$C$6*G16</f>
        <v>633.98304635761588</v>
      </c>
      <c r="C31" s="7">
        <f>$C$6*H16</f>
        <v>12679.660927152319</v>
      </c>
      <c r="D31" s="13">
        <f t="shared" si="2"/>
        <v>6656.8219867549678</v>
      </c>
      <c r="F31" s="6" t="s">
        <v>10</v>
      </c>
      <c r="G31" s="7">
        <f>$C$8*G7</f>
        <v>1172.8686357615893</v>
      </c>
      <c r="H31" s="7">
        <f>$C$8*H7</f>
        <v>41888.165562913906</v>
      </c>
      <c r="I31" s="7">
        <f t="shared" si="6"/>
        <v>21530.517099337747</v>
      </c>
      <c r="K31" s="3" t="s">
        <v>216</v>
      </c>
      <c r="L31" s="19">
        <f t="shared" si="5"/>
        <v>502657.9867549669</v>
      </c>
      <c r="M31" s="99">
        <v>-1.03</v>
      </c>
      <c r="N31" s="3">
        <f t="shared" si="3"/>
        <v>-517737.7263576159</v>
      </c>
      <c r="O31" s="3">
        <f t="shared" si="4"/>
        <v>-570707.47314126359</v>
      </c>
    </row>
    <row r="32" spans="1:15" x14ac:dyDescent="0.25">
      <c r="A32" s="6" t="s">
        <v>10</v>
      </c>
      <c r="B32" s="7">
        <f>$C$6*G7</f>
        <v>1775.1525298013246</v>
      </c>
      <c r="C32" s="7">
        <f>$C$6*H7</f>
        <v>63398.304635761589</v>
      </c>
      <c r="D32" s="13">
        <f t="shared" si="2"/>
        <v>32586.728582781456</v>
      </c>
      <c r="F32" s="6" t="s">
        <v>53</v>
      </c>
      <c r="G32" s="7">
        <f>$C$8*G8</f>
        <v>837.76331125827812</v>
      </c>
      <c r="H32" s="7">
        <f>$C$8*H8</f>
        <v>5026.579867549669</v>
      </c>
      <c r="I32" s="7">
        <f t="shared" si="6"/>
        <v>2932.1715894039735</v>
      </c>
      <c r="N32" s="2" t="s">
        <v>144</v>
      </c>
      <c r="O32" s="101">
        <f>SUM(O24:O31)</f>
        <v>-1330003.4911550621</v>
      </c>
    </row>
    <row r="33" spans="1:9" x14ac:dyDescent="0.25">
      <c r="A33" s="6" t="s">
        <v>53</v>
      </c>
      <c r="B33" s="7">
        <f>$C$6*G7</f>
        <v>1775.1525298013246</v>
      </c>
      <c r="C33" s="7">
        <f>$C$6*H7</f>
        <v>63398.304635761589</v>
      </c>
      <c r="D33" s="13">
        <f t="shared" si="2"/>
        <v>32586.728582781456</v>
      </c>
      <c r="F33" s="6" t="s">
        <v>11</v>
      </c>
      <c r="G33" s="7">
        <f>$C$8*G16</f>
        <v>418.88165562913906</v>
      </c>
      <c r="H33" s="7">
        <f>$C$8*H16</f>
        <v>8377.6331125827819</v>
      </c>
      <c r="I33" s="7">
        <f t="shared" si="6"/>
        <v>4398.2573841059602</v>
      </c>
    </row>
    <row r="34" spans="1:9" x14ac:dyDescent="0.25">
      <c r="A34" s="6" t="s">
        <v>46</v>
      </c>
      <c r="B34" s="7">
        <f>$C$6*G17</f>
        <v>2.5359321854304637</v>
      </c>
      <c r="C34" s="7">
        <f>$C$6*H17</f>
        <v>6339.8304635761597</v>
      </c>
      <c r="D34" s="13">
        <f t="shared" si="2"/>
        <v>3171.183197880795</v>
      </c>
      <c r="F34" s="6" t="s">
        <v>46</v>
      </c>
      <c r="G34" s="7">
        <f>$C$8*G17</f>
        <v>1.6755266225165564</v>
      </c>
      <c r="H34" s="7">
        <f>$C$8*H17</f>
        <v>4188.816556291391</v>
      </c>
      <c r="I34" s="7">
        <f t="shared" si="6"/>
        <v>2095.2460414569537</v>
      </c>
    </row>
    <row r="35" spans="1:9" x14ac:dyDescent="0.25">
      <c r="D35" s="22"/>
    </row>
    <row r="36" spans="1:9" ht="18.75" x14ac:dyDescent="0.25">
      <c r="A36" s="323" t="s">
        <v>3</v>
      </c>
      <c r="B36" s="323"/>
      <c r="C36" s="323"/>
      <c r="D36" s="323"/>
      <c r="F36" s="323" t="s">
        <v>5</v>
      </c>
      <c r="G36" s="323"/>
      <c r="H36" s="323"/>
      <c r="I36" s="323"/>
    </row>
    <row r="37" spans="1:9" x14ac:dyDescent="0.25">
      <c r="A37" s="11" t="s">
        <v>35</v>
      </c>
      <c r="B37" s="322" t="s">
        <v>59</v>
      </c>
      <c r="C37" s="322"/>
      <c r="D37" s="322"/>
      <c r="F37" s="11" t="s">
        <v>35</v>
      </c>
      <c r="G37" s="322" t="s">
        <v>61</v>
      </c>
      <c r="H37" s="322"/>
      <c r="I37" s="322"/>
    </row>
    <row r="38" spans="1:9" x14ac:dyDescent="0.25">
      <c r="A38" s="8"/>
      <c r="B38" s="9" t="s">
        <v>37</v>
      </c>
      <c r="C38" s="9" t="s">
        <v>38</v>
      </c>
      <c r="D38" s="13" t="s">
        <v>66</v>
      </c>
      <c r="F38" s="8"/>
      <c r="G38" s="9" t="s">
        <v>37</v>
      </c>
      <c r="H38" s="9" t="s">
        <v>38</v>
      </c>
      <c r="I38" s="9" t="s">
        <v>66</v>
      </c>
    </row>
    <row r="39" spans="1:9" x14ac:dyDescent="0.25">
      <c r="A39" s="12" t="s">
        <v>47</v>
      </c>
      <c r="B39" s="9">
        <f>$C$7-SUM(B40:B46)</f>
        <v>0</v>
      </c>
      <c r="C39" s="9">
        <f>$C$7-SUM(C40:C46)</f>
        <v>0</v>
      </c>
      <c r="D39" s="13">
        <f t="shared" si="2"/>
        <v>0</v>
      </c>
      <c r="F39" s="12" t="s">
        <v>47</v>
      </c>
      <c r="G39" s="9">
        <f>$C$9-SUM(G40:G46)</f>
        <v>0</v>
      </c>
      <c r="H39" s="14">
        <f>$C$9-SUM(H40:H46)</f>
        <v>0</v>
      </c>
      <c r="I39" s="7">
        <f t="shared" si="6"/>
        <v>0</v>
      </c>
    </row>
    <row r="40" spans="1:9" x14ac:dyDescent="0.25">
      <c r="A40" s="12" t="s">
        <v>9</v>
      </c>
      <c r="B40" s="7">
        <f>$C$7*G6</f>
        <v>0</v>
      </c>
      <c r="C40" s="7">
        <f>$C$7*H6</f>
        <v>0</v>
      </c>
      <c r="D40" s="13">
        <f t="shared" si="2"/>
        <v>0</v>
      </c>
      <c r="F40" s="12" t="s">
        <v>9</v>
      </c>
      <c r="G40" s="7">
        <f>$C$9*G6</f>
        <v>0</v>
      </c>
      <c r="H40" s="7">
        <f>$C$9*H6</f>
        <v>0</v>
      </c>
      <c r="I40" s="7">
        <f t="shared" si="6"/>
        <v>0</v>
      </c>
    </row>
    <row r="41" spans="1:9" x14ac:dyDescent="0.25">
      <c r="A41" s="6" t="s">
        <v>40</v>
      </c>
      <c r="B41" s="7">
        <f>$C$7*G9</f>
        <v>0</v>
      </c>
      <c r="C41" s="7">
        <f>$C$7*H9</f>
        <v>0</v>
      </c>
      <c r="D41" s="13">
        <f t="shared" si="2"/>
        <v>0</v>
      </c>
      <c r="F41" s="6" t="s">
        <v>53</v>
      </c>
      <c r="G41" s="7">
        <f>$C$9*G8</f>
        <v>0</v>
      </c>
      <c r="H41" s="7">
        <f>$C$9*H8</f>
        <v>0</v>
      </c>
      <c r="I41" s="7">
        <f t="shared" si="6"/>
        <v>0</v>
      </c>
    </row>
    <row r="42" spans="1:9" x14ac:dyDescent="0.25">
      <c r="A42" s="6" t="s">
        <v>52</v>
      </c>
      <c r="B42" s="7">
        <f>$C$7*G10</f>
        <v>0</v>
      </c>
      <c r="C42" s="7">
        <f>$C$7*H10</f>
        <v>0</v>
      </c>
      <c r="D42" s="13">
        <f t="shared" si="2"/>
        <v>0</v>
      </c>
      <c r="F42" s="6" t="s">
        <v>14</v>
      </c>
      <c r="G42" s="7">
        <f>$C$9*G20</f>
        <v>0</v>
      </c>
      <c r="H42" s="7">
        <f>$C$9*H20</f>
        <v>0</v>
      </c>
      <c r="I42" s="7">
        <f t="shared" si="6"/>
        <v>0</v>
      </c>
    </row>
    <row r="43" spans="1:9" x14ac:dyDescent="0.25">
      <c r="A43" s="6" t="s">
        <v>53</v>
      </c>
      <c r="B43" s="7">
        <f>$C$7*G8</f>
        <v>0</v>
      </c>
      <c r="C43" s="7">
        <f>$C$7*H8</f>
        <v>0</v>
      </c>
      <c r="D43" s="13">
        <f t="shared" si="2"/>
        <v>0</v>
      </c>
      <c r="F43" s="6" t="s">
        <v>54</v>
      </c>
      <c r="G43" s="7">
        <f>$C$9*G21</f>
        <v>0</v>
      </c>
      <c r="H43" s="7">
        <f>$C$9*H21</f>
        <v>0</v>
      </c>
      <c r="I43" s="7">
        <f t="shared" si="6"/>
        <v>0</v>
      </c>
    </row>
    <row r="44" spans="1:9" x14ac:dyDescent="0.25">
      <c r="A44" s="6" t="s">
        <v>41</v>
      </c>
      <c r="B44" s="7">
        <f>$C$7*G11</f>
        <v>0</v>
      </c>
      <c r="C44" s="7">
        <f>$C$7*H11</f>
        <v>0</v>
      </c>
      <c r="D44" s="13">
        <f t="shared" si="2"/>
        <v>0</v>
      </c>
      <c r="F44" s="6" t="s">
        <v>13</v>
      </c>
      <c r="G44" s="7">
        <f>$C$9*G15</f>
        <v>0</v>
      </c>
      <c r="H44" s="7">
        <f>$C$9*H15</f>
        <v>0</v>
      </c>
      <c r="I44" s="7">
        <f t="shared" si="6"/>
        <v>0</v>
      </c>
    </row>
    <row r="45" spans="1:9" x14ac:dyDescent="0.25">
      <c r="A45" s="6" t="s">
        <v>11</v>
      </c>
      <c r="B45" s="7">
        <f>$C$7*G16</f>
        <v>0</v>
      </c>
      <c r="C45" s="7">
        <f>$C$7*H16</f>
        <v>0</v>
      </c>
      <c r="D45" s="13">
        <f t="shared" si="2"/>
        <v>0</v>
      </c>
      <c r="F45" s="6" t="s">
        <v>40</v>
      </c>
      <c r="G45" s="7">
        <f>$C$9*G9</f>
        <v>0</v>
      </c>
      <c r="H45" s="7">
        <f>$C$9*H9</f>
        <v>0</v>
      </c>
      <c r="I45" s="7">
        <f t="shared" si="6"/>
        <v>0</v>
      </c>
    </row>
    <row r="46" spans="1:9" x14ac:dyDescent="0.25">
      <c r="A46" s="6" t="s">
        <v>46</v>
      </c>
      <c r="B46" s="7">
        <f>$C$7*G17</f>
        <v>0</v>
      </c>
      <c r="C46" s="7">
        <f>$C$7*H17</f>
        <v>0</v>
      </c>
      <c r="D46" s="13">
        <f t="shared" si="2"/>
        <v>0</v>
      </c>
      <c r="F46" s="6" t="s">
        <v>11</v>
      </c>
      <c r="G46" s="7">
        <f>$C$9*G16</f>
        <v>0</v>
      </c>
      <c r="H46" s="7">
        <f>$C$9*H16</f>
        <v>0</v>
      </c>
      <c r="I46" s="7">
        <f t="shared" si="6"/>
        <v>0</v>
      </c>
    </row>
    <row r="47" spans="1:9" x14ac:dyDescent="0.25">
      <c r="D47" s="22"/>
    </row>
    <row r="48" spans="1:9" ht="18.75" x14ac:dyDescent="0.25">
      <c r="A48" s="323" t="s">
        <v>6</v>
      </c>
      <c r="B48" s="323"/>
      <c r="C48" s="323"/>
      <c r="D48" s="323"/>
      <c r="F48" s="4" t="s">
        <v>55</v>
      </c>
    </row>
    <row r="49" spans="1:9" ht="18.75" x14ac:dyDescent="0.25">
      <c r="A49" s="11" t="s">
        <v>35</v>
      </c>
      <c r="B49" s="322" t="s">
        <v>62</v>
      </c>
      <c r="C49" s="322"/>
      <c r="D49" s="322"/>
      <c r="F49" s="323" t="s">
        <v>34</v>
      </c>
      <c r="G49" s="323"/>
      <c r="H49" s="323"/>
      <c r="I49" s="323"/>
    </row>
    <row r="50" spans="1:9" x14ac:dyDescent="0.25">
      <c r="A50" s="8"/>
      <c r="B50" s="9" t="s">
        <v>37</v>
      </c>
      <c r="C50" s="9" t="s">
        <v>38</v>
      </c>
      <c r="D50" s="13" t="s">
        <v>66</v>
      </c>
      <c r="F50" s="11" t="s">
        <v>35</v>
      </c>
      <c r="G50" s="322" t="s">
        <v>64</v>
      </c>
      <c r="H50" s="322"/>
      <c r="I50" s="322"/>
    </row>
    <row r="51" spans="1:9" x14ac:dyDescent="0.25">
      <c r="A51" s="12" t="s">
        <v>47</v>
      </c>
      <c r="B51" s="9">
        <f>$C$10-SUM(B52:B57)</f>
        <v>22231.068365562915</v>
      </c>
      <c r="C51" s="9">
        <f>$C$10-SUM(C52:C57)</f>
        <v>14373.301350993379</v>
      </c>
      <c r="D51" s="13">
        <f t="shared" si="2"/>
        <v>18302.184858278146</v>
      </c>
      <c r="F51" s="8"/>
      <c r="G51" s="9" t="s">
        <v>37</v>
      </c>
      <c r="H51" s="9" t="s">
        <v>38</v>
      </c>
      <c r="I51" s="9" t="s">
        <v>66</v>
      </c>
    </row>
    <row r="52" spans="1:9" x14ac:dyDescent="0.25">
      <c r="A52" s="6" t="s">
        <v>40</v>
      </c>
      <c r="B52" s="7">
        <f>$C$10*G9</f>
        <v>113.21125827814571</v>
      </c>
      <c r="C52" s="7">
        <f>$C$10*H9</f>
        <v>679.26754966887415</v>
      </c>
      <c r="D52" s="13">
        <f t="shared" si="2"/>
        <v>396.23940397350992</v>
      </c>
      <c r="F52" s="12" t="s">
        <v>47</v>
      </c>
      <c r="G52" s="9">
        <f>$C$12-SUM(G53:G69)</f>
        <v>360013.7032736424</v>
      </c>
      <c r="H52" s="14">
        <f>$C$12-SUM(H53:H69)</f>
        <v>-663609.07411390753</v>
      </c>
      <c r="I52" s="7">
        <f>(G52+H52)/2</f>
        <v>-151797.68542013256</v>
      </c>
    </row>
    <row r="53" spans="1:9" x14ac:dyDescent="0.25">
      <c r="A53" s="6" t="s">
        <v>52</v>
      </c>
      <c r="B53" s="7">
        <f>$C$10*G10</f>
        <v>22.642251655629142</v>
      </c>
      <c r="C53" s="7">
        <f>$C$10*H10</f>
        <v>679.26754966887415</v>
      </c>
      <c r="D53" s="13">
        <f t="shared" si="2"/>
        <v>350.95490066225165</v>
      </c>
      <c r="F53" s="12" t="s">
        <v>9</v>
      </c>
      <c r="G53" s="7">
        <f>$C$12*G6</f>
        <v>50265.798675496691</v>
      </c>
      <c r="H53" s="7">
        <f>$C$12*H6</f>
        <v>351860.59072847682</v>
      </c>
      <c r="I53" s="7">
        <f t="shared" si="6"/>
        <v>201063.19470198677</v>
      </c>
    </row>
    <row r="54" spans="1:9" x14ac:dyDescent="0.25">
      <c r="A54" s="6" t="s">
        <v>49</v>
      </c>
      <c r="B54" s="7">
        <f>$C$10*G8</f>
        <v>113.21125827814571</v>
      </c>
      <c r="C54" s="7">
        <f>$C$10*H8</f>
        <v>679.26754966887415</v>
      </c>
      <c r="D54" s="13">
        <f t="shared" si="2"/>
        <v>396.23940397350992</v>
      </c>
      <c r="F54" s="12" t="s">
        <v>40</v>
      </c>
      <c r="G54" s="7">
        <f>$C$12*G9</f>
        <v>2513.2899337748345</v>
      </c>
      <c r="H54" s="7">
        <f>$C$12*H9</f>
        <v>15079.739602649006</v>
      </c>
      <c r="I54" s="7">
        <f t="shared" si="6"/>
        <v>8796.5147682119205</v>
      </c>
    </row>
    <row r="55" spans="1:9" x14ac:dyDescent="0.25">
      <c r="A55" s="6" t="s">
        <v>10</v>
      </c>
      <c r="B55" s="7">
        <f>$C$10*G7</f>
        <v>158.495761589404</v>
      </c>
      <c r="C55" s="7">
        <f>$C$10*H7</f>
        <v>5660.5629139072853</v>
      </c>
      <c r="D55" s="13">
        <f t="shared" si="2"/>
        <v>2909.5293377483445</v>
      </c>
      <c r="F55" s="12" t="s">
        <v>49</v>
      </c>
      <c r="G55" s="7">
        <f>$C$12*G8</f>
        <v>2513.2899337748345</v>
      </c>
      <c r="H55" s="7">
        <f>$C$12*H8</f>
        <v>15079.739602649006</v>
      </c>
      <c r="I55" s="7">
        <f t="shared" si="6"/>
        <v>8796.5147682119205</v>
      </c>
    </row>
    <row r="56" spans="1:9" x14ac:dyDescent="0.25">
      <c r="A56" s="6" t="s">
        <v>48</v>
      </c>
      <c r="B56" s="7">
        <f>$C$10*G18</f>
        <v>3.3963377483443709</v>
      </c>
      <c r="C56" s="7">
        <f>$C$10*H18</f>
        <v>4.5284503311258284</v>
      </c>
      <c r="D56" s="13">
        <f t="shared" si="2"/>
        <v>3.9623940397350994</v>
      </c>
      <c r="F56" s="12" t="s">
        <v>11</v>
      </c>
      <c r="G56" s="7">
        <f>$C$12*G16</f>
        <v>1256.6449668874172</v>
      </c>
      <c r="H56" s="7">
        <f>$C$12*H16</f>
        <v>25132.899337748346</v>
      </c>
      <c r="I56" s="7">
        <f t="shared" si="6"/>
        <v>13194.772152317881</v>
      </c>
    </row>
    <row r="57" spans="1:9" x14ac:dyDescent="0.25">
      <c r="A57" s="6" t="s">
        <v>46</v>
      </c>
      <c r="B57" s="7">
        <f>$C$10*G17</f>
        <v>0.22642251655629142</v>
      </c>
      <c r="C57" s="7">
        <f>$C$10*H17</f>
        <v>566.05629139072857</v>
      </c>
      <c r="D57" s="13">
        <f t="shared" si="2"/>
        <v>283.14135695364246</v>
      </c>
      <c r="F57" s="6" t="s">
        <v>10</v>
      </c>
      <c r="G57" s="7">
        <f>$C$12*G7</f>
        <v>3518.6059072847684</v>
      </c>
      <c r="H57" s="7">
        <f>$C$12*H7</f>
        <v>125664.49668874172</v>
      </c>
      <c r="I57" s="7">
        <f t="shared" si="6"/>
        <v>64591.551298013248</v>
      </c>
    </row>
    <row r="58" spans="1:9" x14ac:dyDescent="0.25">
      <c r="A58" s="35"/>
      <c r="B58" s="23"/>
      <c r="C58" s="23"/>
      <c r="D58" s="22"/>
      <c r="F58" s="6" t="s">
        <v>98</v>
      </c>
      <c r="G58" s="7">
        <f t="shared" ref="G58:H60" si="7">$C$12*G13</f>
        <v>502.65798675496688</v>
      </c>
      <c r="H58" s="7">
        <f t="shared" si="7"/>
        <v>10053.159735099338</v>
      </c>
      <c r="I58" s="7">
        <f t="shared" si="6"/>
        <v>5277.9088609271521</v>
      </c>
    </row>
    <row r="59" spans="1:9" x14ac:dyDescent="0.25">
      <c r="A59" s="35"/>
      <c r="B59" s="23"/>
      <c r="C59" s="23"/>
      <c r="D59" s="22"/>
      <c r="F59" s="6" t="s">
        <v>99</v>
      </c>
      <c r="G59" s="7">
        <f t="shared" si="7"/>
        <v>2513.2899337748345</v>
      </c>
      <c r="H59" s="7">
        <f t="shared" si="7"/>
        <v>103044.88728476821</v>
      </c>
      <c r="I59" s="7">
        <f t="shared" si="6"/>
        <v>52779.088609271523</v>
      </c>
    </row>
    <row r="60" spans="1:9" x14ac:dyDescent="0.25">
      <c r="A60" s="35"/>
      <c r="B60" s="23"/>
      <c r="C60" s="23"/>
      <c r="D60" s="22"/>
      <c r="F60" s="6" t="s">
        <v>45</v>
      </c>
      <c r="G60" s="7">
        <f t="shared" si="7"/>
        <v>5.0265798675496693</v>
      </c>
      <c r="H60" s="7">
        <f t="shared" si="7"/>
        <v>5026.579867549669</v>
      </c>
      <c r="I60" s="7">
        <f t="shared" si="6"/>
        <v>2515.8032237086095</v>
      </c>
    </row>
    <row r="61" spans="1:9" x14ac:dyDescent="0.25">
      <c r="A61" s="35"/>
      <c r="B61" s="23"/>
      <c r="C61" s="23"/>
      <c r="D61" s="22"/>
      <c r="F61" s="6" t="s">
        <v>48</v>
      </c>
      <c r="G61" s="7">
        <f>$C$12*G18</f>
        <v>75.398698013245024</v>
      </c>
      <c r="H61" s="7">
        <f>$C$12*H18</f>
        <v>100.53159735099338</v>
      </c>
      <c r="I61" s="7">
        <f t="shared" si="6"/>
        <v>87.965147682119209</v>
      </c>
    </row>
    <row r="62" spans="1:9" x14ac:dyDescent="0.25">
      <c r="A62" s="35"/>
      <c r="B62" s="23"/>
      <c r="C62" s="23"/>
      <c r="D62" s="22"/>
      <c r="F62" s="6" t="s">
        <v>100</v>
      </c>
      <c r="G62" s="7">
        <f>$C$12*G19</f>
        <v>50.26579867549669</v>
      </c>
      <c r="H62" s="7">
        <f>$C$12*H19</f>
        <v>50265.798675496691</v>
      </c>
      <c r="I62" s="7">
        <f t="shared" si="6"/>
        <v>25158.032237086096</v>
      </c>
    </row>
    <row r="63" spans="1:9" x14ac:dyDescent="0.25">
      <c r="D63" s="22"/>
      <c r="F63" s="6" t="s">
        <v>53</v>
      </c>
      <c r="G63" s="7">
        <f>$C$12*G8</f>
        <v>2513.2899337748345</v>
      </c>
      <c r="H63" s="7">
        <f>$C$12*H8</f>
        <v>15079.739602649006</v>
      </c>
      <c r="I63" s="7">
        <f t="shared" si="6"/>
        <v>8796.5147682119205</v>
      </c>
    </row>
    <row r="64" spans="1:9" ht="18.75" x14ac:dyDescent="0.25">
      <c r="A64" s="323" t="s">
        <v>7</v>
      </c>
      <c r="B64" s="323"/>
      <c r="C64" s="323"/>
      <c r="D64" s="323"/>
      <c r="F64" s="6" t="s">
        <v>46</v>
      </c>
      <c r="G64" s="7">
        <f>$C$12*G17</f>
        <v>5.0265798675496693</v>
      </c>
      <c r="H64" s="7">
        <f>$C$12*H17</f>
        <v>12566.449668874173</v>
      </c>
      <c r="I64" s="7">
        <f t="shared" si="6"/>
        <v>6285.7381243708614</v>
      </c>
    </row>
    <row r="65" spans="1:9" x14ac:dyDescent="0.25">
      <c r="A65" s="11" t="s">
        <v>35</v>
      </c>
      <c r="B65" s="322" t="s">
        <v>63</v>
      </c>
      <c r="C65" s="322"/>
      <c r="D65" s="322"/>
      <c r="F65" s="6" t="s">
        <v>14</v>
      </c>
      <c r="G65" s="7">
        <f>$C$12*G20</f>
        <v>5.0265798675496693</v>
      </c>
      <c r="H65" s="7">
        <f>$C$12*H20</f>
        <v>251328.99337748345</v>
      </c>
      <c r="I65" s="7">
        <f t="shared" si="6"/>
        <v>125667.0099786755</v>
      </c>
    </row>
    <row r="66" spans="1:9" x14ac:dyDescent="0.25">
      <c r="A66" s="8"/>
      <c r="B66" s="9" t="s">
        <v>37</v>
      </c>
      <c r="C66" s="9" t="s">
        <v>38</v>
      </c>
      <c r="D66" s="13" t="s">
        <v>66</v>
      </c>
      <c r="F66" s="6" t="s">
        <v>56</v>
      </c>
      <c r="G66" s="7">
        <f>$C$12*G21</f>
        <v>75398.698013245026</v>
      </c>
      <c r="H66" s="7">
        <f>$C$12*H21</f>
        <v>150797.39602649005</v>
      </c>
      <c r="I66" s="7">
        <f t="shared" si="6"/>
        <v>113098.04701986755</v>
      </c>
    </row>
    <row r="67" spans="1:9" x14ac:dyDescent="0.25">
      <c r="A67" s="12" t="s">
        <v>47</v>
      </c>
      <c r="B67" s="9">
        <f>$C$11-SUM(B68:B73)</f>
        <v>8925.4850336423842</v>
      </c>
      <c r="C67" s="9">
        <f>$C$11-SUM(C68:C73)</f>
        <v>7471.9430463576155</v>
      </c>
      <c r="D67" s="13">
        <f t="shared" si="2"/>
        <v>8198.7140399999989</v>
      </c>
      <c r="F67" s="6" t="s">
        <v>41</v>
      </c>
      <c r="G67" s="7">
        <f>$C$12*G11</f>
        <v>502.65798675496688</v>
      </c>
      <c r="H67" s="7">
        <f>$C$12*H11</f>
        <v>15079.739602649006</v>
      </c>
      <c r="I67" s="7">
        <f t="shared" si="6"/>
        <v>7791.1987947019861</v>
      </c>
    </row>
    <row r="68" spans="1:9" x14ac:dyDescent="0.25">
      <c r="A68" s="6" t="s">
        <v>40</v>
      </c>
      <c r="B68" s="7">
        <f>$C$11*G9</f>
        <v>45.284503311258277</v>
      </c>
      <c r="C68" s="7">
        <f>$C$11*H9</f>
        <v>271.70701986754966</v>
      </c>
      <c r="D68" s="13">
        <f t="shared" si="2"/>
        <v>158.49576158940397</v>
      </c>
      <c r="F68" s="6" t="s">
        <v>52</v>
      </c>
      <c r="G68" s="7">
        <f>$C$12*G10</f>
        <v>502.65798675496688</v>
      </c>
      <c r="H68" s="7">
        <f>$C$12*H10</f>
        <v>15079.739602649006</v>
      </c>
      <c r="I68" s="7">
        <f t="shared" si="6"/>
        <v>7791.1987947019861</v>
      </c>
    </row>
    <row r="69" spans="1:9" x14ac:dyDescent="0.25">
      <c r="A69" s="6" t="s">
        <v>52</v>
      </c>
      <c r="B69" s="7">
        <f>$C$11*G10</f>
        <v>9.056900662251655</v>
      </c>
      <c r="C69" s="7">
        <f>$C$11*H10</f>
        <v>271.70701986754966</v>
      </c>
      <c r="D69" s="13">
        <f t="shared" si="2"/>
        <v>140.38196026490067</v>
      </c>
      <c r="F69" s="6" t="s">
        <v>51</v>
      </c>
      <c r="G69" s="7">
        <f>$C$12*G12</f>
        <v>502.65798675496688</v>
      </c>
      <c r="H69" s="7">
        <f>$C$12*H12</f>
        <v>5026.579867549669</v>
      </c>
      <c r="I69" s="7">
        <f t="shared" si="6"/>
        <v>2764.6189271523181</v>
      </c>
    </row>
    <row r="70" spans="1:9" x14ac:dyDescent="0.25">
      <c r="A70" s="6" t="s">
        <v>49</v>
      </c>
      <c r="B70" s="7">
        <f>$C$11*G8</f>
        <v>45.284503311258277</v>
      </c>
      <c r="C70" s="7">
        <f>$C$11*H8</f>
        <v>271.70701986754966</v>
      </c>
      <c r="D70" s="13">
        <f t="shared" si="2"/>
        <v>158.49576158940397</v>
      </c>
      <c r="F70" s="4" t="s">
        <v>55</v>
      </c>
    </row>
    <row r="71" spans="1:9" x14ac:dyDescent="0.25">
      <c r="A71" s="6" t="s">
        <v>51</v>
      </c>
      <c r="B71" s="7">
        <f>$C$11*G12</f>
        <v>9.056900662251655</v>
      </c>
      <c r="C71" s="7">
        <f>$C$11*H12</f>
        <v>90.569006622516554</v>
      </c>
      <c r="D71" s="13">
        <f t="shared" si="2"/>
        <v>49.812953642384102</v>
      </c>
    </row>
    <row r="72" spans="1:9" x14ac:dyDescent="0.25">
      <c r="A72" s="6" t="s">
        <v>11</v>
      </c>
      <c r="B72" s="7">
        <f>$C$11*G16</f>
        <v>22.642251655629138</v>
      </c>
      <c r="C72" s="7">
        <f>$C$11*H16</f>
        <v>452.84503311258277</v>
      </c>
      <c r="D72" s="13">
        <f t="shared" si="2"/>
        <v>237.74364238410595</v>
      </c>
    </row>
    <row r="73" spans="1:9" x14ac:dyDescent="0.25">
      <c r="A73" s="6" t="s">
        <v>46</v>
      </c>
      <c r="B73" s="7">
        <f>$C$11*G17</f>
        <v>9.056900662251656E-2</v>
      </c>
      <c r="C73" s="7">
        <f>$C$11*H17</f>
        <v>226.42251655629138</v>
      </c>
      <c r="D73" s="13">
        <f t="shared" si="2"/>
        <v>113.25654278145696</v>
      </c>
    </row>
  </sheetData>
  <mergeCells count="17">
    <mergeCell ref="A48:D48"/>
    <mergeCell ref="G4:H4"/>
    <mergeCell ref="G50:I50"/>
    <mergeCell ref="B49:D49"/>
    <mergeCell ref="A64:D64"/>
    <mergeCell ref="B65:D65"/>
    <mergeCell ref="A15:D15"/>
    <mergeCell ref="B16:D16"/>
    <mergeCell ref="F24:I24"/>
    <mergeCell ref="G25:I25"/>
    <mergeCell ref="F36:I36"/>
    <mergeCell ref="G37:I37"/>
    <mergeCell ref="F49:I49"/>
    <mergeCell ref="A25:D25"/>
    <mergeCell ref="B26:D26"/>
    <mergeCell ref="A36:D36"/>
    <mergeCell ref="B37:D3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1"/>
  <sheetViews>
    <sheetView workbookViewId="0">
      <selection activeCell="D15" sqref="D15"/>
    </sheetView>
  </sheetViews>
  <sheetFormatPr defaultRowHeight="15" x14ac:dyDescent="0.25"/>
  <cols>
    <col min="1" max="1" width="28.85546875" customWidth="1"/>
    <col min="2" max="2" width="34.7109375" customWidth="1"/>
    <col min="3" max="3" width="24.28515625" customWidth="1"/>
    <col min="4" max="4" width="35.7109375" customWidth="1"/>
    <col min="5" max="5" width="21.140625" customWidth="1"/>
  </cols>
  <sheetData>
    <row r="1" spans="1:7" x14ac:dyDescent="0.25">
      <c r="A1" s="54" t="s">
        <v>242</v>
      </c>
      <c r="B1" s="54" t="s">
        <v>252</v>
      </c>
      <c r="C1" s="54" t="s">
        <v>254</v>
      </c>
      <c r="D1" s="54" t="s">
        <v>253</v>
      </c>
      <c r="E1" s="54" t="s">
        <v>255</v>
      </c>
    </row>
    <row r="2" spans="1:7" x14ac:dyDescent="0.25">
      <c r="A2" t="s">
        <v>245</v>
      </c>
      <c r="B2" s="40">
        <v>30</v>
      </c>
      <c r="C2">
        <f>(B2*10^-6)*100</f>
        <v>2.9999999999999996E-3</v>
      </c>
      <c r="D2" s="40">
        <v>100</v>
      </c>
      <c r="E2">
        <f>(D2*10^-6)*100</f>
        <v>9.9999999999999985E-3</v>
      </c>
    </row>
    <row r="3" spans="1:7" x14ac:dyDescent="0.25">
      <c r="A3" t="s">
        <v>247</v>
      </c>
      <c r="B3" s="40">
        <v>0</v>
      </c>
      <c r="C3">
        <f t="shared" ref="C3:C5" si="0">(B3*10^-6)*100</f>
        <v>0</v>
      </c>
      <c r="D3" s="40">
        <v>0</v>
      </c>
      <c r="E3">
        <f t="shared" ref="E3:E5" si="1">(D3*10^-6)*100</f>
        <v>0</v>
      </c>
    </row>
    <row r="4" spans="1:7" x14ac:dyDescent="0.25">
      <c r="A4" t="s">
        <v>248</v>
      </c>
      <c r="B4" s="40">
        <v>330</v>
      </c>
      <c r="C4">
        <f t="shared" si="0"/>
        <v>3.3000000000000002E-2</v>
      </c>
      <c r="D4" s="40">
        <v>700</v>
      </c>
      <c r="E4">
        <f t="shared" si="1"/>
        <v>6.9999999999999993E-2</v>
      </c>
    </row>
    <row r="5" spans="1:7" x14ac:dyDescent="0.25">
      <c r="A5" t="s">
        <v>250</v>
      </c>
      <c r="B5" s="40">
        <v>30</v>
      </c>
      <c r="C5">
        <f t="shared" si="0"/>
        <v>2.9999999999999996E-3</v>
      </c>
      <c r="D5" s="40">
        <v>800</v>
      </c>
      <c r="E5">
        <f t="shared" si="1"/>
        <v>7.9999999999999988E-2</v>
      </c>
    </row>
    <row r="7" spans="1:7" x14ac:dyDescent="0.25">
      <c r="A7" s="34" t="s">
        <v>242</v>
      </c>
      <c r="B7" s="54" t="s">
        <v>243</v>
      </c>
      <c r="C7" s="54" t="s">
        <v>244</v>
      </c>
    </row>
    <row r="8" spans="1:7" x14ac:dyDescent="0.25">
      <c r="A8" s="33" t="s">
        <v>245</v>
      </c>
      <c r="B8" s="108" t="s">
        <v>246</v>
      </c>
      <c r="C8" s="41">
        <f>AVERAGE(C2,E2)</f>
        <v>6.4999999999999988E-3</v>
      </c>
    </row>
    <row r="9" spans="1:7" x14ac:dyDescent="0.25">
      <c r="A9" s="33" t="s">
        <v>247</v>
      </c>
      <c r="B9" s="108">
        <v>0</v>
      </c>
      <c r="C9" s="41">
        <f t="shared" ref="C9:C11" si="2">AVERAGE(C3,E3)</f>
        <v>0</v>
      </c>
    </row>
    <row r="10" spans="1:7" x14ac:dyDescent="0.25">
      <c r="A10" s="33" t="s">
        <v>248</v>
      </c>
      <c r="B10" s="108" t="s">
        <v>249</v>
      </c>
      <c r="C10" s="41">
        <f t="shared" si="2"/>
        <v>5.1499999999999997E-2</v>
      </c>
    </row>
    <row r="11" spans="1:7" x14ac:dyDescent="0.25">
      <c r="A11" s="33" t="s">
        <v>250</v>
      </c>
      <c r="B11" s="108" t="s">
        <v>251</v>
      </c>
      <c r="C11" s="41">
        <f t="shared" si="2"/>
        <v>4.1499999999999995E-2</v>
      </c>
    </row>
    <row r="14" spans="1:7" ht="30" x14ac:dyDescent="0.25">
      <c r="A14" s="34" t="s">
        <v>260</v>
      </c>
      <c r="B14" s="54" t="s">
        <v>258</v>
      </c>
      <c r="C14" s="54" t="s">
        <v>259</v>
      </c>
      <c r="D14" s="54" t="s">
        <v>261</v>
      </c>
    </row>
    <row r="15" spans="1:7" x14ac:dyDescent="0.25">
      <c r="A15" s="61" t="s">
        <v>9</v>
      </c>
      <c r="B15" s="1">
        <f>'US Mat Flow Analysis 2018'!Q11</f>
        <v>50265.798675496691</v>
      </c>
      <c r="C15" s="110">
        <f>B15/$B$31</f>
        <v>0.3149348042396467</v>
      </c>
      <c r="D15" s="55">
        <f>$D$31*C15</f>
        <v>17874.146230187838</v>
      </c>
      <c r="G15" s="107" t="s">
        <v>268</v>
      </c>
    </row>
    <row r="16" spans="1:7" x14ac:dyDescent="0.25">
      <c r="A16" s="61" t="s">
        <v>10</v>
      </c>
      <c r="B16" s="1">
        <f>'US Mat Flow Analysis 2018'!Q12</f>
        <v>9509.7456953642395</v>
      </c>
      <c r="C16" s="110">
        <f t="shared" ref="C16:C31" si="3">B16/$B$31</f>
        <v>5.9582260261554783E-2</v>
      </c>
      <c r="D16" s="55">
        <f t="shared" ref="D16:D30" si="4">$D$31*C16</f>
        <v>3381.5952327382397</v>
      </c>
    </row>
    <row r="17" spans="1:4" x14ac:dyDescent="0.25">
      <c r="A17" s="61" t="s">
        <v>39</v>
      </c>
      <c r="B17" s="1">
        <f>'US Mat Flow Analysis 2018'!Q13</f>
        <v>11964.165774834437</v>
      </c>
      <c r="C17" s="110">
        <f t="shared" si="3"/>
        <v>7.4960157910013203E-2</v>
      </c>
      <c r="D17" s="55">
        <f t="shared" si="4"/>
        <v>4254.3688594735377</v>
      </c>
    </row>
    <row r="18" spans="1:4" x14ac:dyDescent="0.25">
      <c r="A18" s="61" t="s">
        <v>40</v>
      </c>
      <c r="B18" s="1">
        <f>'US Mat Flow Analysis 2018'!Q14</f>
        <v>4777.5150993377483</v>
      </c>
      <c r="C18" s="110">
        <f t="shared" si="3"/>
        <v>2.9932992655209663E-2</v>
      </c>
      <c r="D18" s="55">
        <f t="shared" si="4"/>
        <v>1698.8490335899251</v>
      </c>
    </row>
    <row r="19" spans="1:4" x14ac:dyDescent="0.25">
      <c r="A19" s="61" t="s">
        <v>12</v>
      </c>
      <c r="B19" s="1">
        <f>'US Mat Flow Analysis 2018'!Q15</f>
        <v>701.90980132450329</v>
      </c>
      <c r="C19" s="110">
        <f t="shared" si="3"/>
        <v>4.3977382574004716E-3</v>
      </c>
      <c r="D19" s="55">
        <f t="shared" si="4"/>
        <v>249.59393384496531</v>
      </c>
    </row>
    <row r="20" spans="1:4" x14ac:dyDescent="0.25">
      <c r="A20" s="61" t="s">
        <v>41</v>
      </c>
      <c r="B20" s="1">
        <f>'US Mat Flow Analysis 2018'!Q16</f>
        <v>502.65798675496688</v>
      </c>
      <c r="C20" s="110">
        <f t="shared" si="3"/>
        <v>3.1493480423964667E-3</v>
      </c>
      <c r="D20" s="55">
        <f t="shared" si="4"/>
        <v>178.74146230187839</v>
      </c>
    </row>
    <row r="21" spans="1:4" x14ac:dyDescent="0.25">
      <c r="A21" s="61" t="s">
        <v>42</v>
      </c>
      <c r="B21" s="1">
        <f>'US Mat Flow Analysis 2018'!Q17</f>
        <v>923.80386754966889</v>
      </c>
      <c r="C21" s="110">
        <f t="shared" si="3"/>
        <v>5.7879909968367501E-3</v>
      </c>
      <c r="D21" s="55">
        <f t="shared" si="4"/>
        <v>328.49782260885758</v>
      </c>
    </row>
    <row r="22" spans="1:4" x14ac:dyDescent="0.25">
      <c r="A22" s="61" t="s">
        <v>43</v>
      </c>
      <c r="B22" s="1">
        <f>'US Mat Flow Analysis 2018'!Q18</f>
        <v>502.65798675496688</v>
      </c>
      <c r="C22" s="110">
        <f t="shared" si="3"/>
        <v>3.1493480423964667E-3</v>
      </c>
      <c r="D22" s="55">
        <f t="shared" si="4"/>
        <v>178.74146230187839</v>
      </c>
    </row>
    <row r="23" spans="1:4" x14ac:dyDescent="0.25">
      <c r="A23" s="61" t="s">
        <v>44</v>
      </c>
      <c r="B23" s="1">
        <f>'US Mat Flow Analysis 2018'!Q19</f>
        <v>2513.2899337748345</v>
      </c>
      <c r="C23" s="110">
        <f t="shared" si="3"/>
        <v>1.5746740211982333E-2</v>
      </c>
      <c r="D23" s="55">
        <f t="shared" si="4"/>
        <v>893.70731150939184</v>
      </c>
    </row>
    <row r="24" spans="1:4" x14ac:dyDescent="0.25">
      <c r="A24" s="61" t="s">
        <v>45</v>
      </c>
      <c r="B24" s="1">
        <f>'US Mat Flow Analysis 2018'!Q20</f>
        <v>5.0265798675496693</v>
      </c>
      <c r="C24" s="110">
        <f t="shared" si="3"/>
        <v>3.1493480423964667E-5</v>
      </c>
      <c r="D24" s="55">
        <f t="shared" si="4"/>
        <v>1.7874146230187837</v>
      </c>
    </row>
    <row r="25" spans="1:4" x14ac:dyDescent="0.25">
      <c r="A25" s="61" t="s">
        <v>11</v>
      </c>
      <c r="B25" s="1">
        <f>'US Mat Flow Analysis 2018'!Q21</f>
        <v>2332.1519205298014</v>
      </c>
      <c r="C25" s="110">
        <f t="shared" si="3"/>
        <v>1.4611840016524148E-2</v>
      </c>
      <c r="D25" s="55">
        <f t="shared" si="4"/>
        <v>829.29597374294917</v>
      </c>
    </row>
    <row r="26" spans="1:4" x14ac:dyDescent="0.25">
      <c r="A26" s="61" t="s">
        <v>46</v>
      </c>
      <c r="B26" s="1">
        <f>'US Mat Flow Analysis 2018'!Q22</f>
        <v>13.67592</v>
      </c>
      <c r="C26" s="110">
        <f t="shared" si="3"/>
        <v>8.5684964757093063E-5</v>
      </c>
      <c r="D26" s="55">
        <f t="shared" si="4"/>
        <v>4.863056001366421</v>
      </c>
    </row>
    <row r="27" spans="1:4" x14ac:dyDescent="0.25">
      <c r="A27" s="61" t="s">
        <v>48</v>
      </c>
      <c r="B27" s="1">
        <f>'US Mat Flow Analysis 2018'!Q23</f>
        <v>140.60838278145692</v>
      </c>
      <c r="C27" s="110">
        <f t="shared" si="3"/>
        <v>8.8096627672441688E-4</v>
      </c>
      <c r="D27" s="55">
        <f t="shared" si="4"/>
        <v>49.999300941201106</v>
      </c>
    </row>
    <row r="28" spans="1:4" x14ac:dyDescent="0.25">
      <c r="A28" s="61" t="s">
        <v>50</v>
      </c>
      <c r="B28" s="1">
        <f>'US Mat Flow Analysis 2018'!Q24</f>
        <v>50.26579867549669</v>
      </c>
      <c r="C28" s="110">
        <f t="shared" si="3"/>
        <v>3.1493480423964667E-4</v>
      </c>
      <c r="D28" s="55">
        <f t="shared" si="4"/>
        <v>17.874146230187836</v>
      </c>
    </row>
    <row r="29" spans="1:4" x14ac:dyDescent="0.25">
      <c r="A29" s="61" t="s">
        <v>14</v>
      </c>
      <c r="B29" s="1">
        <f>'US Mat Flow Analysis 2018'!Q25</f>
        <v>5.0265798675496693</v>
      </c>
      <c r="C29" s="110">
        <f t="shared" si="3"/>
        <v>3.1493480423964667E-5</v>
      </c>
      <c r="D29" s="55">
        <f t="shared" si="4"/>
        <v>1.7874146230187837</v>
      </c>
    </row>
    <row r="30" spans="1:4" x14ac:dyDescent="0.25">
      <c r="A30" s="61" t="s">
        <v>15</v>
      </c>
      <c r="B30" s="1">
        <f>'US Mat Flow Analysis 2018'!Q26</f>
        <v>75398.698013245026</v>
      </c>
      <c r="C30" s="110">
        <f t="shared" si="3"/>
        <v>0.47240220635946994</v>
      </c>
      <c r="D30" s="55">
        <f t="shared" si="4"/>
        <v>26811.219345281752</v>
      </c>
    </row>
    <row r="31" spans="1:4" x14ac:dyDescent="0.25">
      <c r="A31" s="109" t="s">
        <v>257</v>
      </c>
      <c r="B31" s="1">
        <f>SUM(B15:B30)</f>
        <v>159606.99801615893</v>
      </c>
      <c r="C31">
        <f t="shared" si="3"/>
        <v>1</v>
      </c>
      <c r="D31" s="1">
        <f>C11*'US Mat Flow Analysis 2018'!Q41</f>
        <v>56755.068000000007</v>
      </c>
    </row>
  </sheetData>
  <hyperlinks>
    <hyperlink ref="G15" r:id="rId1" display="https://doi.org/10.1016/j.chemosphere.2020.126373" xr:uid="{00000000-0004-0000-0B00-000000000000}"/>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03"/>
  <sheetViews>
    <sheetView workbookViewId="0">
      <selection activeCell="C13" sqref="C13"/>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331</v>
      </c>
      <c r="B1" s="3"/>
      <c r="C1" s="3"/>
      <c r="D1" s="3"/>
      <c r="E1" s="3"/>
      <c r="F1" s="3"/>
      <c r="G1" s="3"/>
      <c r="H1" s="3"/>
      <c r="I1" s="3"/>
      <c r="J1" s="3"/>
      <c r="K1" s="3"/>
      <c r="L1" s="3"/>
      <c r="M1" s="3"/>
      <c r="N1" s="3"/>
      <c r="O1" s="3"/>
      <c r="P1" s="3"/>
      <c r="Q1" s="3"/>
      <c r="R1" s="3"/>
      <c r="S1" s="3"/>
      <c r="T1" s="3"/>
      <c r="U1" s="3"/>
      <c r="V1" s="3"/>
      <c r="W1" s="3"/>
      <c r="X1" s="3"/>
    </row>
    <row r="2" spans="1:24" x14ac:dyDescent="0.25">
      <c r="A2" s="2" t="s">
        <v>23</v>
      </c>
      <c r="B2" s="37">
        <f>'US Mat Flow Analysis 2018'!U41</f>
        <v>2011807.1280396767</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5" t="s">
        <v>35</v>
      </c>
      <c r="G4" s="324" t="s">
        <v>36</v>
      </c>
      <c r="H4" s="325"/>
      <c r="I4" s="3"/>
      <c r="J4" s="3"/>
      <c r="K4" s="3"/>
      <c r="L4" s="2" t="s">
        <v>101</v>
      </c>
      <c r="M4" s="3"/>
      <c r="N4" s="3"/>
      <c r="O4" s="3"/>
      <c r="P4" s="3"/>
      <c r="Q4" s="3"/>
      <c r="R4" s="3"/>
      <c r="S4" s="3"/>
      <c r="T4" s="3"/>
      <c r="U4" s="3"/>
      <c r="V4" s="3"/>
      <c r="W4" s="3"/>
      <c r="X4" s="3"/>
    </row>
    <row r="5" spans="1:24" x14ac:dyDescent="0.25">
      <c r="A5" s="6" t="s">
        <v>27</v>
      </c>
      <c r="B5" s="16">
        <f>C5/$B$2</f>
        <v>0.1564992884311821</v>
      </c>
      <c r="C5" s="127">
        <f>'US Mat Flow Analysis 2018'!U3</f>
        <v>314846.38399898948</v>
      </c>
      <c r="D5" s="125"/>
      <c r="E5" s="3"/>
      <c r="F5" s="8"/>
      <c r="G5" s="9" t="s">
        <v>37</v>
      </c>
      <c r="H5" s="9" t="s">
        <v>38</v>
      </c>
      <c r="I5" s="9" t="s">
        <v>66</v>
      </c>
      <c r="J5" s="3"/>
      <c r="K5" s="6" t="s">
        <v>9</v>
      </c>
      <c r="L5" s="117">
        <f>'US Mat Flow Analysis 2018'!U11</f>
        <v>131834.21797323419</v>
      </c>
      <c r="M5" s="3"/>
      <c r="N5" s="3"/>
      <c r="O5" s="3"/>
      <c r="P5" s="3"/>
      <c r="Q5" s="3"/>
      <c r="R5" s="3"/>
      <c r="S5" s="3"/>
      <c r="T5" s="3"/>
      <c r="U5" s="3"/>
      <c r="V5" s="3"/>
      <c r="W5" s="3"/>
      <c r="X5" s="3"/>
    </row>
    <row r="6" spans="1:24" x14ac:dyDescent="0.25">
      <c r="A6" s="6" t="s">
        <v>28</v>
      </c>
      <c r="B6" s="16">
        <f t="shared" ref="B6:B12" si="0">C6/$B$2</f>
        <v>0.10322709675095865</v>
      </c>
      <c r="C6" s="127">
        <f>'US Mat Flow Analysis 2018'!U4</f>
        <v>207673.00905041996</v>
      </c>
      <c r="D6" s="125"/>
      <c r="E6" s="3"/>
      <c r="F6" s="6" t="s">
        <v>9</v>
      </c>
      <c r="G6" s="7">
        <v>0.1</v>
      </c>
      <c r="H6" s="7">
        <v>0.7</v>
      </c>
      <c r="I6" s="10">
        <f>(G6+H6)/2</f>
        <v>0.39999999999999997</v>
      </c>
      <c r="J6" s="3"/>
      <c r="K6" s="6" t="s">
        <v>10</v>
      </c>
      <c r="L6" s="117">
        <f>'US Mat Flow Analysis 2018'!U12</f>
        <v>15906.591697638902</v>
      </c>
      <c r="M6" s="3"/>
      <c r="N6" s="3"/>
      <c r="O6" s="3"/>
      <c r="P6" s="3"/>
      <c r="Q6" s="3"/>
      <c r="R6" s="3"/>
      <c r="S6" s="3"/>
      <c r="T6" s="3"/>
      <c r="U6" s="3"/>
      <c r="V6" s="3"/>
      <c r="W6" s="3"/>
      <c r="X6" s="3"/>
    </row>
    <row r="7" spans="1:24" x14ac:dyDescent="0.25">
      <c r="A7" s="6" t="s">
        <v>29</v>
      </c>
      <c r="B7" s="16">
        <f t="shared" si="0"/>
        <v>1.6115086241686984E-2</v>
      </c>
      <c r="C7" s="127">
        <f>'US Mat Flow Analysis 2018'!U5</f>
        <v>32420.445369999998</v>
      </c>
      <c r="D7" s="125"/>
      <c r="E7" s="3"/>
      <c r="F7" s="6" t="s">
        <v>10</v>
      </c>
      <c r="G7" s="7">
        <v>7.0000000000000001E-3</v>
      </c>
      <c r="H7" s="7">
        <v>0.25</v>
      </c>
      <c r="I7" s="10">
        <f t="shared" ref="I7:I21" si="1">(G7+H7)/2</f>
        <v>0.1285</v>
      </c>
      <c r="J7" s="3"/>
      <c r="K7" s="6" t="s">
        <v>39</v>
      </c>
      <c r="L7" s="117">
        <f>'US Mat Flow Analysis 2018'!U13</f>
        <v>21247.904115791418</v>
      </c>
      <c r="M7" s="3"/>
      <c r="N7" s="3"/>
      <c r="O7" s="3"/>
      <c r="P7" s="3"/>
      <c r="Q7" s="3"/>
      <c r="R7" s="3"/>
      <c r="S7" s="3"/>
      <c r="T7" s="3"/>
      <c r="U7" s="3"/>
      <c r="V7" s="3"/>
      <c r="W7" s="3"/>
      <c r="X7" s="3"/>
    </row>
    <row r="8" spans="1:24" x14ac:dyDescent="0.25">
      <c r="A8" s="6" t="s">
        <v>30</v>
      </c>
      <c r="B8" s="16">
        <f t="shared" si="0"/>
        <v>7.5534716485353273E-2</v>
      </c>
      <c r="C8" s="127">
        <f>'US Mat Flow Analysis 2018'!U6</f>
        <v>151961.28103968978</v>
      </c>
      <c r="D8" s="125"/>
      <c r="E8" s="3"/>
      <c r="F8" s="6" t="s">
        <v>39</v>
      </c>
      <c r="G8" s="7">
        <v>5.0000000000000001E-3</v>
      </c>
      <c r="H8" s="7">
        <v>0.03</v>
      </c>
      <c r="I8" s="10">
        <f t="shared" si="1"/>
        <v>1.7499999999999998E-2</v>
      </c>
      <c r="J8" s="3"/>
      <c r="K8" s="6" t="s">
        <v>40</v>
      </c>
      <c r="L8" s="117">
        <f>'US Mat Flow Analysis 2018'!U14</f>
        <v>9402.6929695281142</v>
      </c>
      <c r="M8" s="3"/>
      <c r="N8" s="3"/>
      <c r="O8" s="3"/>
      <c r="P8" s="3"/>
      <c r="Q8" s="3"/>
      <c r="R8" s="3"/>
      <c r="S8" s="3"/>
      <c r="T8" s="3"/>
      <c r="U8" s="3"/>
      <c r="V8" s="3"/>
      <c r="W8" s="3"/>
      <c r="X8" s="3"/>
    </row>
    <row r="9" spans="1:24" x14ac:dyDescent="0.25">
      <c r="A9" s="6" t="s">
        <v>31</v>
      </c>
      <c r="B9" s="16">
        <f t="shared" si="0"/>
        <v>0</v>
      </c>
      <c r="C9" s="127">
        <f>'US Mat Flow Analysis 2018'!U7</f>
        <v>0</v>
      </c>
      <c r="D9" s="125"/>
      <c r="E9" s="3"/>
      <c r="F9" s="6" t="s">
        <v>40</v>
      </c>
      <c r="G9" s="7">
        <v>5.0000000000000001E-3</v>
      </c>
      <c r="H9" s="7">
        <v>0.03</v>
      </c>
      <c r="I9" s="10">
        <f t="shared" si="1"/>
        <v>1.7499999999999998E-2</v>
      </c>
      <c r="J9" s="3"/>
      <c r="K9" s="6" t="s">
        <v>12</v>
      </c>
      <c r="L9" s="117">
        <f>'US Mat Flow Analysis 2018'!U15</f>
        <v>1582.1062419685857</v>
      </c>
      <c r="M9" s="3"/>
      <c r="N9" s="3"/>
      <c r="O9" s="3"/>
      <c r="P9" s="3"/>
      <c r="Q9" s="3"/>
      <c r="R9" s="3"/>
      <c r="S9" s="3"/>
      <c r="T9" s="3"/>
      <c r="U9" s="3"/>
      <c r="V9" s="3"/>
      <c r="W9" s="3"/>
      <c r="X9" s="3"/>
    </row>
    <row r="10" spans="1:24" x14ac:dyDescent="0.25">
      <c r="A10" s="6" t="s">
        <v>32</v>
      </c>
      <c r="B10" s="16">
        <f t="shared" si="0"/>
        <v>7.3705487932529219E-3</v>
      </c>
      <c r="C10" s="127">
        <f>'US Mat Flow Analysis 2018'!U8</f>
        <v>14828.122599830465</v>
      </c>
      <c r="D10" s="125"/>
      <c r="E10" s="3"/>
      <c r="F10" s="6" t="s">
        <v>12</v>
      </c>
      <c r="G10" s="7">
        <v>1E-3</v>
      </c>
      <c r="H10" s="7">
        <v>0.03</v>
      </c>
      <c r="I10" s="10">
        <f t="shared" si="1"/>
        <v>1.55E-2</v>
      </c>
      <c r="J10" s="3"/>
      <c r="K10" s="6" t="s">
        <v>41</v>
      </c>
      <c r="L10" s="117">
        <f>'US Mat Flow Analysis 2018'!U16</f>
        <v>1318.3421797323422</v>
      </c>
      <c r="M10" s="3"/>
      <c r="N10" s="3"/>
      <c r="O10" s="3"/>
      <c r="P10" s="3"/>
      <c r="Q10" s="3"/>
      <c r="R10" s="3"/>
      <c r="S10" s="3"/>
      <c r="T10" s="3"/>
      <c r="U10" s="3"/>
      <c r="V10" s="3"/>
      <c r="W10" s="3"/>
      <c r="X10" s="3"/>
    </row>
    <row r="11" spans="1:24" x14ac:dyDescent="0.25">
      <c r="A11" s="6" t="s">
        <v>33</v>
      </c>
      <c r="B11" s="16">
        <f t="shared" si="0"/>
        <v>1.2665129287153494E-2</v>
      </c>
      <c r="C11" s="127">
        <f>'US Mat Flow Analysis 2018'!U9</f>
        <v>25479.79737743947</v>
      </c>
      <c r="D11" s="125"/>
      <c r="E11" s="3"/>
      <c r="F11" s="6" t="s">
        <v>41</v>
      </c>
      <c r="G11" s="7">
        <v>1E-3</v>
      </c>
      <c r="H11" s="7">
        <v>0.03</v>
      </c>
      <c r="I11" s="10">
        <f t="shared" si="1"/>
        <v>1.55E-2</v>
      </c>
      <c r="J11" s="3"/>
      <c r="K11" s="6" t="s">
        <v>42</v>
      </c>
      <c r="L11" s="117">
        <f>'US Mat Flow Analysis 2018'!U17</f>
        <v>1767.9625915801603</v>
      </c>
      <c r="M11" s="3"/>
      <c r="N11" s="3"/>
      <c r="O11" s="3"/>
      <c r="P11" s="3"/>
      <c r="Q11" s="3"/>
      <c r="R11" s="3"/>
      <c r="S11" s="3"/>
      <c r="T11" s="3"/>
      <c r="U11" s="3"/>
      <c r="V11" s="3"/>
      <c r="W11" s="3"/>
      <c r="X11" s="3"/>
    </row>
    <row r="12" spans="1:24" x14ac:dyDescent="0.25">
      <c r="A12" s="6" t="s">
        <v>34</v>
      </c>
      <c r="B12" s="16">
        <f t="shared" si="0"/>
        <v>0.5891607282246053</v>
      </c>
      <c r="C12" s="127">
        <f>'US Mat Flow Analysis 2018'!U10+SUM(L5:L20)</f>
        <v>1185277.7526033076</v>
      </c>
      <c r="D12" s="125"/>
      <c r="E12" s="121"/>
      <c r="F12" s="6" t="s">
        <v>42</v>
      </c>
      <c r="G12" s="7">
        <v>1E-3</v>
      </c>
      <c r="H12" s="7">
        <v>0.01</v>
      </c>
      <c r="I12" s="10">
        <f t="shared" si="1"/>
        <v>5.4999999999999997E-3</v>
      </c>
      <c r="J12" s="3"/>
      <c r="K12" s="6" t="s">
        <v>43</v>
      </c>
      <c r="L12" s="117">
        <f>'US Mat Flow Analysis 2018'!U18</f>
        <v>1281.7291797323421</v>
      </c>
      <c r="M12" s="3"/>
      <c r="N12" s="3"/>
      <c r="O12" s="3"/>
      <c r="P12" s="3"/>
      <c r="Q12" s="3"/>
      <c r="R12" s="3"/>
      <c r="S12" s="3"/>
      <c r="T12" s="3"/>
      <c r="U12" s="3"/>
      <c r="V12" s="3"/>
      <c r="W12" s="3"/>
      <c r="X12" s="3"/>
    </row>
    <row r="13" spans="1:24" x14ac:dyDescent="0.25">
      <c r="A13" s="3"/>
      <c r="B13" s="85">
        <f>SUM(B5:B12)</f>
        <v>0.96057259421419272</v>
      </c>
      <c r="C13" s="3" t="s">
        <v>179</v>
      </c>
      <c r="D13" s="3"/>
      <c r="E13" s="117"/>
      <c r="F13" s="6" t="s">
        <v>43</v>
      </c>
      <c r="G13" s="7">
        <v>1E-3</v>
      </c>
      <c r="H13" s="7">
        <v>0.02</v>
      </c>
      <c r="I13" s="10">
        <f t="shared" si="1"/>
        <v>1.0500000000000001E-2</v>
      </c>
      <c r="J13" s="3"/>
      <c r="K13" s="6" t="s">
        <v>44</v>
      </c>
      <c r="L13" s="117">
        <f>'US Mat Flow Analysis 2018'!U19</f>
        <v>6408.6458986617108</v>
      </c>
      <c r="M13" s="3"/>
      <c r="N13" s="3"/>
      <c r="O13" s="3"/>
      <c r="P13" s="3"/>
      <c r="Q13" s="3"/>
      <c r="R13" s="3"/>
      <c r="S13" s="3"/>
      <c r="T13" s="3"/>
      <c r="U13" s="3"/>
      <c r="V13" s="3"/>
      <c r="W13" s="3"/>
      <c r="X13" s="3"/>
    </row>
    <row r="14" spans="1:24" ht="21" x14ac:dyDescent="0.25">
      <c r="A14" s="3"/>
      <c r="B14" s="3"/>
      <c r="C14" s="3"/>
      <c r="D14" s="3"/>
      <c r="E14" s="126"/>
      <c r="F14" s="6" t="s">
        <v>44</v>
      </c>
      <c r="G14" s="7">
        <v>5.0000000000000001E-3</v>
      </c>
      <c r="H14" s="7">
        <v>0.20499999999999999</v>
      </c>
      <c r="I14" s="10">
        <f t="shared" si="1"/>
        <v>0.105</v>
      </c>
      <c r="J14" s="3"/>
      <c r="K14" s="6" t="s">
        <v>45</v>
      </c>
      <c r="L14" s="117">
        <f>'US Mat Flow Analysis 2018'!U20</f>
        <v>12.817291797323419</v>
      </c>
      <c r="M14" s="3"/>
      <c r="N14" s="3"/>
      <c r="O14" s="3"/>
      <c r="P14" s="3"/>
      <c r="Q14" s="3"/>
      <c r="R14" s="3"/>
      <c r="S14" s="3"/>
      <c r="T14" s="3"/>
      <c r="U14" s="3"/>
      <c r="V14" s="3"/>
      <c r="W14" s="3"/>
      <c r="X14" s="3"/>
    </row>
    <row r="15" spans="1:24" ht="18.75" x14ac:dyDescent="0.25">
      <c r="A15" s="323" t="s">
        <v>1</v>
      </c>
      <c r="B15" s="323"/>
      <c r="C15" s="323"/>
      <c r="D15" s="323"/>
      <c r="E15" s="3"/>
      <c r="F15" s="6" t="s">
        <v>45</v>
      </c>
      <c r="G15" s="7">
        <v>1.0000000000000001E-5</v>
      </c>
      <c r="H15" s="7">
        <v>0.01</v>
      </c>
      <c r="I15" s="10">
        <f t="shared" si="1"/>
        <v>5.0049999999999999E-3</v>
      </c>
      <c r="J15" s="3"/>
      <c r="K15" s="6" t="s">
        <v>11</v>
      </c>
      <c r="L15" s="117">
        <f>'US Mat Flow Analysis 2018'!U21</f>
        <v>4644.5940996590653</v>
      </c>
      <c r="M15" s="3"/>
      <c r="N15" s="3"/>
      <c r="O15" s="3"/>
      <c r="P15" s="3"/>
      <c r="Q15" s="3"/>
      <c r="R15" s="3"/>
      <c r="S15" s="3"/>
      <c r="T15" s="3"/>
      <c r="U15" s="3"/>
      <c r="V15" s="3"/>
      <c r="W15" s="3"/>
      <c r="X15" s="3"/>
    </row>
    <row r="16" spans="1:24" x14ac:dyDescent="0.25">
      <c r="A16" s="11" t="s">
        <v>35</v>
      </c>
      <c r="B16" s="322" t="s">
        <v>58</v>
      </c>
      <c r="C16" s="322"/>
      <c r="D16" s="322"/>
      <c r="E16" s="3"/>
      <c r="F16" s="6" t="s">
        <v>11</v>
      </c>
      <c r="G16" s="7">
        <v>2.5000000000000001E-3</v>
      </c>
      <c r="H16" s="7">
        <v>0.05</v>
      </c>
      <c r="I16" s="10">
        <f t="shared" si="1"/>
        <v>2.6250000000000002E-2</v>
      </c>
      <c r="J16" s="3"/>
      <c r="K16" s="6" t="s">
        <v>46</v>
      </c>
      <c r="L16" s="117">
        <f>'US Mat Flow Analysis 2018'!U22</f>
        <v>23.378776241366424</v>
      </c>
      <c r="M16" s="3"/>
      <c r="N16" s="3"/>
      <c r="O16" s="3"/>
      <c r="P16" s="3"/>
      <c r="Q16" s="3"/>
      <c r="R16" s="3"/>
      <c r="S16" s="3"/>
      <c r="T16" s="3"/>
      <c r="U16" s="3"/>
      <c r="V16" s="3"/>
      <c r="W16" s="3"/>
      <c r="X16" s="3"/>
    </row>
    <row r="17" spans="1:24" x14ac:dyDescent="0.25">
      <c r="A17" s="8"/>
      <c r="B17" s="9" t="s">
        <v>37</v>
      </c>
      <c r="C17" s="9" t="s">
        <v>38</v>
      </c>
      <c r="D17" s="9" t="s">
        <v>66</v>
      </c>
      <c r="E17" s="3"/>
      <c r="F17" s="6" t="s">
        <v>46</v>
      </c>
      <c r="G17" s="7">
        <v>1.0000000000000001E-5</v>
      </c>
      <c r="H17" s="7">
        <v>2.5000000000000001E-2</v>
      </c>
      <c r="I17" s="10">
        <f t="shared" si="1"/>
        <v>1.2505E-2</v>
      </c>
      <c r="J17" s="3"/>
      <c r="K17" s="6" t="s">
        <v>48</v>
      </c>
      <c r="L17" s="117">
        <f>'US Mat Flow Analysis 2018'!U23</f>
        <v>264.26537460080374</v>
      </c>
      <c r="M17" s="3"/>
      <c r="N17" s="3"/>
      <c r="O17" s="3"/>
      <c r="P17" s="3"/>
      <c r="Q17" s="3"/>
      <c r="R17" s="3"/>
      <c r="S17" s="3"/>
      <c r="T17" s="3"/>
      <c r="U17" s="3"/>
      <c r="V17" s="3"/>
      <c r="W17" s="3"/>
      <c r="X17" s="3"/>
    </row>
    <row r="18" spans="1:24" x14ac:dyDescent="0.25">
      <c r="A18" s="12" t="s">
        <v>47</v>
      </c>
      <c r="B18" s="118">
        <f>$C$5-SUM(B19:B23)</f>
        <v>310703.00558556279</v>
      </c>
      <c r="C18" s="120">
        <f>$C$5-SUM(C19:C23)</f>
        <v>215606.803762508</v>
      </c>
      <c r="D18" s="119">
        <f>(B18+C18)/2</f>
        <v>263154.90467403538</v>
      </c>
      <c r="E18" s="3"/>
      <c r="F18" s="6" t="s">
        <v>48</v>
      </c>
      <c r="G18" s="7">
        <v>1.4999999999999999E-4</v>
      </c>
      <c r="H18" s="7">
        <v>2.0000000000000001E-4</v>
      </c>
      <c r="I18" s="10">
        <f t="shared" si="1"/>
        <v>1.75E-4</v>
      </c>
      <c r="J18" s="3"/>
      <c r="K18" s="6" t="s">
        <v>50</v>
      </c>
      <c r="L18" s="117">
        <f>'US Mat Flow Analysis 2018'!U24</f>
        <v>128.17291797323418</v>
      </c>
      <c r="M18" s="3"/>
      <c r="N18" s="3"/>
      <c r="O18" s="3"/>
      <c r="P18" s="3"/>
      <c r="Q18" s="3"/>
      <c r="R18" s="3"/>
      <c r="S18" s="3"/>
      <c r="T18" s="3"/>
      <c r="U18" s="3"/>
      <c r="V18" s="3"/>
      <c r="W18" s="3"/>
      <c r="X18" s="3"/>
    </row>
    <row r="19" spans="1:24" x14ac:dyDescent="0.25">
      <c r="A19" s="6" t="s">
        <v>49</v>
      </c>
      <c r="B19" s="7">
        <f>$C$5*G8</f>
        <v>1574.2319199949475</v>
      </c>
      <c r="C19" s="7">
        <f>$C$5*H8</f>
        <v>9445.3915199696839</v>
      </c>
      <c r="D19" s="119">
        <f t="shared" ref="D19:D73" si="2">(B19+C19)/2</f>
        <v>5509.8117199823155</v>
      </c>
      <c r="E19" s="3"/>
      <c r="F19" s="6" t="s">
        <v>50</v>
      </c>
      <c r="G19" s="7">
        <v>1E-4</v>
      </c>
      <c r="H19" s="7">
        <v>0.1</v>
      </c>
      <c r="I19" s="10">
        <f t="shared" si="1"/>
        <v>5.0050000000000004E-2</v>
      </c>
      <c r="J19" s="3"/>
      <c r="K19" s="6" t="s">
        <v>14</v>
      </c>
      <c r="L19" s="117">
        <f>'US Mat Flow Analysis 2018'!U25</f>
        <v>12.817291797323419</v>
      </c>
      <c r="M19" s="3"/>
      <c r="N19" s="3"/>
      <c r="O19" s="3"/>
      <c r="P19" s="3"/>
      <c r="Q19" s="3"/>
      <c r="R19" s="3"/>
      <c r="S19" s="3"/>
      <c r="T19" s="3"/>
      <c r="U19" s="3"/>
      <c r="V19" s="3"/>
      <c r="W19" s="3"/>
      <c r="X19" s="3"/>
    </row>
    <row r="20" spans="1:24" x14ac:dyDescent="0.25">
      <c r="A20" s="6" t="s">
        <v>10</v>
      </c>
      <c r="B20" s="7">
        <f>$C$5*G7</f>
        <v>2203.9246879929265</v>
      </c>
      <c r="C20" s="7">
        <f>$C$5*H7</f>
        <v>78711.595999747369</v>
      </c>
      <c r="D20" s="119">
        <f t="shared" si="2"/>
        <v>40457.760343870148</v>
      </c>
      <c r="E20" s="3"/>
      <c r="F20" s="6" t="s">
        <v>14</v>
      </c>
      <c r="G20" s="7">
        <v>1.0000000000000001E-5</v>
      </c>
      <c r="H20" s="7">
        <v>0.5</v>
      </c>
      <c r="I20" s="10">
        <f t="shared" si="1"/>
        <v>0.25000499999999998</v>
      </c>
      <c r="J20" s="3"/>
      <c r="K20" s="6" t="s">
        <v>15</v>
      </c>
      <c r="L20" s="117">
        <f>'US Mat Flow Analysis 2018'!U26</f>
        <v>192259.37695985127</v>
      </c>
      <c r="M20" s="3"/>
      <c r="N20" s="3"/>
      <c r="O20" s="3"/>
      <c r="P20" s="3"/>
      <c r="Q20" s="3"/>
      <c r="R20" s="3"/>
      <c r="S20" s="3"/>
      <c r="T20" s="3"/>
      <c r="U20" s="3"/>
      <c r="V20" s="3"/>
      <c r="W20" s="3"/>
      <c r="X20" s="3"/>
    </row>
    <row r="21" spans="1:24" x14ac:dyDescent="0.25">
      <c r="A21" s="6" t="s">
        <v>51</v>
      </c>
      <c r="B21" s="7">
        <f>$C$5*G12</f>
        <v>314.8463839989895</v>
      </c>
      <c r="C21" s="7">
        <f>$C$5*H12</f>
        <v>3148.463839989895</v>
      </c>
      <c r="D21" s="119">
        <f t="shared" si="2"/>
        <v>1731.6551119944422</v>
      </c>
      <c r="E21" s="3"/>
      <c r="F21" s="6" t="s">
        <v>15</v>
      </c>
      <c r="G21" s="7">
        <v>0.15</v>
      </c>
      <c r="H21" s="7">
        <v>0.3</v>
      </c>
      <c r="I21" s="10">
        <f t="shared" si="1"/>
        <v>0.22499999999999998</v>
      </c>
      <c r="J21" s="3"/>
      <c r="K21" s="3"/>
      <c r="L21" s="3"/>
      <c r="M21" s="3" t="s">
        <v>237</v>
      </c>
      <c r="N21" s="3"/>
      <c r="O21" s="3"/>
      <c r="P21" s="3"/>
      <c r="Q21" s="3"/>
      <c r="R21" s="3"/>
      <c r="S21" s="3"/>
      <c r="T21" s="3"/>
      <c r="U21" s="3"/>
      <c r="V21" s="3"/>
      <c r="W21" s="3"/>
      <c r="X21" s="3"/>
    </row>
    <row r="22" spans="1:24" x14ac:dyDescent="0.25">
      <c r="A22" s="6" t="s">
        <v>48</v>
      </c>
      <c r="B22" s="7">
        <f>$C$5*G18</f>
        <v>47.226957599848419</v>
      </c>
      <c r="C22" s="7">
        <f>$C$5*H18</f>
        <v>62.969276799797896</v>
      </c>
      <c r="D22" s="119">
        <f t="shared" si="2"/>
        <v>55.098117199823157</v>
      </c>
      <c r="E22" s="3"/>
      <c r="F22" s="3"/>
      <c r="G22" s="3"/>
      <c r="H22" s="3"/>
      <c r="I22" s="3"/>
      <c r="J22" s="3"/>
      <c r="K22" s="3"/>
      <c r="L22" s="19"/>
      <c r="M22" s="15" t="s">
        <v>226</v>
      </c>
      <c r="N22" s="37"/>
      <c r="O22" s="37"/>
      <c r="P22" s="3"/>
      <c r="Q22" s="3"/>
      <c r="R22" s="3"/>
      <c r="S22" s="3"/>
      <c r="T22" s="3"/>
      <c r="U22" s="3"/>
      <c r="V22" s="3"/>
      <c r="W22" s="3"/>
      <c r="X22" s="3"/>
    </row>
    <row r="23" spans="1:24" x14ac:dyDescent="0.25">
      <c r="A23" s="6" t="s">
        <v>46</v>
      </c>
      <c r="B23" s="7">
        <f>$C$5*G17</f>
        <v>3.148463839989895</v>
      </c>
      <c r="C23" s="20">
        <f>$C$5*H17</f>
        <v>7871.1595999747369</v>
      </c>
      <c r="D23" s="119">
        <f t="shared" si="2"/>
        <v>3937.1540319073633</v>
      </c>
      <c r="E23" s="3"/>
      <c r="F23" s="3"/>
      <c r="G23" s="3"/>
      <c r="H23" s="3"/>
      <c r="I23" s="3"/>
      <c r="J23" s="3"/>
      <c r="K23" s="2" t="s">
        <v>332</v>
      </c>
      <c r="L23" s="19"/>
      <c r="M23" s="2" t="s">
        <v>213</v>
      </c>
      <c r="N23" s="2" t="s">
        <v>214</v>
      </c>
      <c r="O23" s="2" t="s">
        <v>215</v>
      </c>
      <c r="P23" s="3"/>
      <c r="Q23" s="3"/>
      <c r="R23" s="3"/>
      <c r="S23" s="3"/>
      <c r="T23" s="3"/>
      <c r="U23" s="3"/>
      <c r="V23" s="3"/>
      <c r="W23" s="3"/>
      <c r="X23" s="3"/>
    </row>
    <row r="24" spans="1:24" ht="18.75" x14ac:dyDescent="0.25">
      <c r="A24" s="3"/>
      <c r="B24" s="3"/>
      <c r="C24" s="3"/>
      <c r="D24" s="22"/>
      <c r="E24" s="3"/>
      <c r="F24" s="323" t="s">
        <v>4</v>
      </c>
      <c r="G24" s="323"/>
      <c r="H24" s="323"/>
      <c r="I24" s="323"/>
      <c r="J24" s="3"/>
      <c r="K24" s="3" t="s">
        <v>27</v>
      </c>
      <c r="L24" s="19">
        <f>C5</f>
        <v>314846.38399898948</v>
      </c>
      <c r="M24" s="99">
        <v>-1.1299999999999999</v>
      </c>
      <c r="N24" s="3">
        <f t="shared" ref="N24:N31" si="3">L24*M24</f>
        <v>-355776.4139188581</v>
      </c>
      <c r="O24" s="3">
        <f t="shared" ref="O24:O31" si="4">N24*1.10231</f>
        <v>-392175.89882689645</v>
      </c>
      <c r="P24" s="3"/>
      <c r="Q24" s="3"/>
      <c r="R24" s="3"/>
      <c r="S24" s="3"/>
      <c r="T24" s="3"/>
      <c r="U24" s="3"/>
      <c r="V24" s="3"/>
      <c r="W24" s="3"/>
      <c r="X24" s="3"/>
    </row>
    <row r="25" spans="1:24" ht="18.75" x14ac:dyDescent="0.25">
      <c r="A25" s="323" t="s">
        <v>2</v>
      </c>
      <c r="B25" s="323"/>
      <c r="C25" s="323"/>
      <c r="D25" s="323"/>
      <c r="E25" s="3"/>
      <c r="F25" s="11" t="s">
        <v>35</v>
      </c>
      <c r="G25" s="322" t="s">
        <v>60</v>
      </c>
      <c r="H25" s="322"/>
      <c r="I25" s="322"/>
      <c r="J25" s="3"/>
      <c r="K25" s="3" t="s">
        <v>28</v>
      </c>
      <c r="L25" s="19">
        <f t="shared" ref="L25:L31" si="5">C6</f>
        <v>207673.00905041996</v>
      </c>
      <c r="M25" s="99">
        <v>-0.88</v>
      </c>
      <c r="N25" s="3">
        <f t="shared" si="3"/>
        <v>-182752.24796436957</v>
      </c>
      <c r="O25" s="3">
        <f t="shared" si="4"/>
        <v>-201449.63045360422</v>
      </c>
      <c r="P25" s="3"/>
      <c r="Q25" s="3"/>
      <c r="R25" s="3"/>
      <c r="S25" s="3"/>
      <c r="T25" s="3"/>
      <c r="U25" s="3"/>
      <c r="V25" s="3"/>
      <c r="W25" s="3"/>
      <c r="X25" s="3"/>
    </row>
    <row r="26" spans="1:24" x14ac:dyDescent="0.25">
      <c r="A26" s="11" t="s">
        <v>35</v>
      </c>
      <c r="B26" s="322" t="s">
        <v>59</v>
      </c>
      <c r="C26" s="322"/>
      <c r="D26" s="322"/>
      <c r="E26" s="3"/>
      <c r="F26" s="8"/>
      <c r="G26" s="9" t="s">
        <v>37</v>
      </c>
      <c r="H26" s="9" t="s">
        <v>38</v>
      </c>
      <c r="I26" s="9" t="s">
        <v>66</v>
      </c>
      <c r="J26" s="3"/>
      <c r="K26" s="3" t="s">
        <v>29</v>
      </c>
      <c r="L26" s="19">
        <f t="shared" si="5"/>
        <v>32420.445369999998</v>
      </c>
      <c r="M26" s="99">
        <v>0</v>
      </c>
      <c r="N26" s="3">
        <f t="shared" si="3"/>
        <v>0</v>
      </c>
      <c r="O26" s="3">
        <f t="shared" si="4"/>
        <v>0</v>
      </c>
      <c r="P26" s="3"/>
      <c r="Q26" s="3"/>
      <c r="R26" s="3"/>
      <c r="S26" s="3"/>
      <c r="T26" s="3"/>
      <c r="U26" s="3"/>
      <c r="V26" s="3"/>
      <c r="W26" s="3"/>
      <c r="X26" s="3"/>
    </row>
    <row r="27" spans="1:24" x14ac:dyDescent="0.25">
      <c r="A27" s="8"/>
      <c r="B27" s="9" t="s">
        <v>37</v>
      </c>
      <c r="C27" s="9" t="s">
        <v>38</v>
      </c>
      <c r="D27" s="13" t="s">
        <v>66</v>
      </c>
      <c r="E27" s="3"/>
      <c r="F27" s="12" t="s">
        <v>47</v>
      </c>
      <c r="G27" s="9">
        <f>$C$8-SUM(G28:G34)</f>
        <v>148084.74876036731</v>
      </c>
      <c r="H27" s="9">
        <f>$C$8-SUM(H28:H34)</f>
        <v>84338.510977027821</v>
      </c>
      <c r="I27" s="7">
        <f>(G27+H27)/2</f>
        <v>116211.62986869756</v>
      </c>
      <c r="J27" s="3"/>
      <c r="K27" s="3" t="s">
        <v>122</v>
      </c>
      <c r="L27" s="19">
        <f t="shared" si="5"/>
        <v>151961.28103968978</v>
      </c>
      <c r="M27" s="99">
        <v>0</v>
      </c>
      <c r="N27" s="3">
        <f t="shared" si="3"/>
        <v>0</v>
      </c>
      <c r="O27" s="3">
        <f t="shared" si="4"/>
        <v>0</v>
      </c>
      <c r="P27" s="3"/>
      <c r="Q27" s="3"/>
      <c r="R27" s="3"/>
      <c r="S27" s="3"/>
      <c r="T27" s="3"/>
      <c r="U27" s="3"/>
      <c r="V27" s="3"/>
      <c r="W27" s="3"/>
      <c r="X27" s="3"/>
    </row>
    <row r="28" spans="1:24" x14ac:dyDescent="0.25">
      <c r="A28" s="12" t="s">
        <v>47</v>
      </c>
      <c r="B28" s="9">
        <f>$C$6-SUM(B29:B34)</f>
        <v>202167.59758049334</v>
      </c>
      <c r="C28" s="13">
        <f>$C$5-SUM(C29:C34)</f>
        <v>182974.0232519728</v>
      </c>
      <c r="D28" s="13">
        <f t="shared" si="2"/>
        <v>192570.81041623309</v>
      </c>
      <c r="E28" s="3"/>
      <c r="F28" s="12" t="s">
        <v>40</v>
      </c>
      <c r="G28" s="7">
        <f>$C$8*G9</f>
        <v>759.80640519844894</v>
      </c>
      <c r="H28" s="7">
        <f>$C$8*H9</f>
        <v>4558.838431190693</v>
      </c>
      <c r="I28" s="7">
        <f t="shared" ref="I28:I69" si="6">(G28+H28)/2</f>
        <v>2659.3224181945711</v>
      </c>
      <c r="J28" s="3"/>
      <c r="K28" s="3" t="s">
        <v>31</v>
      </c>
      <c r="L28" s="19">
        <f t="shared" si="5"/>
        <v>0</v>
      </c>
      <c r="M28" s="99">
        <v>0</v>
      </c>
      <c r="N28" s="3">
        <f t="shared" si="3"/>
        <v>0</v>
      </c>
      <c r="O28" s="3">
        <f t="shared" si="4"/>
        <v>0</v>
      </c>
      <c r="P28" s="3"/>
      <c r="Q28" s="3"/>
      <c r="R28" s="3"/>
      <c r="S28" s="3"/>
      <c r="T28" s="3"/>
      <c r="U28" s="3"/>
      <c r="V28" s="3"/>
      <c r="W28" s="3"/>
      <c r="X28" s="3"/>
    </row>
    <row r="29" spans="1:24" x14ac:dyDescent="0.25">
      <c r="A29" s="6" t="s">
        <v>40</v>
      </c>
      <c r="B29" s="7">
        <f>$C$6*G9</f>
        <v>1038.3650452520999</v>
      </c>
      <c r="C29" s="7">
        <f>$C$6*H9</f>
        <v>6230.1902715125989</v>
      </c>
      <c r="D29" s="13">
        <f t="shared" si="2"/>
        <v>3634.2776583823493</v>
      </c>
      <c r="E29" s="3"/>
      <c r="F29" s="6" t="s">
        <v>52</v>
      </c>
      <c r="G29" s="7">
        <f>$C$8*G10</f>
        <v>151.96128103968979</v>
      </c>
      <c r="H29" s="7">
        <f>$C$8*H10</f>
        <v>4558.838431190693</v>
      </c>
      <c r="I29" s="7">
        <f t="shared" si="6"/>
        <v>2355.3998561151916</v>
      </c>
      <c r="J29" s="3"/>
      <c r="K29" s="3" t="s">
        <v>32</v>
      </c>
      <c r="L29" s="19">
        <f t="shared" si="5"/>
        <v>14828.122599830465</v>
      </c>
      <c r="M29" s="99">
        <v>0</v>
      </c>
      <c r="N29" s="3">
        <f t="shared" si="3"/>
        <v>0</v>
      </c>
      <c r="O29" s="3">
        <f t="shared" si="4"/>
        <v>0</v>
      </c>
      <c r="P29" s="3"/>
      <c r="Q29" s="3"/>
      <c r="R29" s="3"/>
      <c r="S29" s="3"/>
      <c r="T29" s="3"/>
      <c r="U29" s="3"/>
      <c r="V29" s="3"/>
      <c r="W29" s="3"/>
      <c r="X29" s="3"/>
    </row>
    <row r="30" spans="1:24" x14ac:dyDescent="0.25">
      <c r="A30" s="6" t="s">
        <v>49</v>
      </c>
      <c r="B30" s="7">
        <f>$C$6*G8</f>
        <v>1038.3650452520999</v>
      </c>
      <c r="C30" s="7">
        <f>$C$6*H8</f>
        <v>6230.1902715125989</v>
      </c>
      <c r="D30" s="13">
        <f t="shared" si="2"/>
        <v>3634.2776583823493</v>
      </c>
      <c r="E30" s="3"/>
      <c r="F30" s="6" t="s">
        <v>49</v>
      </c>
      <c r="G30" s="7">
        <f>$C$8*G8</f>
        <v>759.80640519844894</v>
      </c>
      <c r="H30" s="7">
        <f>$C$8*H8</f>
        <v>4558.838431190693</v>
      </c>
      <c r="I30" s="7">
        <f t="shared" si="6"/>
        <v>2659.3224181945711</v>
      </c>
      <c r="J30" s="3"/>
      <c r="K30" s="3" t="s">
        <v>33</v>
      </c>
      <c r="L30" s="19">
        <f t="shared" si="5"/>
        <v>25479.79737743947</v>
      </c>
      <c r="M30" s="99">
        <v>0</v>
      </c>
      <c r="N30" s="3">
        <f t="shared" si="3"/>
        <v>0</v>
      </c>
      <c r="O30" s="3">
        <f t="shared" si="4"/>
        <v>0</v>
      </c>
      <c r="P30" s="3"/>
      <c r="Q30" s="3"/>
      <c r="R30" s="3"/>
      <c r="S30" s="3"/>
      <c r="T30" s="3"/>
      <c r="U30" s="3"/>
      <c r="V30" s="3"/>
      <c r="W30" s="3"/>
      <c r="X30" s="3"/>
    </row>
    <row r="31" spans="1:24" x14ac:dyDescent="0.25">
      <c r="A31" s="6" t="s">
        <v>11</v>
      </c>
      <c r="B31" s="7">
        <f>$C$6*G16</f>
        <v>519.18252262604994</v>
      </c>
      <c r="C31" s="7">
        <f>$C$6*H16</f>
        <v>10383.650452520998</v>
      </c>
      <c r="D31" s="13">
        <f t="shared" si="2"/>
        <v>5451.4164875735241</v>
      </c>
      <c r="E31" s="3"/>
      <c r="F31" s="6" t="s">
        <v>10</v>
      </c>
      <c r="G31" s="7">
        <f>$C$8*G7</f>
        <v>1063.7289672778286</v>
      </c>
      <c r="H31" s="7">
        <f>$C$8*H7</f>
        <v>37990.320259922446</v>
      </c>
      <c r="I31" s="7">
        <f t="shared" si="6"/>
        <v>19527.024613600137</v>
      </c>
      <c r="J31" s="3"/>
      <c r="K31" s="3" t="s">
        <v>216</v>
      </c>
      <c r="L31" s="19">
        <f t="shared" si="5"/>
        <v>1185277.7526033076</v>
      </c>
      <c r="M31" s="99">
        <v>-1.03</v>
      </c>
      <c r="N31" s="3">
        <f t="shared" si="3"/>
        <v>-1220836.0851814069</v>
      </c>
      <c r="O31" s="3">
        <f t="shared" si="4"/>
        <v>-1345739.8250563166</v>
      </c>
      <c r="P31" s="3"/>
      <c r="Q31" s="3"/>
      <c r="R31" s="3"/>
      <c r="S31" s="3"/>
      <c r="T31" s="3"/>
      <c r="U31" s="3"/>
      <c r="V31" s="3"/>
      <c r="W31" s="3"/>
      <c r="X31" s="3"/>
    </row>
    <row r="32" spans="1:24" x14ac:dyDescent="0.25">
      <c r="A32" s="6" t="s">
        <v>10</v>
      </c>
      <c r="B32" s="7">
        <f>$C$6*G7</f>
        <v>1453.7110633529398</v>
      </c>
      <c r="C32" s="7">
        <f>$C$6*H7</f>
        <v>51918.25226260499</v>
      </c>
      <c r="D32" s="13">
        <f t="shared" si="2"/>
        <v>26685.981662978964</v>
      </c>
      <c r="E32" s="3"/>
      <c r="F32" s="6" t="s">
        <v>53</v>
      </c>
      <c r="G32" s="7">
        <f>$C$8*G8</f>
        <v>759.80640519844894</v>
      </c>
      <c r="H32" s="7">
        <f>$C$8*H8</f>
        <v>4558.838431190693</v>
      </c>
      <c r="I32" s="7">
        <f t="shared" si="6"/>
        <v>2659.3224181945711</v>
      </c>
      <c r="J32" s="3"/>
      <c r="K32" s="3"/>
      <c r="L32" s="3"/>
      <c r="M32" s="3"/>
      <c r="N32" s="2" t="s">
        <v>144</v>
      </c>
      <c r="O32" s="101">
        <f>SUM(O24:O31)</f>
        <v>-1939365.3543368173</v>
      </c>
      <c r="P32" s="3"/>
      <c r="Q32" s="3"/>
      <c r="R32" s="3"/>
      <c r="S32" s="3"/>
      <c r="T32" s="3"/>
      <c r="U32" s="3"/>
      <c r="V32" s="3"/>
      <c r="W32" s="3"/>
      <c r="X32" s="3"/>
    </row>
    <row r="33" spans="1:24" x14ac:dyDescent="0.25">
      <c r="A33" s="6" t="s">
        <v>53</v>
      </c>
      <c r="B33" s="7">
        <f>$C$6*G7</f>
        <v>1453.7110633529398</v>
      </c>
      <c r="C33" s="7">
        <f>$C$6*H7</f>
        <v>51918.25226260499</v>
      </c>
      <c r="D33" s="13">
        <f t="shared" si="2"/>
        <v>26685.981662978964</v>
      </c>
      <c r="E33" s="3"/>
      <c r="F33" s="6" t="s">
        <v>11</v>
      </c>
      <c r="G33" s="7">
        <f>$C$8*G16</f>
        <v>379.90320259922447</v>
      </c>
      <c r="H33" s="7">
        <f>$C$8*H16</f>
        <v>7598.0640519844892</v>
      </c>
      <c r="I33" s="7">
        <f t="shared" si="6"/>
        <v>3988.9836272918569</v>
      </c>
      <c r="J33" s="3"/>
      <c r="K33" s="3"/>
      <c r="L33" s="3"/>
      <c r="M33" s="3"/>
      <c r="N33" s="3"/>
      <c r="O33" s="3"/>
      <c r="P33" s="3"/>
      <c r="Q33" s="3"/>
      <c r="R33" s="3"/>
      <c r="S33" s="3"/>
      <c r="T33" s="3"/>
      <c r="U33" s="3"/>
      <c r="V33" s="3"/>
      <c r="W33" s="3"/>
      <c r="X33" s="3"/>
    </row>
    <row r="34" spans="1:24" x14ac:dyDescent="0.25">
      <c r="A34" s="6" t="s">
        <v>46</v>
      </c>
      <c r="B34" s="7">
        <f>$C$6*G17</f>
        <v>2.0767300905041997</v>
      </c>
      <c r="C34" s="7">
        <f>$C$6*H17</f>
        <v>5191.8252262604992</v>
      </c>
      <c r="D34" s="13">
        <f t="shared" si="2"/>
        <v>2596.9509781755019</v>
      </c>
      <c r="E34" s="3"/>
      <c r="F34" s="6" t="s">
        <v>46</v>
      </c>
      <c r="G34" s="7">
        <f>$C$8*G17</f>
        <v>1.519612810396898</v>
      </c>
      <c r="H34" s="7">
        <f>$C$8*H17</f>
        <v>3799.0320259922446</v>
      </c>
      <c r="I34" s="7">
        <f t="shared" si="6"/>
        <v>1900.2758194013209</v>
      </c>
      <c r="J34" s="3"/>
      <c r="K34" s="3"/>
      <c r="L34" s="3"/>
      <c r="M34" s="3"/>
      <c r="N34" s="3"/>
      <c r="O34" s="3"/>
      <c r="P34" s="3"/>
      <c r="Q34" s="3"/>
      <c r="R34" s="3"/>
      <c r="S34" s="3"/>
      <c r="T34" s="3"/>
      <c r="U34" s="3"/>
      <c r="V34" s="3"/>
      <c r="W34" s="3"/>
      <c r="X34" s="3"/>
    </row>
    <row r="35" spans="1:24" x14ac:dyDescent="0.25">
      <c r="A35" s="3"/>
      <c r="B35" s="3"/>
      <c r="C35" s="3"/>
      <c r="D35" s="22"/>
      <c r="E35" s="3"/>
      <c r="F35" s="3"/>
      <c r="G35" s="3"/>
      <c r="H35" s="3"/>
      <c r="I35" s="3"/>
      <c r="J35" s="3"/>
      <c r="K35" s="3"/>
      <c r="L35" s="3"/>
      <c r="M35" s="3"/>
      <c r="N35" s="3"/>
      <c r="O35" s="3"/>
      <c r="P35" s="3"/>
      <c r="Q35" s="3"/>
      <c r="R35" s="3"/>
      <c r="S35" s="3"/>
      <c r="T35" s="3"/>
      <c r="U35" s="3"/>
      <c r="V35" s="3"/>
      <c r="W35" s="3"/>
      <c r="X35" s="3"/>
    </row>
    <row r="36" spans="1:24" ht="18.75" x14ac:dyDescent="0.25">
      <c r="A36" s="323" t="s">
        <v>3</v>
      </c>
      <c r="B36" s="323"/>
      <c r="C36" s="323"/>
      <c r="D36" s="323"/>
      <c r="E36" s="3"/>
      <c r="F36" s="323" t="s">
        <v>5</v>
      </c>
      <c r="G36" s="323"/>
      <c r="H36" s="323"/>
      <c r="I36" s="323"/>
      <c r="J36" s="3"/>
      <c r="K36" s="3"/>
      <c r="L36" s="3"/>
      <c r="M36" s="3"/>
      <c r="N36" s="3"/>
      <c r="O36" s="3"/>
      <c r="P36" s="3"/>
      <c r="Q36" s="3"/>
      <c r="R36" s="3"/>
      <c r="S36" s="3"/>
      <c r="T36" s="3"/>
      <c r="U36" s="3"/>
      <c r="V36" s="3"/>
      <c r="W36" s="3"/>
      <c r="X36" s="3"/>
    </row>
    <row r="37" spans="1:24" x14ac:dyDescent="0.25">
      <c r="A37" s="11" t="s">
        <v>35</v>
      </c>
      <c r="B37" s="322" t="s">
        <v>59</v>
      </c>
      <c r="C37" s="322"/>
      <c r="D37" s="322"/>
      <c r="E37" s="3"/>
      <c r="F37" s="11" t="s">
        <v>35</v>
      </c>
      <c r="G37" s="322" t="s">
        <v>61</v>
      </c>
      <c r="H37" s="322"/>
      <c r="I37" s="322"/>
      <c r="J37" s="3"/>
      <c r="K37" s="3"/>
      <c r="L37" s="3"/>
      <c r="M37" s="3"/>
      <c r="N37" s="3"/>
      <c r="O37" s="3"/>
      <c r="P37" s="3"/>
      <c r="Q37" s="3"/>
      <c r="R37" s="3"/>
      <c r="S37" s="3"/>
      <c r="T37" s="3"/>
      <c r="U37" s="3"/>
      <c r="V37" s="3"/>
      <c r="W37" s="3"/>
      <c r="X37" s="3"/>
    </row>
    <row r="38" spans="1:24" x14ac:dyDescent="0.25">
      <c r="A38" s="8"/>
      <c r="B38" s="9" t="s">
        <v>37</v>
      </c>
      <c r="C38" s="9" t="s">
        <v>38</v>
      </c>
      <c r="D38" s="13" t="s">
        <v>66</v>
      </c>
      <c r="E38" s="3"/>
      <c r="F38" s="8"/>
      <c r="G38" s="9" t="s">
        <v>37</v>
      </c>
      <c r="H38" s="9" t="s">
        <v>38</v>
      </c>
      <c r="I38" s="9" t="s">
        <v>66</v>
      </c>
      <c r="J38" s="3"/>
      <c r="K38" s="3"/>
      <c r="L38" s="3"/>
      <c r="M38" s="3"/>
      <c r="N38" s="3"/>
      <c r="O38" s="3"/>
      <c r="P38" s="3"/>
      <c r="Q38" s="3"/>
      <c r="R38" s="3"/>
      <c r="S38" s="3"/>
      <c r="T38" s="3"/>
      <c r="U38" s="3"/>
      <c r="V38" s="3"/>
      <c r="W38" s="3"/>
      <c r="X38" s="3"/>
    </row>
    <row r="39" spans="1:24" x14ac:dyDescent="0.25">
      <c r="A39" s="12" t="s">
        <v>47</v>
      </c>
      <c r="B39" s="9">
        <f>$C$7-SUM(B40:B46)</f>
        <v>28707.980170681298</v>
      </c>
      <c r="C39" s="9">
        <f>$C$7-SUM(C40:C46)</f>
        <v>3404.1467638499998</v>
      </c>
      <c r="D39" s="13">
        <f t="shared" si="2"/>
        <v>16056.063467265649</v>
      </c>
      <c r="E39" s="3"/>
      <c r="F39" s="12" t="s">
        <v>47</v>
      </c>
      <c r="G39" s="9">
        <f>$C$9-SUM(G40:G46)</f>
        <v>0</v>
      </c>
      <c r="H39" s="14">
        <f>$C$9-SUM(H40:H46)</f>
        <v>0</v>
      </c>
      <c r="I39" s="7">
        <f t="shared" si="6"/>
        <v>0</v>
      </c>
      <c r="J39" s="3"/>
      <c r="K39" s="3"/>
      <c r="L39" s="3"/>
      <c r="M39" s="3"/>
      <c r="N39" s="3"/>
      <c r="O39" s="3"/>
      <c r="P39" s="3"/>
      <c r="Q39" s="3"/>
      <c r="R39" s="3"/>
      <c r="S39" s="3"/>
      <c r="T39" s="3"/>
      <c r="U39" s="3"/>
      <c r="V39" s="3"/>
      <c r="W39" s="3"/>
      <c r="X39" s="3"/>
    </row>
    <row r="40" spans="1:24" x14ac:dyDescent="0.25">
      <c r="A40" s="12" t="s">
        <v>9</v>
      </c>
      <c r="B40" s="7">
        <f>$C$7*G6</f>
        <v>3242.0445369999998</v>
      </c>
      <c r="C40" s="7">
        <f>$C$7*H6</f>
        <v>22694.311758999997</v>
      </c>
      <c r="D40" s="13">
        <f t="shared" si="2"/>
        <v>12968.178147999999</v>
      </c>
      <c r="E40" s="3"/>
      <c r="F40" s="12" t="s">
        <v>9</v>
      </c>
      <c r="G40" s="7">
        <f>$C$9*G6</f>
        <v>0</v>
      </c>
      <c r="H40" s="7">
        <f>$C$9*H6</f>
        <v>0</v>
      </c>
      <c r="I40" s="7">
        <f t="shared" si="6"/>
        <v>0</v>
      </c>
      <c r="J40" s="3"/>
      <c r="K40" s="3"/>
      <c r="L40" s="3"/>
      <c r="M40" s="3"/>
      <c r="N40" s="3"/>
      <c r="O40" s="3"/>
      <c r="P40" s="3"/>
      <c r="Q40" s="3"/>
      <c r="R40" s="3"/>
      <c r="S40" s="3"/>
      <c r="T40" s="3"/>
      <c r="U40" s="3"/>
      <c r="V40" s="3"/>
      <c r="W40" s="3"/>
      <c r="X40" s="3"/>
    </row>
    <row r="41" spans="1:24" x14ac:dyDescent="0.25">
      <c r="A41" s="6" t="s">
        <v>40</v>
      </c>
      <c r="B41" s="7">
        <f>$C$7*G9</f>
        <v>162.10222684999999</v>
      </c>
      <c r="C41" s="7">
        <f>$C$7*H9</f>
        <v>972.61336109999991</v>
      </c>
      <c r="D41" s="13">
        <f t="shared" si="2"/>
        <v>567.35779397499994</v>
      </c>
      <c r="E41" s="3"/>
      <c r="F41" s="6" t="s">
        <v>53</v>
      </c>
      <c r="G41" s="7">
        <f>$C$9*G8</f>
        <v>0</v>
      </c>
      <c r="H41" s="7">
        <f>$C$9*H8</f>
        <v>0</v>
      </c>
      <c r="I41" s="7">
        <f t="shared" si="6"/>
        <v>0</v>
      </c>
      <c r="J41" s="3"/>
      <c r="K41" s="3"/>
      <c r="L41" s="3"/>
      <c r="M41" s="3"/>
      <c r="N41" s="3"/>
      <c r="O41" s="3"/>
      <c r="P41" s="3"/>
      <c r="Q41" s="3"/>
      <c r="R41" s="3"/>
      <c r="S41" s="3"/>
      <c r="T41" s="3"/>
      <c r="U41" s="3"/>
      <c r="V41" s="3"/>
      <c r="W41" s="3"/>
      <c r="X41" s="3"/>
    </row>
    <row r="42" spans="1:24" x14ac:dyDescent="0.25">
      <c r="A42" s="6" t="s">
        <v>52</v>
      </c>
      <c r="B42" s="7">
        <f>$C$7*G10</f>
        <v>32.420445369999996</v>
      </c>
      <c r="C42" s="7">
        <f>$C$7*H10</f>
        <v>972.61336109999991</v>
      </c>
      <c r="D42" s="13">
        <f t="shared" si="2"/>
        <v>502.51690323499997</v>
      </c>
      <c r="E42" s="3"/>
      <c r="F42" s="6" t="s">
        <v>14</v>
      </c>
      <c r="G42" s="7">
        <f>$C$9*G20</f>
        <v>0</v>
      </c>
      <c r="H42" s="7">
        <f>$C$9*H20</f>
        <v>0</v>
      </c>
      <c r="I42" s="7">
        <f t="shared" si="6"/>
        <v>0</v>
      </c>
      <c r="J42" s="3"/>
      <c r="K42" s="3"/>
      <c r="L42" s="3"/>
      <c r="M42" s="3"/>
      <c r="N42" s="3"/>
      <c r="O42" s="3"/>
      <c r="P42" s="3"/>
      <c r="Q42" s="3"/>
      <c r="R42" s="3"/>
      <c r="S42" s="3"/>
      <c r="T42" s="3"/>
      <c r="U42" s="3"/>
      <c r="V42" s="3"/>
      <c r="W42" s="3"/>
      <c r="X42" s="3"/>
    </row>
    <row r="43" spans="1:24" x14ac:dyDescent="0.25">
      <c r="A43" s="6" t="s">
        <v>53</v>
      </c>
      <c r="B43" s="7">
        <f>$C$7*G8</f>
        <v>162.10222684999999</v>
      </c>
      <c r="C43" s="7">
        <f>$C$7*H8</f>
        <v>972.61336109999991</v>
      </c>
      <c r="D43" s="13">
        <f t="shared" si="2"/>
        <v>567.35779397499994</v>
      </c>
      <c r="E43" s="3"/>
      <c r="F43" s="6" t="s">
        <v>54</v>
      </c>
      <c r="G43" s="7">
        <f>$C$9*G21</f>
        <v>0</v>
      </c>
      <c r="H43" s="7">
        <f>$C$9*H21</f>
        <v>0</v>
      </c>
      <c r="I43" s="7">
        <f t="shared" si="6"/>
        <v>0</v>
      </c>
      <c r="J43" s="3"/>
      <c r="K43" s="3"/>
      <c r="L43" s="3"/>
      <c r="M43" s="3"/>
      <c r="N43" s="3"/>
      <c r="O43" s="3"/>
      <c r="P43" s="3"/>
      <c r="Q43" s="3"/>
      <c r="R43" s="3"/>
      <c r="S43" s="3"/>
      <c r="T43" s="3"/>
      <c r="U43" s="3"/>
      <c r="V43" s="3"/>
      <c r="W43" s="3"/>
      <c r="X43" s="3"/>
    </row>
    <row r="44" spans="1:24" x14ac:dyDescent="0.25">
      <c r="A44" s="6" t="s">
        <v>41</v>
      </c>
      <c r="B44" s="7">
        <f>$C$7*G11</f>
        <v>32.420445369999996</v>
      </c>
      <c r="C44" s="7">
        <f>$C$7*H11</f>
        <v>972.61336109999991</v>
      </c>
      <c r="D44" s="13">
        <f t="shared" si="2"/>
        <v>502.51690323499997</v>
      </c>
      <c r="E44" s="3"/>
      <c r="F44" s="6" t="s">
        <v>13</v>
      </c>
      <c r="G44" s="7">
        <f>$C$9*G15</f>
        <v>0</v>
      </c>
      <c r="H44" s="7">
        <f>$C$9*H15</f>
        <v>0</v>
      </c>
      <c r="I44" s="7">
        <f t="shared" si="6"/>
        <v>0</v>
      </c>
      <c r="J44" s="3"/>
      <c r="K44" s="3"/>
      <c r="L44" s="3"/>
      <c r="M44" s="3"/>
      <c r="N44" s="3"/>
      <c r="O44" s="3"/>
      <c r="P44" s="3"/>
      <c r="Q44" s="3"/>
      <c r="R44" s="3"/>
      <c r="S44" s="3"/>
      <c r="T44" s="3"/>
      <c r="U44" s="3"/>
      <c r="V44" s="3"/>
      <c r="W44" s="3"/>
      <c r="X44" s="3"/>
    </row>
    <row r="45" spans="1:24" x14ac:dyDescent="0.25">
      <c r="A45" s="6" t="s">
        <v>11</v>
      </c>
      <c r="B45" s="7">
        <f>$C$7*G16</f>
        <v>81.051113424999997</v>
      </c>
      <c r="C45" s="7">
        <f>$C$7*H16</f>
        <v>1621.0222684999999</v>
      </c>
      <c r="D45" s="13">
        <f t="shared" si="2"/>
        <v>851.03669096249996</v>
      </c>
      <c r="E45" s="3"/>
      <c r="F45" s="6" t="s">
        <v>40</v>
      </c>
      <c r="G45" s="7">
        <f>$C$9*G9</f>
        <v>0</v>
      </c>
      <c r="H45" s="7">
        <f>$C$9*H9</f>
        <v>0</v>
      </c>
      <c r="I45" s="7">
        <f t="shared" si="6"/>
        <v>0</v>
      </c>
      <c r="J45" s="3"/>
      <c r="K45" s="3"/>
      <c r="L45" s="3"/>
      <c r="M45" s="3"/>
      <c r="N45" s="3"/>
      <c r="O45" s="3"/>
      <c r="P45" s="3"/>
      <c r="Q45" s="3"/>
      <c r="R45" s="3"/>
      <c r="S45" s="3"/>
      <c r="T45" s="3"/>
      <c r="U45" s="3"/>
      <c r="V45" s="3"/>
      <c r="W45" s="3"/>
      <c r="X45" s="3"/>
    </row>
    <row r="46" spans="1:24" x14ac:dyDescent="0.25">
      <c r="A46" s="6" t="s">
        <v>46</v>
      </c>
      <c r="B46" s="7">
        <f>$C$7*G17</f>
        <v>0.32420445370000001</v>
      </c>
      <c r="C46" s="7">
        <f>$C$7*H17</f>
        <v>810.51113424999994</v>
      </c>
      <c r="D46" s="13">
        <f t="shared" si="2"/>
        <v>405.41766935184995</v>
      </c>
      <c r="E46" s="3"/>
      <c r="F46" s="6" t="s">
        <v>11</v>
      </c>
      <c r="G46" s="7">
        <f>$C$9*G16</f>
        <v>0</v>
      </c>
      <c r="H46" s="7">
        <f>$C$9*H16</f>
        <v>0</v>
      </c>
      <c r="I46" s="7">
        <f t="shared" si="6"/>
        <v>0</v>
      </c>
      <c r="J46" s="3"/>
      <c r="K46" s="3"/>
      <c r="L46" s="3"/>
      <c r="M46" s="3"/>
      <c r="N46" s="3"/>
      <c r="O46" s="3"/>
      <c r="P46" s="3"/>
      <c r="Q46" s="3"/>
      <c r="R46" s="3"/>
      <c r="S46" s="3"/>
      <c r="T46" s="3"/>
      <c r="U46" s="3"/>
      <c r="V46" s="3"/>
      <c r="W46" s="3"/>
      <c r="X46" s="3"/>
    </row>
    <row r="47" spans="1:24" x14ac:dyDescent="0.25">
      <c r="A47" s="3"/>
      <c r="B47" s="3"/>
      <c r="C47" s="3"/>
      <c r="D47" s="22"/>
      <c r="E47" s="3"/>
      <c r="F47" s="3"/>
      <c r="G47" s="3"/>
      <c r="H47" s="3"/>
      <c r="I47" s="3"/>
      <c r="J47" s="3"/>
      <c r="K47" s="3"/>
      <c r="L47" s="3"/>
      <c r="M47" s="3"/>
      <c r="N47" s="3"/>
      <c r="O47" s="3"/>
      <c r="P47" s="3"/>
      <c r="Q47" s="3"/>
      <c r="R47" s="3"/>
      <c r="S47" s="3"/>
      <c r="T47" s="3"/>
      <c r="U47" s="3"/>
      <c r="V47" s="3"/>
      <c r="W47" s="3"/>
      <c r="X47" s="3"/>
    </row>
    <row r="48" spans="1:24" ht="18.75" x14ac:dyDescent="0.25">
      <c r="A48" s="323" t="s">
        <v>6</v>
      </c>
      <c r="B48" s="323"/>
      <c r="C48" s="323"/>
      <c r="D48" s="323"/>
      <c r="E48" s="3"/>
      <c r="F48" s="4" t="s">
        <v>55</v>
      </c>
      <c r="G48" s="3"/>
      <c r="H48" s="3"/>
      <c r="I48" s="3"/>
      <c r="J48" s="3"/>
      <c r="K48" s="3"/>
      <c r="L48" s="3"/>
      <c r="M48" s="3"/>
      <c r="N48" s="3"/>
      <c r="O48" s="3"/>
      <c r="P48" s="3"/>
      <c r="Q48" s="3"/>
      <c r="R48" s="3"/>
      <c r="S48" s="3"/>
      <c r="T48" s="3"/>
      <c r="U48" s="3"/>
      <c r="V48" s="3"/>
      <c r="W48" s="3"/>
      <c r="X48" s="3"/>
    </row>
    <row r="49" spans="1:24" ht="18.75" x14ac:dyDescent="0.25">
      <c r="A49" s="11" t="s">
        <v>35</v>
      </c>
      <c r="B49" s="322" t="s">
        <v>62</v>
      </c>
      <c r="C49" s="322"/>
      <c r="D49" s="322"/>
      <c r="E49" s="3"/>
      <c r="F49" s="323" t="s">
        <v>34</v>
      </c>
      <c r="G49" s="323"/>
      <c r="H49" s="323"/>
      <c r="I49" s="323"/>
      <c r="J49" s="3"/>
      <c r="K49" s="3"/>
      <c r="L49" s="3"/>
      <c r="M49" s="3"/>
      <c r="N49" s="3"/>
      <c r="O49" s="3"/>
      <c r="P49" s="3"/>
      <c r="Q49" s="3"/>
      <c r="R49" s="3"/>
      <c r="S49" s="3"/>
      <c r="T49" s="3"/>
      <c r="U49" s="3"/>
      <c r="V49" s="3"/>
      <c r="W49" s="3"/>
      <c r="X49" s="3"/>
    </row>
    <row r="50" spans="1:24" x14ac:dyDescent="0.25">
      <c r="A50" s="8"/>
      <c r="B50" s="9" t="s">
        <v>37</v>
      </c>
      <c r="C50" s="9" t="s">
        <v>38</v>
      </c>
      <c r="D50" s="13" t="s">
        <v>66</v>
      </c>
      <c r="E50" s="3"/>
      <c r="F50" s="11" t="s">
        <v>35</v>
      </c>
      <c r="G50" s="322" t="s">
        <v>64</v>
      </c>
      <c r="H50" s="322"/>
      <c r="I50" s="322"/>
      <c r="J50" s="3"/>
      <c r="K50" s="3"/>
      <c r="L50" s="3"/>
      <c r="M50" s="3"/>
      <c r="N50" s="3"/>
      <c r="O50" s="3"/>
      <c r="P50" s="3"/>
      <c r="Q50" s="3"/>
      <c r="R50" s="3"/>
      <c r="S50" s="3"/>
      <c r="T50" s="3"/>
      <c r="U50" s="3"/>
      <c r="V50" s="3"/>
      <c r="W50" s="3"/>
      <c r="X50" s="3"/>
    </row>
    <row r="51" spans="1:24" x14ac:dyDescent="0.25">
      <c r="A51" s="12" t="s">
        <v>47</v>
      </c>
      <c r="B51" s="9">
        <f>$C$10-SUM(B52:B57)</f>
        <v>14558.843893417545</v>
      </c>
      <c r="C51" s="9">
        <f>$C$10-SUM(C52:C57)</f>
        <v>9412.8922263723798</v>
      </c>
      <c r="D51" s="13">
        <f t="shared" si="2"/>
        <v>11985.868059894961</v>
      </c>
      <c r="E51" s="3"/>
      <c r="F51" s="8"/>
      <c r="G51" s="9" t="s">
        <v>37</v>
      </c>
      <c r="H51" s="9" t="s">
        <v>38</v>
      </c>
      <c r="I51" s="9" t="s">
        <v>66</v>
      </c>
      <c r="J51" s="3"/>
      <c r="K51" s="3"/>
      <c r="L51" s="3"/>
      <c r="M51" s="3"/>
      <c r="N51" s="3"/>
      <c r="O51" s="3"/>
      <c r="P51" s="3"/>
      <c r="Q51" s="3"/>
      <c r="R51" s="3"/>
      <c r="S51" s="3"/>
      <c r="T51" s="3"/>
      <c r="U51" s="3"/>
      <c r="V51" s="3"/>
      <c r="W51" s="3"/>
      <c r="X51" s="3"/>
    </row>
    <row r="52" spans="1:24" x14ac:dyDescent="0.25">
      <c r="A52" s="6" t="s">
        <v>40</v>
      </c>
      <c r="B52" s="7">
        <f>$C$10*G9</f>
        <v>74.140612999152324</v>
      </c>
      <c r="C52" s="7">
        <f>$C$10*H9</f>
        <v>444.84367799491395</v>
      </c>
      <c r="D52" s="13">
        <f t="shared" si="2"/>
        <v>259.49214549703311</v>
      </c>
      <c r="E52" s="3"/>
      <c r="F52" s="12" t="s">
        <v>47</v>
      </c>
      <c r="G52" s="9">
        <f>$C$12-SUM(G53:G69)</f>
        <v>848919.63196954096</v>
      </c>
      <c r="H52" s="14">
        <f>$C$12-SUM(H53:H69)</f>
        <v>-1564803.6889868875</v>
      </c>
      <c r="I52" s="7">
        <f>(G52+H52)/2</f>
        <v>-357942.02850867325</v>
      </c>
      <c r="J52" s="3"/>
      <c r="K52" s="3"/>
      <c r="L52" s="3"/>
      <c r="M52" s="3"/>
      <c r="N52" s="3"/>
      <c r="O52" s="3"/>
      <c r="P52" s="3"/>
      <c r="Q52" s="3"/>
      <c r="R52" s="3"/>
      <c r="S52" s="3"/>
      <c r="T52" s="3"/>
      <c r="U52" s="3"/>
      <c r="V52" s="3"/>
      <c r="W52" s="3"/>
      <c r="X52" s="3"/>
    </row>
    <row r="53" spans="1:24" x14ac:dyDescent="0.25">
      <c r="A53" s="6" t="s">
        <v>52</v>
      </c>
      <c r="B53" s="7">
        <f>$C$10*G10</f>
        <v>14.828122599830465</v>
      </c>
      <c r="C53" s="7">
        <f>$C$10*H10</f>
        <v>444.84367799491395</v>
      </c>
      <c r="D53" s="13">
        <f t="shared" si="2"/>
        <v>229.83590029737221</v>
      </c>
      <c r="E53" s="3"/>
      <c r="F53" s="12" t="s">
        <v>9</v>
      </c>
      <c r="G53" s="7">
        <f>$C$12*G6</f>
        <v>118527.77526033076</v>
      </c>
      <c r="H53" s="7">
        <f>$C$12*H6</f>
        <v>829694.42682231532</v>
      </c>
      <c r="I53" s="7">
        <f t="shared" si="6"/>
        <v>474111.10104132304</v>
      </c>
      <c r="J53" s="3"/>
      <c r="K53" s="3"/>
      <c r="L53" s="3"/>
      <c r="M53" s="3"/>
      <c r="N53" s="3"/>
      <c r="O53" s="3"/>
      <c r="P53" s="3"/>
      <c r="Q53" s="3"/>
      <c r="R53" s="3"/>
      <c r="S53" s="3"/>
      <c r="T53" s="3"/>
      <c r="U53" s="3"/>
      <c r="V53" s="3"/>
      <c r="W53" s="3"/>
      <c r="X53" s="3"/>
    </row>
    <row r="54" spans="1:24" x14ac:dyDescent="0.25">
      <c r="A54" s="6" t="s">
        <v>49</v>
      </c>
      <c r="B54" s="7">
        <f>$C$10*G8</f>
        <v>74.140612999152324</v>
      </c>
      <c r="C54" s="7">
        <f>$C$10*H8</f>
        <v>444.84367799491395</v>
      </c>
      <c r="D54" s="13">
        <f t="shared" si="2"/>
        <v>259.49214549703311</v>
      </c>
      <c r="E54" s="3"/>
      <c r="F54" s="12" t="s">
        <v>40</v>
      </c>
      <c r="G54" s="7">
        <f>$C$12*G9</f>
        <v>5926.3887630165382</v>
      </c>
      <c r="H54" s="7">
        <f>$C$12*H9</f>
        <v>35558.332578099224</v>
      </c>
      <c r="I54" s="7">
        <f t="shared" si="6"/>
        <v>20742.360670557882</v>
      </c>
      <c r="J54" s="3"/>
      <c r="K54" s="3"/>
      <c r="L54" s="3"/>
      <c r="M54" s="3"/>
      <c r="N54" s="3"/>
      <c r="O54" s="3"/>
      <c r="P54" s="3"/>
      <c r="Q54" s="3"/>
      <c r="R54" s="3"/>
      <c r="S54" s="3"/>
      <c r="T54" s="3"/>
      <c r="U54" s="3"/>
      <c r="V54" s="3"/>
      <c r="W54" s="3"/>
      <c r="X54" s="3"/>
    </row>
    <row r="55" spans="1:24" x14ac:dyDescent="0.25">
      <c r="A55" s="6" t="s">
        <v>10</v>
      </c>
      <c r="B55" s="7">
        <f>$C$10*G7</f>
        <v>103.79685819881325</v>
      </c>
      <c r="C55" s="7">
        <f>$C$10*H7</f>
        <v>3707.0306499576163</v>
      </c>
      <c r="D55" s="13">
        <f t="shared" si="2"/>
        <v>1905.4137540782149</v>
      </c>
      <c r="E55" s="3"/>
      <c r="F55" s="12" t="s">
        <v>49</v>
      </c>
      <c r="G55" s="7">
        <f>$C$12*G8</f>
        <v>5926.3887630165382</v>
      </c>
      <c r="H55" s="7">
        <f>$C$12*H8</f>
        <v>35558.332578099224</v>
      </c>
      <c r="I55" s="7">
        <f t="shared" si="6"/>
        <v>20742.360670557882</v>
      </c>
      <c r="J55" s="3"/>
      <c r="K55" s="3"/>
      <c r="L55" s="3"/>
      <c r="M55" s="3"/>
      <c r="N55" s="3"/>
      <c r="O55" s="3"/>
      <c r="P55" s="3"/>
      <c r="Q55" s="3"/>
      <c r="R55" s="3"/>
      <c r="S55" s="3"/>
      <c r="T55" s="3"/>
      <c r="U55" s="3"/>
      <c r="V55" s="3"/>
      <c r="W55" s="3"/>
      <c r="X55" s="3"/>
    </row>
    <row r="56" spans="1:24" x14ac:dyDescent="0.25">
      <c r="A56" s="6" t="s">
        <v>48</v>
      </c>
      <c r="B56" s="7">
        <f>$C$10*G18</f>
        <v>2.2242183899745696</v>
      </c>
      <c r="C56" s="7">
        <f>$C$10*H18</f>
        <v>2.9656245199660933</v>
      </c>
      <c r="D56" s="13">
        <f t="shared" si="2"/>
        <v>2.5949214549703314</v>
      </c>
      <c r="E56" s="3"/>
      <c r="F56" s="12" t="s">
        <v>11</v>
      </c>
      <c r="G56" s="7">
        <f>$C$12*G16</f>
        <v>2963.1943815082691</v>
      </c>
      <c r="H56" s="7">
        <f>$C$12*H16</f>
        <v>59263.88763016538</v>
      </c>
      <c r="I56" s="7">
        <f t="shared" si="6"/>
        <v>31113.541005836825</v>
      </c>
      <c r="J56" s="3"/>
      <c r="K56" s="3"/>
      <c r="L56" s="3"/>
      <c r="M56" s="3"/>
      <c r="N56" s="3"/>
      <c r="O56" s="3"/>
      <c r="P56" s="3"/>
      <c r="Q56" s="3"/>
      <c r="R56" s="3"/>
      <c r="S56" s="3"/>
      <c r="T56" s="3"/>
      <c r="U56" s="3"/>
      <c r="V56" s="3"/>
      <c r="W56" s="3"/>
      <c r="X56" s="3"/>
    </row>
    <row r="57" spans="1:24" x14ac:dyDescent="0.25">
      <c r="A57" s="6" t="s">
        <v>46</v>
      </c>
      <c r="B57" s="7">
        <f>$C$10*G17</f>
        <v>0.14828122599830468</v>
      </c>
      <c r="C57" s="7">
        <f>$C$10*H17</f>
        <v>370.70306499576168</v>
      </c>
      <c r="D57" s="13">
        <f t="shared" si="2"/>
        <v>185.42567311087998</v>
      </c>
      <c r="E57" s="3"/>
      <c r="F57" s="6" t="s">
        <v>10</v>
      </c>
      <c r="G57" s="7">
        <f>$C$12*G7</f>
        <v>8296.9442682231529</v>
      </c>
      <c r="H57" s="7">
        <f>$C$12*H7</f>
        <v>296319.4381508269</v>
      </c>
      <c r="I57" s="7">
        <f t="shared" si="6"/>
        <v>152308.19120952502</v>
      </c>
      <c r="J57" s="3"/>
      <c r="K57" s="3"/>
      <c r="L57" s="3"/>
      <c r="M57" s="3"/>
      <c r="N57" s="3"/>
      <c r="O57" s="3"/>
      <c r="P57" s="3"/>
      <c r="Q57" s="3"/>
      <c r="R57" s="3"/>
      <c r="S57" s="3"/>
      <c r="T57" s="3"/>
      <c r="U57" s="3"/>
      <c r="V57" s="3"/>
      <c r="W57" s="3"/>
      <c r="X57" s="3"/>
    </row>
    <row r="58" spans="1:24" x14ac:dyDescent="0.25">
      <c r="A58" s="35"/>
      <c r="B58" s="23"/>
      <c r="C58" s="23"/>
      <c r="D58" s="22"/>
      <c r="E58" s="3"/>
      <c r="F58" s="6" t="s">
        <v>98</v>
      </c>
      <c r="G58" s="7">
        <f t="shared" ref="G58:H60" si="7">$C$12*G13</f>
        <v>1185.2777526033076</v>
      </c>
      <c r="H58" s="7">
        <f t="shared" si="7"/>
        <v>23705.555052066153</v>
      </c>
      <c r="I58" s="7">
        <f t="shared" si="6"/>
        <v>12445.416402334729</v>
      </c>
      <c r="J58" s="3"/>
      <c r="K58" s="3"/>
      <c r="L58" s="3"/>
      <c r="M58" s="3"/>
      <c r="N58" s="3"/>
      <c r="O58" s="3"/>
      <c r="P58" s="3"/>
      <c r="Q58" s="3"/>
      <c r="R58" s="3"/>
      <c r="S58" s="3"/>
      <c r="T58" s="3"/>
      <c r="U58" s="3"/>
      <c r="V58" s="3"/>
      <c r="W58" s="3"/>
      <c r="X58" s="3"/>
    </row>
    <row r="59" spans="1:24" x14ac:dyDescent="0.25">
      <c r="A59" s="35"/>
      <c r="B59" s="23"/>
      <c r="C59" s="23"/>
      <c r="D59" s="22"/>
      <c r="E59" s="3"/>
      <c r="F59" s="6" t="s">
        <v>99</v>
      </c>
      <c r="G59" s="7">
        <f t="shared" si="7"/>
        <v>5926.3887630165382</v>
      </c>
      <c r="H59" s="7">
        <f t="shared" si="7"/>
        <v>242981.93928367805</v>
      </c>
      <c r="I59" s="7">
        <f t="shared" si="6"/>
        <v>124454.16402334729</v>
      </c>
      <c r="J59" s="3"/>
      <c r="K59" s="3"/>
      <c r="L59" s="3"/>
      <c r="M59" s="3"/>
      <c r="N59" s="3"/>
      <c r="O59" s="3"/>
      <c r="P59" s="3"/>
      <c r="Q59" s="3"/>
      <c r="R59" s="3"/>
      <c r="S59" s="3"/>
      <c r="T59" s="3"/>
      <c r="U59" s="3"/>
      <c r="V59" s="3"/>
      <c r="W59" s="3"/>
      <c r="X59" s="3"/>
    </row>
    <row r="60" spans="1:24" x14ac:dyDescent="0.25">
      <c r="A60" s="35"/>
      <c r="B60" s="23"/>
      <c r="C60" s="23"/>
      <c r="D60" s="22"/>
      <c r="E60" s="3"/>
      <c r="F60" s="6" t="s">
        <v>45</v>
      </c>
      <c r="G60" s="7">
        <f t="shared" si="7"/>
        <v>11.852777526033076</v>
      </c>
      <c r="H60" s="7">
        <f t="shared" si="7"/>
        <v>11852.777526033076</v>
      </c>
      <c r="I60" s="7">
        <f t="shared" si="6"/>
        <v>5932.315151779555</v>
      </c>
      <c r="J60" s="3"/>
      <c r="K60" s="3"/>
      <c r="L60" s="3"/>
      <c r="M60" s="3"/>
      <c r="N60" s="3"/>
      <c r="O60" s="3"/>
      <c r="P60" s="3"/>
      <c r="Q60" s="3"/>
      <c r="R60" s="3"/>
      <c r="S60" s="3"/>
      <c r="T60" s="3"/>
      <c r="U60" s="3"/>
      <c r="V60" s="3"/>
      <c r="W60" s="3"/>
      <c r="X60" s="3"/>
    </row>
    <row r="61" spans="1:24" x14ac:dyDescent="0.25">
      <c r="A61" s="35"/>
      <c r="B61" s="23"/>
      <c r="C61" s="23"/>
      <c r="D61" s="22"/>
      <c r="E61" s="3"/>
      <c r="F61" s="6" t="s">
        <v>48</v>
      </c>
      <c r="G61" s="7">
        <f>$C$12*G18</f>
        <v>177.79166289049613</v>
      </c>
      <c r="H61" s="7">
        <f>$C$12*H18</f>
        <v>237.05555052066154</v>
      </c>
      <c r="I61" s="7">
        <f t="shared" si="6"/>
        <v>207.42360670557883</v>
      </c>
      <c r="J61" s="3"/>
      <c r="K61" s="3"/>
      <c r="L61" s="3"/>
      <c r="M61" s="3"/>
      <c r="N61" s="3"/>
      <c r="O61" s="3"/>
      <c r="P61" s="3"/>
      <c r="Q61" s="3"/>
      <c r="R61" s="3"/>
      <c r="S61" s="3"/>
      <c r="T61" s="3"/>
      <c r="U61" s="3"/>
      <c r="V61" s="3"/>
      <c r="W61" s="3"/>
      <c r="X61" s="3"/>
    </row>
    <row r="62" spans="1:24" x14ac:dyDescent="0.25">
      <c r="A62" s="35"/>
      <c r="B62" s="23"/>
      <c r="C62" s="23"/>
      <c r="D62" s="22"/>
      <c r="E62" s="3"/>
      <c r="F62" s="6" t="s">
        <v>100</v>
      </c>
      <c r="G62" s="7">
        <f>$C$12*G19</f>
        <v>118.52777526033077</v>
      </c>
      <c r="H62" s="7">
        <f>$C$12*H19</f>
        <v>118527.77526033076</v>
      </c>
      <c r="I62" s="7">
        <f t="shared" si="6"/>
        <v>59323.151517795544</v>
      </c>
      <c r="J62" s="3"/>
      <c r="K62" s="3"/>
      <c r="L62" s="3"/>
      <c r="M62" s="3"/>
      <c r="N62" s="3"/>
      <c r="O62" s="3"/>
      <c r="P62" s="3"/>
      <c r="Q62" s="3"/>
      <c r="R62" s="3"/>
      <c r="S62" s="3"/>
      <c r="T62" s="3"/>
      <c r="U62" s="3"/>
      <c r="V62" s="3"/>
      <c r="W62" s="3"/>
      <c r="X62" s="3"/>
    </row>
    <row r="63" spans="1:24" x14ac:dyDescent="0.25">
      <c r="A63" s="3"/>
      <c r="B63" s="3"/>
      <c r="C63" s="3"/>
      <c r="D63" s="22"/>
      <c r="E63" s="3"/>
      <c r="F63" s="6" t="s">
        <v>53</v>
      </c>
      <c r="G63" s="7">
        <f>$C$12*G8</f>
        <v>5926.3887630165382</v>
      </c>
      <c r="H63" s="7">
        <f>$C$12*H8</f>
        <v>35558.332578099224</v>
      </c>
      <c r="I63" s="7">
        <f t="shared" si="6"/>
        <v>20742.360670557882</v>
      </c>
      <c r="J63" s="3"/>
      <c r="K63" s="3"/>
      <c r="L63" s="3"/>
      <c r="M63" s="3"/>
      <c r="N63" s="3"/>
      <c r="O63" s="3"/>
      <c r="P63" s="3"/>
      <c r="Q63" s="3"/>
      <c r="R63" s="3"/>
      <c r="S63" s="3"/>
      <c r="T63" s="3"/>
      <c r="U63" s="3"/>
      <c r="V63" s="3"/>
      <c r="W63" s="3"/>
      <c r="X63" s="3"/>
    </row>
    <row r="64" spans="1:24" ht="18.75" x14ac:dyDescent="0.25">
      <c r="A64" s="323" t="s">
        <v>7</v>
      </c>
      <c r="B64" s="323"/>
      <c r="C64" s="323"/>
      <c r="D64" s="323"/>
      <c r="E64" s="3"/>
      <c r="F64" s="6" t="s">
        <v>46</v>
      </c>
      <c r="G64" s="7">
        <f>$C$12*G17</f>
        <v>11.852777526033076</v>
      </c>
      <c r="H64" s="7">
        <f>$C$12*H17</f>
        <v>29631.94381508269</v>
      </c>
      <c r="I64" s="7">
        <f t="shared" si="6"/>
        <v>14821.898296304362</v>
      </c>
      <c r="J64" s="3"/>
      <c r="K64" s="3"/>
      <c r="L64" s="3"/>
      <c r="M64" s="3"/>
      <c r="N64" s="3"/>
      <c r="O64" s="3"/>
      <c r="P64" s="3"/>
      <c r="Q64" s="3"/>
      <c r="R64" s="3"/>
      <c r="S64" s="3"/>
      <c r="T64" s="3"/>
      <c r="U64" s="3"/>
      <c r="V64" s="3"/>
      <c r="W64" s="3"/>
      <c r="X64" s="3"/>
    </row>
    <row r="65" spans="1:24" x14ac:dyDescent="0.25">
      <c r="A65" s="11" t="s">
        <v>35</v>
      </c>
      <c r="B65" s="322" t="s">
        <v>63</v>
      </c>
      <c r="C65" s="322"/>
      <c r="D65" s="322"/>
      <c r="E65" s="3"/>
      <c r="F65" s="6" t="s">
        <v>14</v>
      </c>
      <c r="G65" s="7">
        <f>$C$12*G20</f>
        <v>11.852777526033076</v>
      </c>
      <c r="H65" s="7">
        <f>$C$12*H20</f>
        <v>592638.8763016538</v>
      </c>
      <c r="I65" s="7">
        <f t="shared" si="6"/>
        <v>296325.36453958991</v>
      </c>
      <c r="J65" s="3"/>
      <c r="K65" s="3"/>
      <c r="L65" s="3"/>
      <c r="M65" s="3"/>
      <c r="N65" s="3"/>
      <c r="O65" s="3"/>
      <c r="P65" s="3"/>
      <c r="Q65" s="3"/>
      <c r="R65" s="3"/>
      <c r="S65" s="3"/>
      <c r="T65" s="3"/>
      <c r="U65" s="3"/>
      <c r="V65" s="3"/>
      <c r="W65" s="3"/>
      <c r="X65" s="3"/>
    </row>
    <row r="66" spans="1:24" x14ac:dyDescent="0.25">
      <c r="A66" s="8"/>
      <c r="B66" s="9" t="s">
        <v>37</v>
      </c>
      <c r="C66" s="9" t="s">
        <v>38</v>
      </c>
      <c r="D66" s="13" t="s">
        <v>66</v>
      </c>
      <c r="E66" s="3"/>
      <c r="F66" s="6" t="s">
        <v>56</v>
      </c>
      <c r="G66" s="7">
        <f>$C$12*G21</f>
        <v>177791.66289049614</v>
      </c>
      <c r="H66" s="7">
        <f>$C$12*H21</f>
        <v>355583.32578099228</v>
      </c>
      <c r="I66" s="7">
        <f t="shared" si="6"/>
        <v>266687.49433574418</v>
      </c>
      <c r="J66" s="3"/>
      <c r="K66" s="3"/>
      <c r="L66" s="3"/>
      <c r="M66" s="3"/>
      <c r="N66" s="3"/>
      <c r="O66" s="3"/>
      <c r="P66" s="3"/>
      <c r="Q66" s="3"/>
      <c r="R66" s="3"/>
      <c r="S66" s="3"/>
      <c r="T66" s="3"/>
      <c r="U66" s="3"/>
      <c r="V66" s="3"/>
      <c r="W66" s="3"/>
      <c r="X66" s="3"/>
    </row>
    <row r="67" spans="1:24" x14ac:dyDescent="0.25">
      <c r="A67" s="12" t="s">
        <v>47</v>
      </c>
      <c r="B67" s="9">
        <f>$C$11-SUM(B68:B73)</f>
        <v>25110.085517492822</v>
      </c>
      <c r="C67" s="9">
        <f>$C$11-SUM(C68:C73)</f>
        <v>21020.832836387563</v>
      </c>
      <c r="D67" s="13">
        <f t="shared" si="2"/>
        <v>23065.459176940192</v>
      </c>
      <c r="E67" s="3"/>
      <c r="F67" s="6" t="s">
        <v>41</v>
      </c>
      <c r="G67" s="7">
        <f>$C$12*G11</f>
        <v>1185.2777526033076</v>
      </c>
      <c r="H67" s="7">
        <f>$C$12*H11</f>
        <v>35558.332578099224</v>
      </c>
      <c r="I67" s="7">
        <f t="shared" si="6"/>
        <v>18371.805165351267</v>
      </c>
      <c r="J67" s="3"/>
      <c r="K67" s="3"/>
      <c r="L67" s="3"/>
      <c r="M67" s="3"/>
      <c r="N67" s="3"/>
      <c r="O67" s="3"/>
      <c r="P67" s="3"/>
      <c r="Q67" s="3"/>
      <c r="R67" s="3"/>
      <c r="S67" s="3"/>
      <c r="T67" s="3"/>
      <c r="U67" s="3"/>
      <c r="V67" s="3"/>
      <c r="W67" s="3"/>
      <c r="X67" s="3"/>
    </row>
    <row r="68" spans="1:24" x14ac:dyDescent="0.25">
      <c r="A68" s="6" t="s">
        <v>40</v>
      </c>
      <c r="B68" s="7">
        <f>$C$11*G9</f>
        <v>127.39898688719735</v>
      </c>
      <c r="C68" s="7">
        <f>$C$11*H9</f>
        <v>764.39392132318403</v>
      </c>
      <c r="D68" s="13">
        <f t="shared" si="2"/>
        <v>445.89645410519068</v>
      </c>
      <c r="E68" s="3"/>
      <c r="F68" s="6" t="s">
        <v>52</v>
      </c>
      <c r="G68" s="7">
        <f>$C$12*G10</f>
        <v>1185.2777526033076</v>
      </c>
      <c r="H68" s="7">
        <f>$C$12*H10</f>
        <v>35558.332578099224</v>
      </c>
      <c r="I68" s="7">
        <f t="shared" si="6"/>
        <v>18371.805165351267</v>
      </c>
      <c r="J68" s="3"/>
      <c r="K68" s="3"/>
      <c r="L68" s="3"/>
      <c r="M68" s="3"/>
      <c r="N68" s="3"/>
      <c r="O68" s="3"/>
      <c r="P68" s="3"/>
      <c r="Q68" s="3"/>
      <c r="R68" s="3"/>
      <c r="S68" s="3"/>
      <c r="T68" s="3"/>
      <c r="U68" s="3"/>
      <c r="V68" s="3"/>
      <c r="W68" s="3"/>
      <c r="X68" s="3"/>
    </row>
    <row r="69" spans="1:24" x14ac:dyDescent="0.25">
      <c r="A69" s="6" t="s">
        <v>52</v>
      </c>
      <c r="B69" s="7">
        <f>$C$11*G10</f>
        <v>25.479797377439471</v>
      </c>
      <c r="C69" s="7">
        <f>$C$11*H10</f>
        <v>764.39392132318403</v>
      </c>
      <c r="D69" s="13">
        <f t="shared" si="2"/>
        <v>394.93685935031175</v>
      </c>
      <c r="E69" s="3"/>
      <c r="F69" s="6" t="s">
        <v>51</v>
      </c>
      <c r="G69" s="7">
        <f>$C$12*G12</f>
        <v>1185.2777526033076</v>
      </c>
      <c r="H69" s="7">
        <f>$C$12*H12</f>
        <v>11852.777526033076</v>
      </c>
      <c r="I69" s="7">
        <f t="shared" si="6"/>
        <v>6519.0276393181921</v>
      </c>
      <c r="J69" s="3"/>
      <c r="K69" s="3"/>
      <c r="L69" s="3"/>
      <c r="M69" s="3"/>
      <c r="N69" s="3"/>
      <c r="O69" s="3"/>
      <c r="P69" s="3"/>
      <c r="Q69" s="3"/>
      <c r="R69" s="3"/>
      <c r="S69" s="3"/>
      <c r="T69" s="3"/>
      <c r="U69" s="3"/>
      <c r="V69" s="3"/>
      <c r="W69" s="3"/>
      <c r="X69" s="3"/>
    </row>
    <row r="70" spans="1:24" x14ac:dyDescent="0.25">
      <c r="A70" s="6" t="s">
        <v>49</v>
      </c>
      <c r="B70" s="7">
        <f>$C$11*G8</f>
        <v>127.39898688719735</v>
      </c>
      <c r="C70" s="7">
        <f>$C$11*H8</f>
        <v>764.39392132318403</v>
      </c>
      <c r="D70" s="13">
        <f t="shared" si="2"/>
        <v>445.89645410519068</v>
      </c>
      <c r="E70" s="3"/>
      <c r="F70" s="4" t="s">
        <v>55</v>
      </c>
      <c r="G70" s="3"/>
      <c r="H70" s="3"/>
      <c r="I70" s="3"/>
      <c r="J70" s="3"/>
      <c r="K70" s="3"/>
      <c r="L70" s="3"/>
      <c r="M70" s="3"/>
      <c r="N70" s="3"/>
      <c r="O70" s="3"/>
      <c r="P70" s="3"/>
      <c r="Q70" s="3"/>
      <c r="R70" s="3"/>
      <c r="S70" s="3"/>
      <c r="T70" s="3"/>
      <c r="U70" s="3"/>
      <c r="V70" s="3"/>
      <c r="W70" s="3"/>
      <c r="X70" s="3"/>
    </row>
    <row r="71" spans="1:24" x14ac:dyDescent="0.25">
      <c r="A71" s="6" t="s">
        <v>51</v>
      </c>
      <c r="B71" s="7">
        <f>$C$11*G12</f>
        <v>25.479797377439471</v>
      </c>
      <c r="C71" s="7">
        <f>$C$11*H12</f>
        <v>254.79797377439471</v>
      </c>
      <c r="D71" s="13">
        <f t="shared" si="2"/>
        <v>140.1388855759171</v>
      </c>
      <c r="E71" s="3"/>
      <c r="F71" s="3"/>
      <c r="G71" s="3"/>
      <c r="H71" s="3"/>
      <c r="I71" s="3"/>
      <c r="J71" s="3"/>
      <c r="K71" s="3"/>
      <c r="L71" s="3"/>
      <c r="M71" s="3"/>
      <c r="N71" s="3"/>
      <c r="O71" s="3"/>
      <c r="P71" s="3"/>
      <c r="Q71" s="3"/>
      <c r="R71" s="3"/>
      <c r="S71" s="3"/>
      <c r="T71" s="3"/>
      <c r="U71" s="3"/>
      <c r="V71" s="3"/>
      <c r="W71" s="3"/>
      <c r="X71" s="3"/>
    </row>
    <row r="72" spans="1:24" x14ac:dyDescent="0.25">
      <c r="A72" s="6" t="s">
        <v>11</v>
      </c>
      <c r="B72" s="7">
        <f>$C$11*G16</f>
        <v>63.699493443598676</v>
      </c>
      <c r="C72" s="7">
        <f>$C$11*H16</f>
        <v>1273.9898688719736</v>
      </c>
      <c r="D72" s="13">
        <f t="shared" si="2"/>
        <v>668.84468115778611</v>
      </c>
      <c r="E72" s="3"/>
      <c r="F72" s="3"/>
      <c r="G72" s="3"/>
      <c r="H72" s="3"/>
      <c r="I72" s="3"/>
      <c r="J72" s="3"/>
      <c r="K72" s="3"/>
      <c r="L72" s="3"/>
      <c r="M72" s="3"/>
      <c r="N72" s="3"/>
      <c r="O72" s="3"/>
      <c r="P72" s="3"/>
      <c r="Q72" s="3"/>
      <c r="R72" s="3"/>
      <c r="S72" s="3"/>
      <c r="T72" s="3"/>
      <c r="U72" s="3"/>
      <c r="V72" s="3"/>
      <c r="W72" s="3"/>
      <c r="X72" s="3"/>
    </row>
    <row r="73" spans="1:24" x14ac:dyDescent="0.25">
      <c r="A73" s="6" t="s">
        <v>46</v>
      </c>
      <c r="B73" s="7">
        <f>$C$11*G17</f>
        <v>0.25479797377439473</v>
      </c>
      <c r="C73" s="7">
        <f>$C$11*H17</f>
        <v>636.99493443598681</v>
      </c>
      <c r="D73" s="13">
        <f t="shared" si="2"/>
        <v>318.62486620488062</v>
      </c>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B49:D49"/>
    <mergeCell ref="F49:I49"/>
    <mergeCell ref="G50:I50"/>
    <mergeCell ref="A64:D64"/>
    <mergeCell ref="B65:D65"/>
    <mergeCell ref="G25:I25"/>
    <mergeCell ref="B26:D26"/>
    <mergeCell ref="G4:H4"/>
    <mergeCell ref="A15:D15"/>
    <mergeCell ref="B16:D16"/>
    <mergeCell ref="F24:I24"/>
    <mergeCell ref="A25:D25"/>
    <mergeCell ref="A48:D48"/>
    <mergeCell ref="A36:D36"/>
    <mergeCell ref="F36:I36"/>
    <mergeCell ref="B37:D37"/>
    <mergeCell ref="G37:I3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3"/>
  <sheetViews>
    <sheetView workbookViewId="0">
      <selection activeCell="I38" sqref="I38"/>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286</v>
      </c>
    </row>
    <row r="2" spans="1:12" x14ac:dyDescent="0.25">
      <c r="A2" s="2" t="s">
        <v>23</v>
      </c>
      <c r="B2" s="116">
        <f>SUM(C5:C12)</f>
        <v>975085</v>
      </c>
      <c r="C2" s="3" t="s">
        <v>24</v>
      </c>
    </row>
    <row r="3" spans="1:12" x14ac:dyDescent="0.25">
      <c r="A3" s="2"/>
    </row>
    <row r="4" spans="1:12" x14ac:dyDescent="0.25">
      <c r="A4" s="5" t="s">
        <v>25</v>
      </c>
      <c r="B4" s="5" t="s">
        <v>26</v>
      </c>
      <c r="C4" s="5" t="s">
        <v>288</v>
      </c>
      <c r="D4" s="24" t="s">
        <v>287</v>
      </c>
      <c r="F4" s="5" t="s">
        <v>35</v>
      </c>
      <c r="G4" s="324" t="s">
        <v>36</v>
      </c>
      <c r="H4" s="325"/>
      <c r="L4" s="2" t="s">
        <v>101</v>
      </c>
    </row>
    <row r="5" spans="1:12" x14ac:dyDescent="0.25">
      <c r="A5" s="6" t="s">
        <v>27</v>
      </c>
      <c r="B5" s="16">
        <f>C5/$B$2</f>
        <v>4.7787628770825111E-2</v>
      </c>
      <c r="C5" s="128">
        <f>'US 2018 Facts - Sensitivity'!E30/3</f>
        <v>46597</v>
      </c>
      <c r="D5" s="25"/>
      <c r="F5" s="8"/>
      <c r="G5" s="9" t="s">
        <v>37</v>
      </c>
      <c r="H5" s="9" t="s">
        <v>38</v>
      </c>
      <c r="I5" s="9" t="s">
        <v>66</v>
      </c>
      <c r="K5" s="6" t="s">
        <v>9</v>
      </c>
      <c r="L5" s="3">
        <f>SUM(B40,G40,G53)</f>
        <v>81545.3</v>
      </c>
    </row>
    <row r="6" spans="1:12" x14ac:dyDescent="0.25">
      <c r="A6" s="6" t="s">
        <v>28</v>
      </c>
      <c r="B6" s="16">
        <f t="shared" ref="B6:B12" si="0">C6/$B$2</f>
        <v>4.7787628770825111E-2</v>
      </c>
      <c r="C6" s="128">
        <f>'US 2018 Facts - Sensitivity'!E30/3</f>
        <v>46597</v>
      </c>
      <c r="D6" s="25" t="s">
        <v>306</v>
      </c>
      <c r="F6" s="6" t="s">
        <v>9</v>
      </c>
      <c r="G6" s="7">
        <v>0.1</v>
      </c>
      <c r="H6" s="7">
        <v>0.7</v>
      </c>
      <c r="I6" s="10">
        <f>(G6+H6)/2</f>
        <v>0.39999999999999997</v>
      </c>
      <c r="K6" s="6" t="s">
        <v>10</v>
      </c>
      <c r="L6" s="3">
        <f>SUM(B20,B32,B55,G31,G57)</f>
        <v>6430.1790000000001</v>
      </c>
    </row>
    <row r="7" spans="1:12" x14ac:dyDescent="0.25">
      <c r="A7" s="6" t="s">
        <v>29</v>
      </c>
      <c r="B7" s="16">
        <f>C7/$B$2</f>
        <v>3.7583390165985532E-2</v>
      </c>
      <c r="C7" s="128">
        <f>'US 2018 Facts - Sensitivity'!E31</f>
        <v>36647</v>
      </c>
      <c r="D7" s="25"/>
      <c r="F7" s="6" t="s">
        <v>10</v>
      </c>
      <c r="G7" s="7">
        <v>7.0000000000000001E-3</v>
      </c>
      <c r="H7" s="7">
        <v>0.25</v>
      </c>
      <c r="I7" s="10">
        <f t="shared" ref="I7:I21" si="1">(G7+H7)/2</f>
        <v>0.1285</v>
      </c>
      <c r="K7" s="6" t="s">
        <v>39</v>
      </c>
      <c r="L7" s="3">
        <f>SUM(B19,B30,B33,B43,B54,B70,G30,G32,G41,G55,G63)</f>
        <v>9328.6190000000006</v>
      </c>
    </row>
    <row r="8" spans="1:12" x14ac:dyDescent="0.25">
      <c r="A8" s="6" t="s">
        <v>30</v>
      </c>
      <c r="B8" s="16">
        <f t="shared" si="0"/>
        <v>4.7787628770825111E-2</v>
      </c>
      <c r="C8" s="128">
        <f>'US 2018 Facts - Sensitivity'!E30/3</f>
        <v>46597</v>
      </c>
      <c r="D8" s="25"/>
      <c r="F8" s="6" t="s">
        <v>39</v>
      </c>
      <c r="G8" s="7">
        <v>5.0000000000000001E-3</v>
      </c>
      <c r="H8" s="7">
        <v>0.03</v>
      </c>
      <c r="I8" s="10">
        <f t="shared" si="1"/>
        <v>1.7499999999999998E-2</v>
      </c>
      <c r="K8" s="6" t="s">
        <v>40</v>
      </c>
      <c r="L8" s="3">
        <f>SUM(B29,B41,B52,G54,G28,G45,B68)</f>
        <v>4642.4399999999996</v>
      </c>
    </row>
    <row r="9" spans="1:12" x14ac:dyDescent="0.25">
      <c r="A9" s="6" t="s">
        <v>31</v>
      </c>
      <c r="B9" s="16">
        <f t="shared" si="0"/>
        <v>0</v>
      </c>
      <c r="C9" s="128">
        <v>0</v>
      </c>
      <c r="D9" s="25"/>
      <c r="F9" s="6" t="s">
        <v>40</v>
      </c>
      <c r="G9" s="7">
        <v>5.0000000000000001E-3</v>
      </c>
      <c r="H9" s="7">
        <v>0.03</v>
      </c>
      <c r="I9" s="10">
        <f t="shared" si="1"/>
        <v>1.7499999999999998E-2</v>
      </c>
      <c r="K9" s="6" t="s">
        <v>12</v>
      </c>
      <c r="L9" s="3">
        <f>SUM(B42,B53,B69,G68,G29)</f>
        <v>881.89100000000008</v>
      </c>
    </row>
    <row r="10" spans="1:12" x14ac:dyDescent="0.25">
      <c r="A10" s="6" t="s">
        <v>32</v>
      </c>
      <c r="B10" s="16">
        <f t="shared" si="0"/>
        <v>0</v>
      </c>
      <c r="C10" s="128">
        <v>0</v>
      </c>
      <c r="D10" s="25"/>
      <c r="F10" s="6" t="s">
        <v>12</v>
      </c>
      <c r="G10" s="7">
        <v>1E-3</v>
      </c>
      <c r="H10" s="7">
        <v>0.03</v>
      </c>
      <c r="I10" s="10">
        <f t="shared" si="1"/>
        <v>1.55E-2</v>
      </c>
      <c r="K10" s="6" t="s">
        <v>41</v>
      </c>
      <c r="L10" s="3">
        <f>SUM(B44,G67)</f>
        <v>815.45300000000009</v>
      </c>
    </row>
    <row r="11" spans="1:12" x14ac:dyDescent="0.25">
      <c r="A11" s="6" t="s">
        <v>33</v>
      </c>
      <c r="B11" s="16">
        <f t="shared" si="0"/>
        <v>2.0347969664183122E-2</v>
      </c>
      <c r="C11" s="128">
        <f>'US 2018 Facts - Sensitivity'!E32</f>
        <v>19841</v>
      </c>
      <c r="D11" s="25"/>
      <c r="F11" s="6" t="s">
        <v>41</v>
      </c>
      <c r="G11" s="7">
        <v>1E-3</v>
      </c>
      <c r="H11" s="7">
        <v>0.03</v>
      </c>
      <c r="I11" s="10">
        <f t="shared" si="1"/>
        <v>1.55E-2</v>
      </c>
      <c r="K11" s="6" t="s">
        <v>42</v>
      </c>
      <c r="L11" s="3">
        <f>SUM(B21,B71,G69)</f>
        <v>845.24400000000003</v>
      </c>
    </row>
    <row r="12" spans="1:12" x14ac:dyDescent="0.25">
      <c r="A12" s="6" t="s">
        <v>34</v>
      </c>
      <c r="B12" s="16">
        <f t="shared" si="0"/>
        <v>0.79870575385735598</v>
      </c>
      <c r="C12" s="128">
        <f>'US 2018 Facts - Sensitivity'!E33</f>
        <v>778806</v>
      </c>
      <c r="D12" s="25"/>
      <c r="F12" s="6" t="s">
        <v>42</v>
      </c>
      <c r="G12" s="7">
        <v>1E-3</v>
      </c>
      <c r="H12" s="7">
        <v>0.01</v>
      </c>
      <c r="I12" s="10">
        <f t="shared" si="1"/>
        <v>5.4999999999999997E-3</v>
      </c>
      <c r="K12" s="6" t="s">
        <v>43</v>
      </c>
      <c r="L12" s="3">
        <f>SUM(G58)</f>
        <v>778.80600000000004</v>
      </c>
    </row>
    <row r="13" spans="1:12" x14ac:dyDescent="0.25">
      <c r="C13" s="3" t="s">
        <v>179</v>
      </c>
      <c r="F13" s="6" t="s">
        <v>43</v>
      </c>
      <c r="G13" s="7">
        <v>1E-3</v>
      </c>
      <c r="H13" s="7">
        <v>0.02</v>
      </c>
      <c r="I13" s="10">
        <f t="shared" si="1"/>
        <v>1.0500000000000001E-2</v>
      </c>
      <c r="K13" s="6" t="s">
        <v>44</v>
      </c>
      <c r="L13" s="3">
        <f>SUM(G59)</f>
        <v>3894.03</v>
      </c>
    </row>
    <row r="14" spans="1:12" x14ac:dyDescent="0.25">
      <c r="F14" s="6" t="s">
        <v>44</v>
      </c>
      <c r="G14" s="7">
        <v>5.0000000000000001E-3</v>
      </c>
      <c r="H14" s="7">
        <v>0.20499999999999999</v>
      </c>
      <c r="I14" s="10">
        <f t="shared" si="1"/>
        <v>0.105</v>
      </c>
      <c r="K14" s="6" t="s">
        <v>45</v>
      </c>
      <c r="L14" s="3">
        <f>SUM(G44,G60)</f>
        <v>7.7880600000000006</v>
      </c>
    </row>
    <row r="15" spans="1:12" ht="18.75" x14ac:dyDescent="0.25">
      <c r="A15" s="323" t="s">
        <v>1</v>
      </c>
      <c r="B15" s="323"/>
      <c r="C15" s="323"/>
      <c r="D15" s="323"/>
      <c r="F15" s="6" t="s">
        <v>45</v>
      </c>
      <c r="G15" s="7">
        <v>1.0000000000000001E-5</v>
      </c>
      <c r="H15" s="7">
        <v>0.01</v>
      </c>
      <c r="I15" s="10">
        <f t="shared" si="1"/>
        <v>5.0049999999999999E-3</v>
      </c>
      <c r="K15" s="6" t="s">
        <v>11</v>
      </c>
      <c r="L15" s="3">
        <f>SUM(B31,B45,B72,G33,G46,G56)</f>
        <v>2321.2200000000003</v>
      </c>
    </row>
    <row r="16" spans="1:12" x14ac:dyDescent="0.25">
      <c r="A16" s="11" t="s">
        <v>35</v>
      </c>
      <c r="B16" s="322" t="s">
        <v>58</v>
      </c>
      <c r="C16" s="322"/>
      <c r="D16" s="322"/>
      <c r="F16" s="6" t="s">
        <v>11</v>
      </c>
      <c r="G16" s="7">
        <v>2.5000000000000001E-3</v>
      </c>
      <c r="H16" s="7">
        <v>0.05</v>
      </c>
      <c r="I16" s="10">
        <f t="shared" si="1"/>
        <v>2.6250000000000002E-2</v>
      </c>
      <c r="K16" s="6" t="s">
        <v>46</v>
      </c>
      <c r="L16" s="3">
        <f>SUM(B23,B34,G34,B46,B57,G64,B73)</f>
        <v>9.7508500000000016</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123.81044999999999</v>
      </c>
    </row>
    <row r="18" spans="1:15" x14ac:dyDescent="0.25">
      <c r="A18" s="12" t="s">
        <v>47</v>
      </c>
      <c r="B18" s="9">
        <f>$C$5-SUM(B19:B23)</f>
        <v>45983.783479999998</v>
      </c>
      <c r="C18" s="13">
        <f>$C$5-SUM(C19:C23)</f>
        <v>31909.625599999999</v>
      </c>
      <c r="D18" s="13">
        <f>(B18+C18)/2</f>
        <v>38946.704539999999</v>
      </c>
      <c r="F18" s="6" t="s">
        <v>48</v>
      </c>
      <c r="G18" s="7">
        <v>1.4999999999999999E-4</v>
      </c>
      <c r="H18" s="7">
        <v>2.0000000000000001E-4</v>
      </c>
      <c r="I18" s="10">
        <f t="shared" si="1"/>
        <v>1.75E-4</v>
      </c>
      <c r="K18" s="6" t="s">
        <v>50</v>
      </c>
      <c r="L18" s="3">
        <f>SUM(G62)</f>
        <v>77.880600000000001</v>
      </c>
    </row>
    <row r="19" spans="1:15" x14ac:dyDescent="0.25">
      <c r="A19" s="6" t="s">
        <v>49</v>
      </c>
      <c r="B19" s="7">
        <f>$C$5*G8</f>
        <v>232.98500000000001</v>
      </c>
      <c r="C19" s="7">
        <f>$C$5*H8</f>
        <v>1397.9099999999999</v>
      </c>
      <c r="D19" s="13">
        <f t="shared" ref="D19:D73" si="2">(B19+C19)/2</f>
        <v>815.44749999999999</v>
      </c>
      <c r="F19" s="6" t="s">
        <v>50</v>
      </c>
      <c r="G19" s="7">
        <v>1E-4</v>
      </c>
      <c r="H19" s="7">
        <v>0.1</v>
      </c>
      <c r="I19" s="10">
        <f t="shared" si="1"/>
        <v>5.0050000000000004E-2</v>
      </c>
      <c r="K19" s="6" t="s">
        <v>14</v>
      </c>
      <c r="L19" s="3">
        <f>SUM(G42,G65)</f>
        <v>7.7880600000000006</v>
      </c>
    </row>
    <row r="20" spans="1:15" x14ac:dyDescent="0.25">
      <c r="A20" s="6" t="s">
        <v>10</v>
      </c>
      <c r="B20" s="7">
        <f>$C$5*G7</f>
        <v>326.17900000000003</v>
      </c>
      <c r="C20" s="7">
        <f>$C$5*H7</f>
        <v>11649.25</v>
      </c>
      <c r="D20" s="13">
        <f t="shared" si="2"/>
        <v>5987.7145</v>
      </c>
      <c r="F20" s="6" t="s">
        <v>14</v>
      </c>
      <c r="G20" s="7">
        <v>1.0000000000000001E-5</v>
      </c>
      <c r="H20" s="7">
        <v>0.5</v>
      </c>
      <c r="I20" s="10">
        <f t="shared" si="1"/>
        <v>0.25000499999999998</v>
      </c>
      <c r="K20" s="6" t="s">
        <v>15</v>
      </c>
      <c r="L20" s="3">
        <f>SUM(G66,G43)</f>
        <v>116820.9</v>
      </c>
    </row>
    <row r="21" spans="1:15" x14ac:dyDescent="0.25">
      <c r="A21" s="6" t="s">
        <v>51</v>
      </c>
      <c r="B21" s="7">
        <f>$C$5*G12</f>
        <v>46.597000000000001</v>
      </c>
      <c r="C21" s="7">
        <f>$C$5*H12</f>
        <v>465.97</v>
      </c>
      <c r="D21" s="13">
        <f t="shared" si="2"/>
        <v>256.2835</v>
      </c>
      <c r="F21" s="6" t="s">
        <v>15</v>
      </c>
      <c r="G21" s="7">
        <v>0.15</v>
      </c>
      <c r="H21" s="7">
        <v>0.3</v>
      </c>
      <c r="I21" s="10">
        <f t="shared" si="1"/>
        <v>0.22499999999999998</v>
      </c>
      <c r="M21" s="3" t="s">
        <v>237</v>
      </c>
    </row>
    <row r="22" spans="1:15" x14ac:dyDescent="0.25">
      <c r="A22" s="6" t="s">
        <v>48</v>
      </c>
      <c r="B22" s="7">
        <f>$C$5*G18</f>
        <v>6.9895499999999995</v>
      </c>
      <c r="C22" s="7">
        <f>$C$5*H18</f>
        <v>9.3193999999999999</v>
      </c>
      <c r="D22" s="13">
        <f t="shared" si="2"/>
        <v>8.1544749999999997</v>
      </c>
      <c r="L22" s="19"/>
      <c r="M22" s="15" t="s">
        <v>226</v>
      </c>
      <c r="N22" s="37"/>
      <c r="O22" s="37"/>
    </row>
    <row r="23" spans="1:15" x14ac:dyDescent="0.25">
      <c r="A23" s="6" t="s">
        <v>46</v>
      </c>
      <c r="B23" s="7">
        <f>$C$5*G17</f>
        <v>0.46597000000000005</v>
      </c>
      <c r="C23" s="7">
        <f>$C$5*H17</f>
        <v>1164.925</v>
      </c>
      <c r="D23" s="13">
        <f t="shared" si="2"/>
        <v>582.69548499999996</v>
      </c>
      <c r="K23" s="2" t="s">
        <v>225</v>
      </c>
      <c r="L23" s="19"/>
      <c r="M23" s="2" t="s">
        <v>213</v>
      </c>
      <c r="N23" s="2" t="s">
        <v>214</v>
      </c>
      <c r="O23" s="2" t="s">
        <v>215</v>
      </c>
    </row>
    <row r="24" spans="1:15" ht="18.75" x14ac:dyDescent="0.25">
      <c r="D24" s="22"/>
      <c r="F24" s="323" t="s">
        <v>4</v>
      </c>
      <c r="G24" s="323"/>
      <c r="H24" s="323"/>
      <c r="I24" s="323"/>
      <c r="K24" s="3" t="s">
        <v>27</v>
      </c>
      <c r="L24" s="19">
        <f>C5</f>
        <v>46597</v>
      </c>
      <c r="M24" s="99">
        <v>0.04</v>
      </c>
      <c r="N24" s="3">
        <f t="shared" ref="N24:N31" si="3">L24*M24</f>
        <v>1863.88</v>
      </c>
      <c r="O24" s="3">
        <f t="shared" ref="O24:O31" si="4">N24*1.10231</f>
        <v>2054.5735627999998</v>
      </c>
    </row>
    <row r="25" spans="1:15" ht="18.75" x14ac:dyDescent="0.25">
      <c r="A25" s="323" t="s">
        <v>2</v>
      </c>
      <c r="B25" s="323"/>
      <c r="C25" s="323"/>
      <c r="D25" s="323"/>
      <c r="F25" s="11" t="s">
        <v>35</v>
      </c>
      <c r="G25" s="322" t="s">
        <v>60</v>
      </c>
      <c r="H25" s="322"/>
      <c r="I25" s="322"/>
      <c r="K25" s="3" t="s">
        <v>28</v>
      </c>
      <c r="L25" s="19">
        <f t="shared" ref="L25:L31" si="5">C6</f>
        <v>46597</v>
      </c>
      <c r="M25" s="99">
        <v>0.04</v>
      </c>
      <c r="N25" s="3">
        <f t="shared" si="3"/>
        <v>1863.88</v>
      </c>
      <c r="O25" s="3">
        <f t="shared" si="4"/>
        <v>2054.5735627999998</v>
      </c>
    </row>
    <row r="26" spans="1:15" x14ac:dyDescent="0.25">
      <c r="A26" s="11" t="s">
        <v>35</v>
      </c>
      <c r="B26" s="322" t="s">
        <v>59</v>
      </c>
      <c r="C26" s="322"/>
      <c r="D26" s="322"/>
      <c r="F26" s="8"/>
      <c r="G26" s="9" t="s">
        <v>37</v>
      </c>
      <c r="H26" s="9" t="s">
        <v>38</v>
      </c>
      <c r="I26" s="9" t="s">
        <v>66</v>
      </c>
      <c r="K26" s="3" t="s">
        <v>29</v>
      </c>
      <c r="L26" s="19">
        <f t="shared" si="5"/>
        <v>36647</v>
      </c>
      <c r="M26" s="99">
        <v>0.04</v>
      </c>
      <c r="N26" s="3">
        <f t="shared" si="3"/>
        <v>1465.88</v>
      </c>
      <c r="O26" s="3">
        <f t="shared" si="4"/>
        <v>1615.8541828</v>
      </c>
    </row>
    <row r="27" spans="1:15" x14ac:dyDescent="0.25">
      <c r="A27" s="8"/>
      <c r="B27" s="9" t="s">
        <v>37</v>
      </c>
      <c r="C27" s="9" t="s">
        <v>38</v>
      </c>
      <c r="D27" s="13" t="s">
        <v>66</v>
      </c>
      <c r="F27" s="12" t="s">
        <v>47</v>
      </c>
      <c r="G27" s="9">
        <f>$C$8-SUM(G28:G34)</f>
        <v>45408.310530000002</v>
      </c>
      <c r="H27" s="9">
        <f>$C$8-SUM(H28:H34)</f>
        <v>25861.335000000003</v>
      </c>
      <c r="I27" s="7">
        <f>(G27+H27)/2</f>
        <v>35634.822765000004</v>
      </c>
      <c r="K27" s="3" t="s">
        <v>122</v>
      </c>
      <c r="L27" s="19">
        <f t="shared" si="5"/>
        <v>46597</v>
      </c>
      <c r="M27" s="99">
        <v>0.04</v>
      </c>
      <c r="N27" s="3">
        <f t="shared" si="3"/>
        <v>1863.88</v>
      </c>
      <c r="O27" s="3">
        <f t="shared" si="4"/>
        <v>2054.5735627999998</v>
      </c>
    </row>
    <row r="28" spans="1:15" x14ac:dyDescent="0.25">
      <c r="A28" s="12" t="s">
        <v>47</v>
      </c>
      <c r="B28" s="9">
        <f>$C$6-SUM(B29:B34)</f>
        <v>45361.713530000001</v>
      </c>
      <c r="C28" s="13">
        <f>$C$5-SUM(C29:C34)</f>
        <v>17007.905000000002</v>
      </c>
      <c r="D28" s="13">
        <f t="shared" si="2"/>
        <v>31184.809265000004</v>
      </c>
      <c r="F28" s="12" t="s">
        <v>40</v>
      </c>
      <c r="G28" s="7">
        <f>$C$8*G9</f>
        <v>232.98500000000001</v>
      </c>
      <c r="H28" s="7">
        <f>$C$8*H9</f>
        <v>1397.9099999999999</v>
      </c>
      <c r="I28" s="7">
        <f t="shared" ref="I28:I69" si="6">(G28+H28)/2</f>
        <v>815.44749999999999</v>
      </c>
      <c r="K28" s="3" t="s">
        <v>31</v>
      </c>
      <c r="L28" s="19">
        <f t="shared" si="5"/>
        <v>0</v>
      </c>
      <c r="M28" s="99">
        <v>0.04</v>
      </c>
      <c r="N28" s="3">
        <f t="shared" si="3"/>
        <v>0</v>
      </c>
      <c r="O28" s="3">
        <f t="shared" si="4"/>
        <v>0</v>
      </c>
    </row>
    <row r="29" spans="1:15" x14ac:dyDescent="0.25">
      <c r="A29" s="6" t="s">
        <v>40</v>
      </c>
      <c r="B29" s="7">
        <f>$C$6*G9</f>
        <v>232.98500000000001</v>
      </c>
      <c r="C29" s="7">
        <f>$C$6*H9</f>
        <v>1397.9099999999999</v>
      </c>
      <c r="D29" s="13">
        <f t="shared" si="2"/>
        <v>815.44749999999999</v>
      </c>
      <c r="F29" s="6" t="s">
        <v>52</v>
      </c>
      <c r="G29" s="7">
        <f>$C$8*G10</f>
        <v>46.597000000000001</v>
      </c>
      <c r="H29" s="7">
        <f>$C$8*H10</f>
        <v>1397.9099999999999</v>
      </c>
      <c r="I29" s="7">
        <f t="shared" si="6"/>
        <v>722.25349999999992</v>
      </c>
      <c r="K29" s="3" t="s">
        <v>32</v>
      </c>
      <c r="L29" s="19">
        <f t="shared" si="5"/>
        <v>0</v>
      </c>
      <c r="M29" s="99">
        <v>0.04</v>
      </c>
      <c r="N29" s="3">
        <f t="shared" si="3"/>
        <v>0</v>
      </c>
      <c r="O29" s="3">
        <f t="shared" si="4"/>
        <v>0</v>
      </c>
    </row>
    <row r="30" spans="1:15" x14ac:dyDescent="0.25">
      <c r="A30" s="6" t="s">
        <v>49</v>
      </c>
      <c r="B30" s="7">
        <f>$C$6*G8</f>
        <v>232.98500000000001</v>
      </c>
      <c r="C30" s="7">
        <f>$C$6*H8</f>
        <v>1397.9099999999999</v>
      </c>
      <c r="D30" s="13">
        <f t="shared" si="2"/>
        <v>815.44749999999999</v>
      </c>
      <c r="F30" s="6" t="s">
        <v>49</v>
      </c>
      <c r="G30" s="7">
        <f>$C$8*G8</f>
        <v>232.98500000000001</v>
      </c>
      <c r="H30" s="7">
        <f>$C$8*H8</f>
        <v>1397.9099999999999</v>
      </c>
      <c r="I30" s="7">
        <f t="shared" si="6"/>
        <v>815.44749999999999</v>
      </c>
      <c r="K30" s="3" t="s">
        <v>33</v>
      </c>
      <c r="L30" s="19">
        <f t="shared" si="5"/>
        <v>19841</v>
      </c>
      <c r="M30" s="99">
        <v>0.04</v>
      </c>
      <c r="N30" s="3">
        <f t="shared" si="3"/>
        <v>793.64</v>
      </c>
      <c r="O30" s="3">
        <f t="shared" si="4"/>
        <v>874.83730839999987</v>
      </c>
    </row>
    <row r="31" spans="1:15" x14ac:dyDescent="0.25">
      <c r="A31" s="6" t="s">
        <v>11</v>
      </c>
      <c r="B31" s="7">
        <f>$C$6*G16</f>
        <v>116.49250000000001</v>
      </c>
      <c r="C31" s="7">
        <f>$C$6*H16</f>
        <v>2329.85</v>
      </c>
      <c r="D31" s="13">
        <f t="shared" si="2"/>
        <v>1223.1712499999999</v>
      </c>
      <c r="F31" s="6" t="s">
        <v>10</v>
      </c>
      <c r="G31" s="7">
        <f>$C$8*G7</f>
        <v>326.17900000000003</v>
      </c>
      <c r="H31" s="7">
        <f>$C$8*H7</f>
        <v>11649.25</v>
      </c>
      <c r="I31" s="7">
        <f t="shared" si="6"/>
        <v>5987.7145</v>
      </c>
      <c r="K31" s="3" t="s">
        <v>216</v>
      </c>
      <c r="L31" s="19">
        <f t="shared" si="5"/>
        <v>778806</v>
      </c>
      <c r="M31" s="99">
        <v>0.04</v>
      </c>
      <c r="N31" s="3">
        <f t="shared" si="3"/>
        <v>31152.240000000002</v>
      </c>
      <c r="O31" s="3">
        <f t="shared" si="4"/>
        <v>34339.425674400001</v>
      </c>
    </row>
    <row r="32" spans="1:15" x14ac:dyDescent="0.25">
      <c r="A32" s="6" t="s">
        <v>10</v>
      </c>
      <c r="B32" s="7">
        <f>$C$6*G7</f>
        <v>326.17900000000003</v>
      </c>
      <c r="C32" s="7">
        <f>$C$6*H7</f>
        <v>11649.25</v>
      </c>
      <c r="D32" s="13">
        <f t="shared" si="2"/>
        <v>5987.7145</v>
      </c>
      <c r="F32" s="6" t="s">
        <v>53</v>
      </c>
      <c r="G32" s="7">
        <f>$C$8*G8</f>
        <v>232.98500000000001</v>
      </c>
      <c r="H32" s="7">
        <f>$C$8*H8</f>
        <v>1397.9099999999999</v>
      </c>
      <c r="I32" s="7">
        <f t="shared" si="6"/>
        <v>815.44749999999999</v>
      </c>
      <c r="N32" s="2" t="s">
        <v>144</v>
      </c>
      <c r="O32" s="101">
        <f>SUM(O24:O31)</f>
        <v>42993.837853999998</v>
      </c>
    </row>
    <row r="33" spans="1:9" x14ac:dyDescent="0.25">
      <c r="A33" s="6" t="s">
        <v>53</v>
      </c>
      <c r="B33" s="7">
        <f>$C$6*G7</f>
        <v>326.17900000000003</v>
      </c>
      <c r="C33" s="7">
        <f>$C$6*H7</f>
        <v>11649.25</v>
      </c>
      <c r="D33" s="13">
        <f t="shared" si="2"/>
        <v>5987.7145</v>
      </c>
      <c r="F33" s="6" t="s">
        <v>11</v>
      </c>
      <c r="G33" s="7">
        <f>$C$8*G16</f>
        <v>116.49250000000001</v>
      </c>
      <c r="H33" s="7">
        <f>$C$8*H16</f>
        <v>2329.85</v>
      </c>
      <c r="I33" s="7">
        <f t="shared" si="6"/>
        <v>1223.1712499999999</v>
      </c>
    </row>
    <row r="34" spans="1:9" x14ac:dyDescent="0.25">
      <c r="A34" s="6" t="s">
        <v>46</v>
      </c>
      <c r="B34" s="7">
        <f>$C$6*G17</f>
        <v>0.46597000000000005</v>
      </c>
      <c r="C34" s="7">
        <f>$C$6*H17</f>
        <v>1164.925</v>
      </c>
      <c r="D34" s="13">
        <f t="shared" si="2"/>
        <v>582.69548499999996</v>
      </c>
      <c r="F34" s="6" t="s">
        <v>46</v>
      </c>
      <c r="G34" s="7">
        <f>$C$8*G17</f>
        <v>0.46597000000000005</v>
      </c>
      <c r="H34" s="7">
        <f>$C$8*H17</f>
        <v>1164.925</v>
      </c>
      <c r="I34" s="7">
        <f t="shared" si="6"/>
        <v>582.69548499999996</v>
      </c>
    </row>
    <row r="35" spans="1:9" x14ac:dyDescent="0.25">
      <c r="D35" s="22"/>
    </row>
    <row r="36" spans="1:9" ht="18.75" x14ac:dyDescent="0.25">
      <c r="A36" s="323" t="s">
        <v>3</v>
      </c>
      <c r="B36" s="323"/>
      <c r="C36" s="323"/>
      <c r="D36" s="323"/>
      <c r="F36" s="323" t="s">
        <v>5</v>
      </c>
      <c r="G36" s="323"/>
      <c r="H36" s="323"/>
      <c r="I36" s="323"/>
    </row>
    <row r="37" spans="1:9" x14ac:dyDescent="0.25">
      <c r="A37" s="11" t="s">
        <v>35</v>
      </c>
      <c r="B37" s="322" t="s">
        <v>59</v>
      </c>
      <c r="C37" s="322"/>
      <c r="D37" s="322"/>
      <c r="F37" s="11" t="s">
        <v>35</v>
      </c>
      <c r="G37" s="322" t="s">
        <v>61</v>
      </c>
      <c r="H37" s="322"/>
      <c r="I37" s="322"/>
    </row>
    <row r="38" spans="1:9" x14ac:dyDescent="0.25">
      <c r="A38" s="8"/>
      <c r="B38" s="9" t="s">
        <v>37</v>
      </c>
      <c r="C38" s="9" t="s">
        <v>38</v>
      </c>
      <c r="D38" s="13" t="s">
        <v>66</v>
      </c>
      <c r="F38" s="8"/>
      <c r="G38" s="9" t="s">
        <v>37</v>
      </c>
      <c r="H38" s="9" t="s">
        <v>38</v>
      </c>
      <c r="I38" s="9" t="s">
        <v>66</v>
      </c>
    </row>
    <row r="39" spans="1:9" x14ac:dyDescent="0.25">
      <c r="A39" s="12" t="s">
        <v>47</v>
      </c>
      <c r="B39" s="9">
        <f>$C$7-SUM(B40:B46)</f>
        <v>32450.552029999999</v>
      </c>
      <c r="C39" s="9">
        <f>$C$7-SUM(C40:C46)</f>
        <v>3847.9350000000049</v>
      </c>
      <c r="D39" s="13">
        <f t="shared" si="2"/>
        <v>18149.243515000002</v>
      </c>
      <c r="F39" s="12" t="s">
        <v>47</v>
      </c>
      <c r="G39" s="9">
        <f>$C$9-SUM(G40:G46)</f>
        <v>0</v>
      </c>
      <c r="H39" s="14">
        <f>$C$9-SUM(H40:H46)</f>
        <v>0</v>
      </c>
      <c r="I39" s="7">
        <f t="shared" si="6"/>
        <v>0</v>
      </c>
    </row>
    <row r="40" spans="1:9" x14ac:dyDescent="0.25">
      <c r="A40" s="12" t="s">
        <v>9</v>
      </c>
      <c r="B40" s="7">
        <f>$C$7*G6</f>
        <v>3664.7000000000003</v>
      </c>
      <c r="C40" s="7">
        <f>$C$7*H6</f>
        <v>25652.899999999998</v>
      </c>
      <c r="D40" s="13">
        <f t="shared" si="2"/>
        <v>14658.8</v>
      </c>
      <c r="F40" s="12" t="s">
        <v>9</v>
      </c>
      <c r="G40" s="7">
        <f>$C$9*G6</f>
        <v>0</v>
      </c>
      <c r="H40" s="7">
        <f>$C$9*H6</f>
        <v>0</v>
      </c>
      <c r="I40" s="7">
        <f t="shared" si="6"/>
        <v>0</v>
      </c>
    </row>
    <row r="41" spans="1:9" x14ac:dyDescent="0.25">
      <c r="A41" s="6" t="s">
        <v>40</v>
      </c>
      <c r="B41" s="7">
        <f>$C$7*G9</f>
        <v>183.23500000000001</v>
      </c>
      <c r="C41" s="7">
        <f>$C$7*H9</f>
        <v>1099.4099999999999</v>
      </c>
      <c r="D41" s="13">
        <f t="shared" si="2"/>
        <v>641.32249999999999</v>
      </c>
      <c r="F41" s="6" t="s">
        <v>53</v>
      </c>
      <c r="G41" s="7">
        <f>$C$9*G8</f>
        <v>0</v>
      </c>
      <c r="H41" s="7">
        <f>$C$9*H8</f>
        <v>0</v>
      </c>
      <c r="I41" s="7">
        <f t="shared" si="6"/>
        <v>0</v>
      </c>
    </row>
    <row r="42" spans="1:9" x14ac:dyDescent="0.25">
      <c r="A42" s="6" t="s">
        <v>52</v>
      </c>
      <c r="B42" s="7">
        <f>$C$7*G10</f>
        <v>36.646999999999998</v>
      </c>
      <c r="C42" s="7">
        <f>$C$7*H10</f>
        <v>1099.4099999999999</v>
      </c>
      <c r="D42" s="13">
        <f t="shared" si="2"/>
        <v>568.02849999999989</v>
      </c>
      <c r="F42" s="6" t="s">
        <v>14</v>
      </c>
      <c r="G42" s="7">
        <f>$C$9*G20</f>
        <v>0</v>
      </c>
      <c r="H42" s="7">
        <f>$C$9*H20</f>
        <v>0</v>
      </c>
      <c r="I42" s="7">
        <f t="shared" si="6"/>
        <v>0</v>
      </c>
    </row>
    <row r="43" spans="1:9" x14ac:dyDescent="0.25">
      <c r="A43" s="6" t="s">
        <v>53</v>
      </c>
      <c r="B43" s="7">
        <f>$C$7*G8</f>
        <v>183.23500000000001</v>
      </c>
      <c r="C43" s="7">
        <f>$C$7*H8</f>
        <v>1099.4099999999999</v>
      </c>
      <c r="D43" s="13">
        <f t="shared" si="2"/>
        <v>641.32249999999999</v>
      </c>
      <c r="F43" s="6" t="s">
        <v>54</v>
      </c>
      <c r="G43" s="7">
        <f>$C$9*G21</f>
        <v>0</v>
      </c>
      <c r="H43" s="7">
        <f>$C$9*H21</f>
        <v>0</v>
      </c>
      <c r="I43" s="7">
        <f t="shared" si="6"/>
        <v>0</v>
      </c>
    </row>
    <row r="44" spans="1:9" x14ac:dyDescent="0.25">
      <c r="A44" s="6" t="s">
        <v>41</v>
      </c>
      <c r="B44" s="7">
        <f>$C$7*G11</f>
        <v>36.646999999999998</v>
      </c>
      <c r="C44" s="7">
        <f>$C$7*H11</f>
        <v>1099.4099999999999</v>
      </c>
      <c r="D44" s="13">
        <f t="shared" si="2"/>
        <v>568.02849999999989</v>
      </c>
      <c r="F44" s="6" t="s">
        <v>13</v>
      </c>
      <c r="G44" s="7">
        <f>$C$9*G15</f>
        <v>0</v>
      </c>
      <c r="H44" s="7">
        <f>$C$9*H15</f>
        <v>0</v>
      </c>
      <c r="I44" s="7">
        <f t="shared" si="6"/>
        <v>0</v>
      </c>
    </row>
    <row r="45" spans="1:9" x14ac:dyDescent="0.25">
      <c r="A45" s="6" t="s">
        <v>11</v>
      </c>
      <c r="B45" s="7">
        <f>$C$7*G16</f>
        <v>91.617500000000007</v>
      </c>
      <c r="C45" s="7">
        <f>$C$7*H16</f>
        <v>1832.3500000000001</v>
      </c>
      <c r="D45" s="13">
        <f t="shared" si="2"/>
        <v>961.9837500000001</v>
      </c>
      <c r="F45" s="6" t="s">
        <v>40</v>
      </c>
      <c r="G45" s="7">
        <f>$C$9*G9</f>
        <v>0</v>
      </c>
      <c r="H45" s="7">
        <f>$C$9*H9</f>
        <v>0</v>
      </c>
      <c r="I45" s="7">
        <f t="shared" si="6"/>
        <v>0</v>
      </c>
    </row>
    <row r="46" spans="1:9" x14ac:dyDescent="0.25">
      <c r="A46" s="6" t="s">
        <v>46</v>
      </c>
      <c r="B46" s="7">
        <f>$C$7*G17</f>
        <v>0.36647000000000002</v>
      </c>
      <c r="C46" s="7">
        <f>$C$7*H17</f>
        <v>916.17500000000007</v>
      </c>
      <c r="D46" s="13">
        <f t="shared" si="2"/>
        <v>458.27073500000006</v>
      </c>
      <c r="F46" s="6" t="s">
        <v>11</v>
      </c>
      <c r="G46" s="7">
        <f>$C$9*G16</f>
        <v>0</v>
      </c>
      <c r="H46" s="7">
        <f>$C$9*H16</f>
        <v>0</v>
      </c>
      <c r="I46" s="7">
        <f t="shared" si="6"/>
        <v>0</v>
      </c>
    </row>
    <row r="47" spans="1:9" x14ac:dyDescent="0.25">
      <c r="D47" s="22"/>
    </row>
    <row r="48" spans="1:9" ht="18.75" x14ac:dyDescent="0.25">
      <c r="A48" s="323" t="s">
        <v>6</v>
      </c>
      <c r="B48" s="323"/>
      <c r="C48" s="323"/>
      <c r="D48" s="323"/>
      <c r="F48" s="4" t="s">
        <v>55</v>
      </c>
    </row>
    <row r="49" spans="1:9" ht="18.75" x14ac:dyDescent="0.25">
      <c r="A49" s="11" t="s">
        <v>35</v>
      </c>
      <c r="B49" s="322" t="s">
        <v>62</v>
      </c>
      <c r="C49" s="322"/>
      <c r="D49" s="322"/>
      <c r="F49" s="323" t="s">
        <v>34</v>
      </c>
      <c r="G49" s="323"/>
      <c r="H49" s="323"/>
      <c r="I49" s="323"/>
    </row>
    <row r="50" spans="1:9" x14ac:dyDescent="0.25">
      <c r="A50" s="8"/>
      <c r="B50" s="9" t="s">
        <v>37</v>
      </c>
      <c r="C50" s="9" t="s">
        <v>38</v>
      </c>
      <c r="D50" s="13" t="s">
        <v>66</v>
      </c>
      <c r="F50" s="11" t="s">
        <v>35</v>
      </c>
      <c r="G50" s="322" t="s">
        <v>64</v>
      </c>
      <c r="H50" s="322"/>
      <c r="I50" s="322"/>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557796.43331999995</v>
      </c>
      <c r="H52" s="14">
        <f>$C$12-SUM(H53:H69)</f>
        <v>-1028179.6812</v>
      </c>
      <c r="I52" s="7">
        <f>(G52+H52)/2</f>
        <v>-235191.62394000002</v>
      </c>
    </row>
    <row r="53" spans="1:9" x14ac:dyDescent="0.25">
      <c r="A53" s="6" t="s">
        <v>52</v>
      </c>
      <c r="B53" s="7">
        <f>$C$10*G10</f>
        <v>0</v>
      </c>
      <c r="C53" s="7">
        <f>$C$10*H10</f>
        <v>0</v>
      </c>
      <c r="D53" s="13">
        <f t="shared" si="2"/>
        <v>0</v>
      </c>
      <c r="F53" s="12" t="s">
        <v>9</v>
      </c>
      <c r="G53" s="7">
        <f>$C$12*G6</f>
        <v>77880.600000000006</v>
      </c>
      <c r="H53" s="7">
        <f>$C$12*H6</f>
        <v>545164.19999999995</v>
      </c>
      <c r="I53" s="7">
        <f t="shared" si="6"/>
        <v>311522.39999999997</v>
      </c>
    </row>
    <row r="54" spans="1:9" x14ac:dyDescent="0.25">
      <c r="A54" s="6" t="s">
        <v>49</v>
      </c>
      <c r="B54" s="7">
        <f>$C$10*G8</f>
        <v>0</v>
      </c>
      <c r="C54" s="7">
        <f>$C$10*H8</f>
        <v>0</v>
      </c>
      <c r="D54" s="13">
        <f t="shared" si="2"/>
        <v>0</v>
      </c>
      <c r="F54" s="12" t="s">
        <v>40</v>
      </c>
      <c r="G54" s="7">
        <f>$C$12*G9</f>
        <v>3894.03</v>
      </c>
      <c r="H54" s="7">
        <f>$C$12*H9</f>
        <v>23364.18</v>
      </c>
      <c r="I54" s="7">
        <f t="shared" si="6"/>
        <v>13629.105</v>
      </c>
    </row>
    <row r="55" spans="1:9" x14ac:dyDescent="0.25">
      <c r="A55" s="6" t="s">
        <v>10</v>
      </c>
      <c r="B55" s="7">
        <f>$C$10*G7</f>
        <v>0</v>
      </c>
      <c r="C55" s="7">
        <f>$C$10*H7</f>
        <v>0</v>
      </c>
      <c r="D55" s="13">
        <f t="shared" si="2"/>
        <v>0</v>
      </c>
      <c r="F55" s="12" t="s">
        <v>49</v>
      </c>
      <c r="G55" s="7">
        <f>$C$12*G8</f>
        <v>3894.03</v>
      </c>
      <c r="H55" s="7">
        <f>$C$12*H8</f>
        <v>23364.18</v>
      </c>
      <c r="I55" s="7">
        <f t="shared" si="6"/>
        <v>13629.105</v>
      </c>
    </row>
    <row r="56" spans="1:9" x14ac:dyDescent="0.25">
      <c r="A56" s="6" t="s">
        <v>48</v>
      </c>
      <c r="B56" s="7">
        <f>$C$10*G18</f>
        <v>0</v>
      </c>
      <c r="C56" s="7">
        <f>$C$10*H18</f>
        <v>0</v>
      </c>
      <c r="D56" s="13">
        <f t="shared" si="2"/>
        <v>0</v>
      </c>
      <c r="F56" s="12" t="s">
        <v>11</v>
      </c>
      <c r="G56" s="7">
        <f>$C$12*G16</f>
        <v>1947.0150000000001</v>
      </c>
      <c r="H56" s="7">
        <f>$C$12*H16</f>
        <v>38940.300000000003</v>
      </c>
      <c r="I56" s="7">
        <f t="shared" si="6"/>
        <v>20443.657500000001</v>
      </c>
    </row>
    <row r="57" spans="1:9" x14ac:dyDescent="0.25">
      <c r="A57" s="6" t="s">
        <v>46</v>
      </c>
      <c r="B57" s="7">
        <f>$C$10*G17</f>
        <v>0</v>
      </c>
      <c r="C57" s="7">
        <f>$C$10*H17</f>
        <v>0</v>
      </c>
      <c r="D57" s="13">
        <f t="shared" si="2"/>
        <v>0</v>
      </c>
      <c r="F57" s="6" t="s">
        <v>10</v>
      </c>
      <c r="G57" s="7">
        <f>$C$12*G7</f>
        <v>5451.6419999999998</v>
      </c>
      <c r="H57" s="7">
        <f>$C$12*H7</f>
        <v>194701.5</v>
      </c>
      <c r="I57" s="7">
        <f t="shared" si="6"/>
        <v>100076.571</v>
      </c>
    </row>
    <row r="58" spans="1:9" x14ac:dyDescent="0.25">
      <c r="A58" s="35"/>
      <c r="B58" s="23"/>
      <c r="C58" s="23"/>
      <c r="D58" s="22"/>
      <c r="F58" s="6" t="s">
        <v>98</v>
      </c>
      <c r="G58" s="7">
        <f t="shared" ref="G58:H60" si="7">$C$12*G13</f>
        <v>778.80600000000004</v>
      </c>
      <c r="H58" s="7">
        <f t="shared" si="7"/>
        <v>15576.12</v>
      </c>
      <c r="I58" s="7">
        <f t="shared" si="6"/>
        <v>8177.4630000000006</v>
      </c>
    </row>
    <row r="59" spans="1:9" x14ac:dyDescent="0.25">
      <c r="A59" s="35"/>
      <c r="B59" s="23"/>
      <c r="C59" s="23"/>
      <c r="D59" s="22"/>
      <c r="F59" s="6" t="s">
        <v>99</v>
      </c>
      <c r="G59" s="7">
        <f t="shared" si="7"/>
        <v>3894.03</v>
      </c>
      <c r="H59" s="7">
        <f t="shared" si="7"/>
        <v>159655.22999999998</v>
      </c>
      <c r="I59" s="7">
        <f t="shared" si="6"/>
        <v>81774.62999999999</v>
      </c>
    </row>
    <row r="60" spans="1:9" x14ac:dyDescent="0.25">
      <c r="A60" s="35"/>
      <c r="B60" s="23"/>
      <c r="C60" s="23"/>
      <c r="D60" s="22"/>
      <c r="F60" s="6" t="s">
        <v>45</v>
      </c>
      <c r="G60" s="7">
        <f t="shared" si="7"/>
        <v>7.7880600000000006</v>
      </c>
      <c r="H60" s="7">
        <f t="shared" si="7"/>
        <v>7788.06</v>
      </c>
      <c r="I60" s="7">
        <f t="shared" si="6"/>
        <v>3897.9240300000001</v>
      </c>
    </row>
    <row r="61" spans="1:9" x14ac:dyDescent="0.25">
      <c r="A61" s="35"/>
      <c r="B61" s="23"/>
      <c r="C61" s="23"/>
      <c r="D61" s="22"/>
      <c r="F61" s="6" t="s">
        <v>48</v>
      </c>
      <c r="G61" s="7">
        <f>$C$12*G18</f>
        <v>116.82089999999999</v>
      </c>
      <c r="H61" s="7">
        <f>$C$12*H18</f>
        <v>155.7612</v>
      </c>
      <c r="I61" s="7">
        <f t="shared" si="6"/>
        <v>136.29104999999998</v>
      </c>
    </row>
    <row r="62" spans="1:9" x14ac:dyDescent="0.25">
      <c r="A62" s="35"/>
      <c r="B62" s="23"/>
      <c r="C62" s="23"/>
      <c r="D62" s="22"/>
      <c r="F62" s="6" t="s">
        <v>100</v>
      </c>
      <c r="G62" s="7">
        <f>$C$12*G19</f>
        <v>77.880600000000001</v>
      </c>
      <c r="H62" s="7">
        <f>$C$12*H19</f>
        <v>77880.600000000006</v>
      </c>
      <c r="I62" s="7">
        <f t="shared" si="6"/>
        <v>38979.240300000005</v>
      </c>
    </row>
    <row r="63" spans="1:9" x14ac:dyDescent="0.25">
      <c r="D63" s="22"/>
      <c r="F63" s="6" t="s">
        <v>53</v>
      </c>
      <c r="G63" s="7">
        <f>$C$12*G8</f>
        <v>3894.03</v>
      </c>
      <c r="H63" s="7">
        <f>$C$12*H8</f>
        <v>23364.18</v>
      </c>
      <c r="I63" s="7">
        <f t="shared" si="6"/>
        <v>13629.105</v>
      </c>
    </row>
    <row r="64" spans="1:9" ht="18.75" x14ac:dyDescent="0.25">
      <c r="A64" s="323" t="s">
        <v>7</v>
      </c>
      <c r="B64" s="323"/>
      <c r="C64" s="323"/>
      <c r="D64" s="323"/>
      <c r="F64" s="6" t="s">
        <v>46</v>
      </c>
      <c r="G64" s="7">
        <f>$C$12*G17</f>
        <v>7.7880600000000006</v>
      </c>
      <c r="H64" s="7">
        <f>$C$12*H17</f>
        <v>19470.150000000001</v>
      </c>
      <c r="I64" s="7">
        <f t="shared" si="6"/>
        <v>9738.9690300000002</v>
      </c>
    </row>
    <row r="65" spans="1:9" x14ac:dyDescent="0.25">
      <c r="A65" s="11" t="s">
        <v>35</v>
      </c>
      <c r="B65" s="322" t="s">
        <v>63</v>
      </c>
      <c r="C65" s="322"/>
      <c r="D65" s="322"/>
      <c r="F65" s="6" t="s">
        <v>14</v>
      </c>
      <c r="G65" s="7">
        <f>$C$12*G20</f>
        <v>7.7880600000000006</v>
      </c>
      <c r="H65" s="7">
        <f>$C$12*H20</f>
        <v>389403</v>
      </c>
      <c r="I65" s="7">
        <f t="shared" si="6"/>
        <v>194705.39403</v>
      </c>
    </row>
    <row r="66" spans="1:9" x14ac:dyDescent="0.25">
      <c r="A66" s="8"/>
      <c r="B66" s="9" t="s">
        <v>37</v>
      </c>
      <c r="C66" s="9" t="s">
        <v>38</v>
      </c>
      <c r="D66" s="13" t="s">
        <v>66</v>
      </c>
      <c r="F66" s="6" t="s">
        <v>56</v>
      </c>
      <c r="G66" s="7">
        <f>$C$12*G21</f>
        <v>116820.9</v>
      </c>
      <c r="H66" s="7">
        <f>$C$12*H21</f>
        <v>233641.8</v>
      </c>
      <c r="I66" s="7">
        <f t="shared" si="6"/>
        <v>175231.34999999998</v>
      </c>
    </row>
    <row r="67" spans="1:9" x14ac:dyDescent="0.25">
      <c r="A67" s="12" t="s">
        <v>47</v>
      </c>
      <c r="B67" s="9">
        <f>$C$11-SUM(B68:B73)</f>
        <v>19553.107090000001</v>
      </c>
      <c r="C67" s="9">
        <f>$C$11-SUM(C68:C73)</f>
        <v>16368.825000000001</v>
      </c>
      <c r="D67" s="13">
        <f t="shared" si="2"/>
        <v>17960.966045000001</v>
      </c>
      <c r="F67" s="6" t="s">
        <v>41</v>
      </c>
      <c r="G67" s="7">
        <f>$C$12*G11</f>
        <v>778.80600000000004</v>
      </c>
      <c r="H67" s="7">
        <f>$C$12*H11</f>
        <v>23364.18</v>
      </c>
      <c r="I67" s="7">
        <f t="shared" si="6"/>
        <v>12071.493</v>
      </c>
    </row>
    <row r="68" spans="1:9" x14ac:dyDescent="0.25">
      <c r="A68" s="6" t="s">
        <v>40</v>
      </c>
      <c r="B68" s="7">
        <f>$C$11*G9</f>
        <v>99.204999999999998</v>
      </c>
      <c r="C68" s="7">
        <f>$C$11*H9</f>
        <v>595.23</v>
      </c>
      <c r="D68" s="13">
        <f t="shared" si="2"/>
        <v>347.21750000000003</v>
      </c>
      <c r="F68" s="6" t="s">
        <v>52</v>
      </c>
      <c r="G68" s="7">
        <f>$C$12*G10</f>
        <v>778.80600000000004</v>
      </c>
      <c r="H68" s="7">
        <f>$C$12*H10</f>
        <v>23364.18</v>
      </c>
      <c r="I68" s="7">
        <f t="shared" si="6"/>
        <v>12071.493</v>
      </c>
    </row>
    <row r="69" spans="1:9" x14ac:dyDescent="0.25">
      <c r="A69" s="6" t="s">
        <v>52</v>
      </c>
      <c r="B69" s="7">
        <f>$C$11*G10</f>
        <v>19.841000000000001</v>
      </c>
      <c r="C69" s="7">
        <f>$C$11*H10</f>
        <v>595.23</v>
      </c>
      <c r="D69" s="13">
        <f t="shared" si="2"/>
        <v>307.53550000000001</v>
      </c>
      <c r="F69" s="6" t="s">
        <v>51</v>
      </c>
      <c r="G69" s="7">
        <f>$C$12*G12</f>
        <v>778.80600000000004</v>
      </c>
      <c r="H69" s="7">
        <f>$C$12*H12</f>
        <v>7788.06</v>
      </c>
      <c r="I69" s="7">
        <f t="shared" si="6"/>
        <v>4283.433</v>
      </c>
    </row>
    <row r="70" spans="1:9" x14ac:dyDescent="0.25">
      <c r="A70" s="6" t="s">
        <v>49</v>
      </c>
      <c r="B70" s="7">
        <f>$C$11*G8</f>
        <v>99.204999999999998</v>
      </c>
      <c r="C70" s="7">
        <f>$C$11*H8</f>
        <v>595.23</v>
      </c>
      <c r="D70" s="13">
        <f t="shared" si="2"/>
        <v>347.21750000000003</v>
      </c>
      <c r="F70" s="4" t="s">
        <v>55</v>
      </c>
    </row>
    <row r="71" spans="1:9" x14ac:dyDescent="0.25">
      <c r="A71" s="6" t="s">
        <v>51</v>
      </c>
      <c r="B71" s="7">
        <f>$C$11*G12</f>
        <v>19.841000000000001</v>
      </c>
      <c r="C71" s="7">
        <f>$C$11*H12</f>
        <v>198.41</v>
      </c>
      <c r="D71" s="13">
        <f t="shared" si="2"/>
        <v>109.1255</v>
      </c>
    </row>
    <row r="72" spans="1:9" x14ac:dyDescent="0.25">
      <c r="A72" s="6" t="s">
        <v>11</v>
      </c>
      <c r="B72" s="7">
        <f>$C$11*G16</f>
        <v>49.602499999999999</v>
      </c>
      <c r="C72" s="7">
        <f>$C$11*H16</f>
        <v>992.05000000000007</v>
      </c>
      <c r="D72" s="13">
        <f t="shared" si="2"/>
        <v>520.82625000000007</v>
      </c>
    </row>
    <row r="73" spans="1:9" x14ac:dyDescent="0.25">
      <c r="A73" s="6" t="s">
        <v>46</v>
      </c>
      <c r="B73" s="7">
        <f>$C$11*G17</f>
        <v>0.19841</v>
      </c>
      <c r="C73" s="7">
        <f>$C$11*H17</f>
        <v>496.02500000000003</v>
      </c>
      <c r="D73" s="13">
        <f t="shared" si="2"/>
        <v>248.11170500000003</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73"/>
  <sheetViews>
    <sheetView workbookViewId="0">
      <selection activeCell="L34" sqref="L3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286</v>
      </c>
    </row>
    <row r="2" spans="1:12" x14ac:dyDescent="0.25">
      <c r="A2" s="2" t="s">
        <v>23</v>
      </c>
      <c r="B2" s="116">
        <f>SUM(C5:C12)</f>
        <v>8345</v>
      </c>
      <c r="C2" s="3" t="s">
        <v>24</v>
      </c>
    </row>
    <row r="3" spans="1:12" x14ac:dyDescent="0.25">
      <c r="A3" s="2"/>
    </row>
    <row r="4" spans="1:12" x14ac:dyDescent="0.25">
      <c r="A4" s="5" t="s">
        <v>25</v>
      </c>
      <c r="B4" s="5" t="s">
        <v>26</v>
      </c>
      <c r="C4" s="5" t="s">
        <v>288</v>
      </c>
      <c r="D4" s="24" t="s">
        <v>287</v>
      </c>
      <c r="F4" s="5" t="s">
        <v>35</v>
      </c>
      <c r="G4" s="324" t="s">
        <v>36</v>
      </c>
      <c r="H4" s="325"/>
      <c r="L4" s="2" t="s">
        <v>101</v>
      </c>
    </row>
    <row r="5" spans="1:12" x14ac:dyDescent="0.25">
      <c r="A5" s="6" t="s">
        <v>27</v>
      </c>
      <c r="B5" s="16">
        <f>C5/$B$2</f>
        <v>0.28943479129219096</v>
      </c>
      <c r="C5" s="127">
        <f>'US 2018 Facts - Sensitivity'!G30/3</f>
        <v>2415.3333333333335</v>
      </c>
      <c r="D5" s="25"/>
      <c r="F5" s="8"/>
      <c r="G5" s="9" t="s">
        <v>37</v>
      </c>
      <c r="H5" s="9" t="s">
        <v>38</v>
      </c>
      <c r="I5" s="9" t="s">
        <v>66</v>
      </c>
      <c r="K5" s="6" t="s">
        <v>9</v>
      </c>
      <c r="L5" s="3">
        <f>SUM(B40,G40,G53)</f>
        <v>107.20000000000002</v>
      </c>
    </row>
    <row r="6" spans="1:12" x14ac:dyDescent="0.25">
      <c r="A6" s="6" t="s">
        <v>28</v>
      </c>
      <c r="B6" s="16">
        <f t="shared" ref="B6:B12" si="0">C6/$B$2</f>
        <v>0.28943479129219096</v>
      </c>
      <c r="C6" s="127">
        <f>'US 2018 Facts - Sensitivity'!G30/3</f>
        <v>2415.3333333333335</v>
      </c>
      <c r="D6" s="25" t="s">
        <v>306</v>
      </c>
      <c r="F6" s="6" t="s">
        <v>9</v>
      </c>
      <c r="G6" s="7">
        <v>0.1</v>
      </c>
      <c r="H6" s="7">
        <v>0.7</v>
      </c>
      <c r="I6" s="10">
        <f>(G6+H6)/2</f>
        <v>0.39999999999999997</v>
      </c>
      <c r="K6" s="6" t="s">
        <v>10</v>
      </c>
      <c r="L6" s="3">
        <f>SUM(B20,B32,B55,G31,G57)</f>
        <v>57.988</v>
      </c>
    </row>
    <row r="7" spans="1:12" x14ac:dyDescent="0.25">
      <c r="A7" s="6" t="s">
        <v>29</v>
      </c>
      <c r="B7" s="16">
        <f>C7/$B$2</f>
        <v>4.0742959856201319E-3</v>
      </c>
      <c r="C7" s="127">
        <f>'US 2018 Facts - Sensitivity'!G31</f>
        <v>34</v>
      </c>
      <c r="D7" s="25"/>
      <c r="F7" s="6" t="s">
        <v>10</v>
      </c>
      <c r="G7" s="7">
        <v>7.0000000000000001E-3</v>
      </c>
      <c r="H7" s="7">
        <v>0.25</v>
      </c>
      <c r="I7" s="10">
        <f t="shared" ref="I7:I21" si="1">(G7+H7)/2</f>
        <v>0.1285</v>
      </c>
      <c r="K7" s="6" t="s">
        <v>39</v>
      </c>
      <c r="L7" s="3">
        <f>SUM(B19,B30,B33,B43,B54,B70,G30,G32,G41,G55,G63)</f>
        <v>75.899000000000001</v>
      </c>
    </row>
    <row r="8" spans="1:12" x14ac:dyDescent="0.25">
      <c r="A8" s="6" t="s">
        <v>30</v>
      </c>
      <c r="B8" s="16">
        <f t="shared" si="0"/>
        <v>0.28943479129219096</v>
      </c>
      <c r="C8" s="127">
        <f>'US 2018 Facts - Sensitivity'!G30/3</f>
        <v>2415.3333333333335</v>
      </c>
      <c r="D8" s="25"/>
      <c r="F8" s="6" t="s">
        <v>39</v>
      </c>
      <c r="G8" s="7">
        <v>5.0000000000000001E-3</v>
      </c>
      <c r="H8" s="7">
        <v>0.03</v>
      </c>
      <c r="I8" s="10">
        <f t="shared" si="1"/>
        <v>1.7499999999999998E-2</v>
      </c>
      <c r="K8" s="6" t="s">
        <v>40</v>
      </c>
      <c r="L8" s="3">
        <f>SUM(B29,B41,B52,G54,G28,G45,B68)</f>
        <v>29.648333333333337</v>
      </c>
    </row>
    <row r="9" spans="1:12" x14ac:dyDescent="0.25">
      <c r="A9" s="6" t="s">
        <v>31</v>
      </c>
      <c r="B9" s="16">
        <f t="shared" si="0"/>
        <v>0</v>
      </c>
      <c r="C9" s="128">
        <v>0</v>
      </c>
      <c r="D9" s="25"/>
      <c r="F9" s="6" t="s">
        <v>40</v>
      </c>
      <c r="G9" s="7">
        <v>5.0000000000000001E-3</v>
      </c>
      <c r="H9" s="7">
        <v>0.03</v>
      </c>
      <c r="I9" s="10">
        <f t="shared" si="1"/>
        <v>1.7499999999999998E-2</v>
      </c>
      <c r="K9" s="6" t="s">
        <v>12</v>
      </c>
      <c r="L9" s="3">
        <f>SUM(B42,B53,B69,G68,G29)</f>
        <v>3.5143333333333331</v>
      </c>
    </row>
    <row r="10" spans="1:12" x14ac:dyDescent="0.25">
      <c r="A10" s="6" t="s">
        <v>32</v>
      </c>
      <c r="B10" s="16">
        <f t="shared" si="0"/>
        <v>0</v>
      </c>
      <c r="C10" s="128">
        <v>0</v>
      </c>
      <c r="D10" s="25"/>
      <c r="F10" s="6" t="s">
        <v>12</v>
      </c>
      <c r="G10" s="7">
        <v>1E-3</v>
      </c>
      <c r="H10" s="7">
        <v>0.03</v>
      </c>
      <c r="I10" s="10">
        <f t="shared" si="1"/>
        <v>1.55E-2</v>
      </c>
      <c r="K10" s="6" t="s">
        <v>41</v>
      </c>
      <c r="L10" s="3">
        <f>SUM(B44,G67)</f>
        <v>1.0720000000000001</v>
      </c>
    </row>
    <row r="11" spans="1:12" x14ac:dyDescent="0.25">
      <c r="A11" s="6" t="s">
        <v>33</v>
      </c>
      <c r="B11" s="16">
        <f t="shared" si="0"/>
        <v>3.2354703415218692E-3</v>
      </c>
      <c r="C11" s="128">
        <f>'US 2018 Facts - Sensitivity'!G32</f>
        <v>27</v>
      </c>
      <c r="D11" s="25"/>
      <c r="F11" s="6" t="s">
        <v>41</v>
      </c>
      <c r="G11" s="7">
        <v>1E-3</v>
      </c>
      <c r="H11" s="7">
        <v>0.03</v>
      </c>
      <c r="I11" s="10">
        <f t="shared" si="1"/>
        <v>1.55E-2</v>
      </c>
      <c r="K11" s="6" t="s">
        <v>42</v>
      </c>
      <c r="L11" s="3">
        <f>SUM(B21,B71,G69)</f>
        <v>3.4803333333333333</v>
      </c>
    </row>
    <row r="12" spans="1:12" x14ac:dyDescent="0.25">
      <c r="A12" s="6" t="s">
        <v>34</v>
      </c>
      <c r="B12" s="16">
        <f t="shared" si="0"/>
        <v>0.12438585979628521</v>
      </c>
      <c r="C12" s="128">
        <f>'US 2018 Facts - Sensitivity'!G33</f>
        <v>1038</v>
      </c>
      <c r="D12" s="25"/>
      <c r="F12" s="6" t="s">
        <v>42</v>
      </c>
      <c r="G12" s="7">
        <v>1E-3</v>
      </c>
      <c r="H12" s="7">
        <v>0.01</v>
      </c>
      <c r="I12" s="10">
        <f t="shared" si="1"/>
        <v>5.4999999999999997E-3</v>
      </c>
      <c r="K12" s="6" t="s">
        <v>43</v>
      </c>
      <c r="L12" s="3">
        <f>SUM(G58)</f>
        <v>1.038</v>
      </c>
    </row>
    <row r="13" spans="1:12" x14ac:dyDescent="0.25">
      <c r="C13" s="3" t="s">
        <v>179</v>
      </c>
      <c r="F13" s="6" t="s">
        <v>43</v>
      </c>
      <c r="G13" s="7">
        <v>1E-3</v>
      </c>
      <c r="H13" s="7">
        <v>0.02</v>
      </c>
      <c r="I13" s="10">
        <f t="shared" si="1"/>
        <v>1.0500000000000001E-2</v>
      </c>
      <c r="K13" s="6" t="s">
        <v>44</v>
      </c>
      <c r="L13" s="3">
        <f>SUM(G59)</f>
        <v>5.19</v>
      </c>
    </row>
    <row r="14" spans="1:12" x14ac:dyDescent="0.25">
      <c r="F14" s="6" t="s">
        <v>44</v>
      </c>
      <c r="G14" s="7">
        <v>5.0000000000000001E-3</v>
      </c>
      <c r="H14" s="7">
        <v>0.20499999999999999</v>
      </c>
      <c r="I14" s="10">
        <f t="shared" si="1"/>
        <v>0.105</v>
      </c>
      <c r="K14" s="6" t="s">
        <v>45</v>
      </c>
      <c r="L14" s="3">
        <f>SUM(G44,G60)</f>
        <v>1.038E-2</v>
      </c>
    </row>
    <row r="15" spans="1:12" ht="18.75" x14ac:dyDescent="0.25">
      <c r="A15" s="323" t="s">
        <v>1</v>
      </c>
      <c r="B15" s="323"/>
      <c r="C15" s="323"/>
      <c r="D15" s="323"/>
      <c r="F15" s="6" t="s">
        <v>45</v>
      </c>
      <c r="G15" s="7">
        <v>1.0000000000000001E-5</v>
      </c>
      <c r="H15" s="7">
        <v>0.01</v>
      </c>
      <c r="I15" s="10">
        <f t="shared" si="1"/>
        <v>5.0049999999999999E-3</v>
      </c>
      <c r="K15" s="6" t="s">
        <v>11</v>
      </c>
      <c r="L15" s="3">
        <f>SUM(B31,B45,B72,G33,G46,G56)</f>
        <v>14.824166666666668</v>
      </c>
    </row>
    <row r="16" spans="1:12" x14ac:dyDescent="0.25">
      <c r="A16" s="11" t="s">
        <v>35</v>
      </c>
      <c r="B16" s="322" t="s">
        <v>58</v>
      </c>
      <c r="C16" s="322"/>
      <c r="D16" s="322"/>
      <c r="F16" s="6" t="s">
        <v>11</v>
      </c>
      <c r="G16" s="7">
        <v>2.5000000000000001E-3</v>
      </c>
      <c r="H16" s="7">
        <v>0.05</v>
      </c>
      <c r="I16" s="10">
        <f t="shared" si="1"/>
        <v>2.6250000000000002E-2</v>
      </c>
      <c r="K16" s="6" t="s">
        <v>46</v>
      </c>
      <c r="L16" s="3">
        <f>SUM(B23,B34,G34,B46,B57,G64,B73)</f>
        <v>8.345000000000001E-2</v>
      </c>
    </row>
    <row r="17" spans="1:17" x14ac:dyDescent="0.25">
      <c r="A17" s="8"/>
      <c r="B17" s="9" t="s">
        <v>37</v>
      </c>
      <c r="C17" s="9" t="s">
        <v>38</v>
      </c>
      <c r="D17" s="9" t="s">
        <v>66</v>
      </c>
      <c r="F17" s="6" t="s">
        <v>46</v>
      </c>
      <c r="G17" s="7">
        <v>1.0000000000000001E-5</v>
      </c>
      <c r="H17" s="7">
        <v>2.5000000000000001E-2</v>
      </c>
      <c r="I17" s="10">
        <f t="shared" si="1"/>
        <v>1.2505E-2</v>
      </c>
      <c r="K17" s="6" t="s">
        <v>48</v>
      </c>
      <c r="L17" s="3">
        <f>SUM(B22,B56,G61)</f>
        <v>0.51800000000000002</v>
      </c>
    </row>
    <row r="18" spans="1:17" x14ac:dyDescent="0.25">
      <c r="A18" s="12" t="s">
        <v>47</v>
      </c>
      <c r="B18" s="9">
        <f>$C$5-SUM(B19:B23)</f>
        <v>2383.5475466666667</v>
      </c>
      <c r="C18" s="13">
        <f>$C$5-SUM(C19:C23)</f>
        <v>1654.0202666666669</v>
      </c>
      <c r="D18" s="13">
        <f>(B18+C18)/2</f>
        <v>2018.7839066666668</v>
      </c>
      <c r="F18" s="6" t="s">
        <v>48</v>
      </c>
      <c r="G18" s="7">
        <v>1.4999999999999999E-4</v>
      </c>
      <c r="H18" s="7">
        <v>2.0000000000000001E-4</v>
      </c>
      <c r="I18" s="10">
        <f t="shared" si="1"/>
        <v>1.75E-4</v>
      </c>
      <c r="K18" s="6" t="s">
        <v>50</v>
      </c>
      <c r="L18" s="3">
        <f>SUM(G62)</f>
        <v>0.1038</v>
      </c>
    </row>
    <row r="19" spans="1:17" x14ac:dyDescent="0.25">
      <c r="A19" s="6" t="s">
        <v>49</v>
      </c>
      <c r="B19" s="7">
        <f>$C$5*G8</f>
        <v>12.076666666666668</v>
      </c>
      <c r="C19" s="7">
        <f>$C$5*H8</f>
        <v>72.460000000000008</v>
      </c>
      <c r="D19" s="13">
        <f t="shared" ref="D19:D73" si="2">(B19+C19)/2</f>
        <v>42.268333333333338</v>
      </c>
      <c r="F19" s="6" t="s">
        <v>50</v>
      </c>
      <c r="G19" s="7">
        <v>1E-4</v>
      </c>
      <c r="H19" s="7">
        <v>0.1</v>
      </c>
      <c r="I19" s="10">
        <f t="shared" si="1"/>
        <v>5.0050000000000004E-2</v>
      </c>
      <c r="K19" s="6" t="s">
        <v>14</v>
      </c>
      <c r="L19" s="3">
        <f>SUM(G42,G65)</f>
        <v>1.038E-2</v>
      </c>
    </row>
    <row r="20" spans="1:17" x14ac:dyDescent="0.25">
      <c r="A20" s="6" t="s">
        <v>10</v>
      </c>
      <c r="B20" s="7">
        <f>$C$5*G7</f>
        <v>16.907333333333334</v>
      </c>
      <c r="C20" s="7">
        <f>$C$5*H7</f>
        <v>603.83333333333337</v>
      </c>
      <c r="D20" s="13">
        <f t="shared" si="2"/>
        <v>310.37033333333335</v>
      </c>
      <c r="F20" s="6" t="s">
        <v>14</v>
      </c>
      <c r="G20" s="7">
        <v>1.0000000000000001E-5</v>
      </c>
      <c r="H20" s="7">
        <v>0.5</v>
      </c>
      <c r="I20" s="10">
        <f t="shared" si="1"/>
        <v>0.25000499999999998</v>
      </c>
      <c r="K20" s="6" t="s">
        <v>15</v>
      </c>
      <c r="L20" s="3">
        <f>SUM(G66,G43)</f>
        <v>155.69999999999999</v>
      </c>
    </row>
    <row r="21" spans="1:17" x14ac:dyDescent="0.25">
      <c r="A21" s="6" t="s">
        <v>51</v>
      </c>
      <c r="B21" s="7">
        <f>$C$5*G12</f>
        <v>2.4153333333333333</v>
      </c>
      <c r="C21" s="7">
        <f>$C$5*H12</f>
        <v>24.153333333333336</v>
      </c>
      <c r="D21" s="13">
        <f t="shared" si="2"/>
        <v>13.284333333333334</v>
      </c>
      <c r="F21" s="6" t="s">
        <v>15</v>
      </c>
      <c r="G21" s="7">
        <v>0.15</v>
      </c>
      <c r="H21" s="7">
        <v>0.3</v>
      </c>
      <c r="I21" s="10">
        <f t="shared" si="1"/>
        <v>0.22499999999999998</v>
      </c>
      <c r="M21" s="285" t="s">
        <v>485</v>
      </c>
    </row>
    <row r="22" spans="1:17" x14ac:dyDescent="0.25">
      <c r="A22" s="6" t="s">
        <v>48</v>
      </c>
      <c r="B22" s="7">
        <f>$C$5*G18</f>
        <v>0.36230000000000001</v>
      </c>
      <c r="C22" s="7">
        <f>$C$5*H18</f>
        <v>0.4830666666666667</v>
      </c>
      <c r="D22" s="13">
        <f t="shared" si="2"/>
        <v>0.42268333333333336</v>
      </c>
      <c r="L22" s="19"/>
      <c r="M22" s="15" t="s">
        <v>486</v>
      </c>
      <c r="N22" s="37"/>
      <c r="O22" s="37"/>
    </row>
    <row r="23" spans="1:17" x14ac:dyDescent="0.25">
      <c r="A23" s="6" t="s">
        <v>46</v>
      </c>
      <c r="B23" s="7">
        <f>$C$5*G17</f>
        <v>2.4153333333333336E-2</v>
      </c>
      <c r="C23" s="7">
        <f>$C$5*H17</f>
        <v>60.38333333333334</v>
      </c>
      <c r="D23" s="13">
        <f t="shared" si="2"/>
        <v>30.203743333333335</v>
      </c>
      <c r="K23" s="2" t="s">
        <v>333</v>
      </c>
      <c r="L23" s="283" t="s">
        <v>479</v>
      </c>
      <c r="M23" s="2" t="s">
        <v>483</v>
      </c>
      <c r="N23" s="2" t="s">
        <v>482</v>
      </c>
      <c r="O23" s="2" t="s">
        <v>215</v>
      </c>
      <c r="P23" s="2" t="s">
        <v>484</v>
      </c>
      <c r="Q23" s="2" t="s">
        <v>470</v>
      </c>
    </row>
    <row r="24" spans="1:17" ht="18.75" x14ac:dyDescent="0.25">
      <c r="D24" s="22"/>
      <c r="F24" s="323" t="s">
        <v>4</v>
      </c>
      <c r="G24" s="323"/>
      <c r="H24" s="323"/>
      <c r="I24" s="323"/>
      <c r="K24" s="3" t="s">
        <v>27</v>
      </c>
      <c r="L24" s="19">
        <f>C5</f>
        <v>2415.3333333333335</v>
      </c>
      <c r="M24" s="99">
        <v>3.18</v>
      </c>
      <c r="N24" s="3">
        <f>L24/0.00110231 *M24</f>
        <v>6967876.5501537686</v>
      </c>
      <c r="O24" s="44">
        <f>N24*0.00110231</f>
        <v>7680.7600000000011</v>
      </c>
      <c r="P24" s="3">
        <v>73.900000000000006</v>
      </c>
      <c r="Q24" s="3">
        <f>L24/0.00110231 *P24</f>
        <v>161926439.32590047</v>
      </c>
    </row>
    <row r="25" spans="1:17" ht="18.75" x14ac:dyDescent="0.25">
      <c r="A25" s="323" t="s">
        <v>2</v>
      </c>
      <c r="B25" s="323"/>
      <c r="C25" s="323"/>
      <c r="D25" s="323"/>
      <c r="F25" s="11" t="s">
        <v>35</v>
      </c>
      <c r="G25" s="322" t="s">
        <v>60</v>
      </c>
      <c r="H25" s="322"/>
      <c r="I25" s="322"/>
      <c r="K25" s="3" t="s">
        <v>28</v>
      </c>
      <c r="L25" s="19">
        <f t="shared" ref="L25:L31" si="3">C6</f>
        <v>2415.3333333333335</v>
      </c>
      <c r="M25" s="99">
        <v>2.09</v>
      </c>
      <c r="N25" s="3">
        <f t="shared" ref="N25:N31" si="4">L25/0.00110231 *M25</f>
        <v>4579516.3490004325</v>
      </c>
      <c r="O25" s="44">
        <f t="shared" ref="O25:O31" si="5">N25*0.00110231</f>
        <v>5048.0466666666671</v>
      </c>
      <c r="P25" s="3">
        <v>72.7</v>
      </c>
      <c r="Q25" s="3">
        <f t="shared" ref="Q25:Q31" si="6">L25/0.00110231 *P25</f>
        <v>159297051.94848394</v>
      </c>
    </row>
    <row r="26" spans="1:17" x14ac:dyDescent="0.25">
      <c r="A26" s="11" t="s">
        <v>35</v>
      </c>
      <c r="B26" s="322" t="s">
        <v>59</v>
      </c>
      <c r="C26" s="322"/>
      <c r="D26" s="322"/>
      <c r="F26" s="8"/>
      <c r="G26" s="9" t="s">
        <v>37</v>
      </c>
      <c r="H26" s="9" t="s">
        <v>38</v>
      </c>
      <c r="I26" s="9" t="s">
        <v>66</v>
      </c>
      <c r="K26" s="3" t="s">
        <v>29</v>
      </c>
      <c r="L26" s="19">
        <f t="shared" si="3"/>
        <v>34</v>
      </c>
      <c r="M26" s="99">
        <v>3.64</v>
      </c>
      <c r="N26" s="3">
        <f t="shared" si="4"/>
        <v>112273.31694350953</v>
      </c>
      <c r="O26" s="44">
        <f t="shared" si="5"/>
        <v>123.75999999999999</v>
      </c>
      <c r="P26" s="3">
        <v>50.1</v>
      </c>
      <c r="Q26" s="3">
        <f t="shared" si="6"/>
        <v>1545300.3238653373</v>
      </c>
    </row>
    <row r="27" spans="1:17" x14ac:dyDescent="0.25">
      <c r="A27" s="8"/>
      <c r="B27" s="9" t="s">
        <v>37</v>
      </c>
      <c r="C27" s="9" t="s">
        <v>38</v>
      </c>
      <c r="D27" s="13" t="s">
        <v>66</v>
      </c>
      <c r="F27" s="12" t="s">
        <v>47</v>
      </c>
      <c r="G27" s="9">
        <f>$C$8-SUM(G28:G34)</f>
        <v>2353.7181800000003</v>
      </c>
      <c r="H27" s="9">
        <f>$C$8-SUM(H28:H34)</f>
        <v>1340.51</v>
      </c>
      <c r="I27" s="7">
        <f>(G27+H27)/2</f>
        <v>1847.11409</v>
      </c>
      <c r="K27" s="3" t="s">
        <v>122</v>
      </c>
      <c r="L27" s="19">
        <f t="shared" si="3"/>
        <v>2415.3333333333335</v>
      </c>
      <c r="M27" s="99">
        <v>2.27</v>
      </c>
      <c r="N27" s="3">
        <f t="shared" si="4"/>
        <v>4973924.45561291</v>
      </c>
      <c r="O27" s="44">
        <f t="shared" si="5"/>
        <v>5482.8066666666673</v>
      </c>
      <c r="P27" s="3">
        <v>71.900000000000006</v>
      </c>
      <c r="Q27" s="3">
        <f t="shared" si="6"/>
        <v>157544127.03020629</v>
      </c>
    </row>
    <row r="28" spans="1:17" x14ac:dyDescent="0.25">
      <c r="A28" s="12" t="s">
        <v>47</v>
      </c>
      <c r="B28" s="9">
        <f>$C$6-SUM(B29:B34)</f>
        <v>2351.3028466666669</v>
      </c>
      <c r="C28" s="13">
        <f>$C$5-SUM(C29:C34)</f>
        <v>881.59666666666658</v>
      </c>
      <c r="D28" s="13">
        <f t="shared" si="2"/>
        <v>1616.4497566666669</v>
      </c>
      <c r="F28" s="12" t="s">
        <v>40</v>
      </c>
      <c r="G28" s="7">
        <f>$C$8*G9</f>
        <v>12.076666666666668</v>
      </c>
      <c r="H28" s="7">
        <f>$C$8*H9</f>
        <v>72.460000000000008</v>
      </c>
      <c r="I28" s="7">
        <f t="shared" ref="I28:I69" si="7">(G28+H28)/2</f>
        <v>42.268333333333338</v>
      </c>
      <c r="K28" s="3" t="s">
        <v>31</v>
      </c>
      <c r="L28" s="19">
        <f t="shared" si="3"/>
        <v>0</v>
      </c>
      <c r="M28" s="99">
        <v>0</v>
      </c>
      <c r="N28" s="3">
        <f t="shared" si="4"/>
        <v>0</v>
      </c>
      <c r="O28" s="44">
        <f t="shared" si="5"/>
        <v>0</v>
      </c>
      <c r="P28" s="3">
        <v>0</v>
      </c>
      <c r="Q28" s="3">
        <f t="shared" si="6"/>
        <v>0</v>
      </c>
    </row>
    <row r="29" spans="1:17" x14ac:dyDescent="0.25">
      <c r="A29" s="6" t="s">
        <v>40</v>
      </c>
      <c r="B29" s="7">
        <f>$C$6*G9</f>
        <v>12.076666666666668</v>
      </c>
      <c r="C29" s="7">
        <f>$C$6*H9</f>
        <v>72.460000000000008</v>
      </c>
      <c r="D29" s="13">
        <f t="shared" si="2"/>
        <v>42.268333333333338</v>
      </c>
      <c r="F29" s="6" t="s">
        <v>52</v>
      </c>
      <c r="G29" s="7">
        <f>$C$8*G10</f>
        <v>2.4153333333333333</v>
      </c>
      <c r="H29" s="7">
        <f>$C$8*H10</f>
        <v>72.460000000000008</v>
      </c>
      <c r="I29" s="7">
        <f t="shared" si="7"/>
        <v>37.437666666666672</v>
      </c>
      <c r="K29" s="3" t="s">
        <v>32</v>
      </c>
      <c r="L29" s="19">
        <f t="shared" si="3"/>
        <v>0</v>
      </c>
      <c r="M29" s="99">
        <v>2.12</v>
      </c>
      <c r="N29" s="3">
        <f t="shared" si="4"/>
        <v>0</v>
      </c>
      <c r="O29" s="44">
        <f t="shared" si="5"/>
        <v>0</v>
      </c>
      <c r="P29" s="3">
        <v>71.599999999999994</v>
      </c>
      <c r="Q29" s="3">
        <f t="shared" si="6"/>
        <v>0</v>
      </c>
    </row>
    <row r="30" spans="1:17" x14ac:dyDescent="0.25">
      <c r="A30" s="6" t="s">
        <v>49</v>
      </c>
      <c r="B30" s="7">
        <f>$C$6*G8</f>
        <v>12.076666666666668</v>
      </c>
      <c r="C30" s="7">
        <f>$C$6*H8</f>
        <v>72.460000000000008</v>
      </c>
      <c r="D30" s="13">
        <f t="shared" si="2"/>
        <v>42.268333333333338</v>
      </c>
      <c r="F30" s="6" t="s">
        <v>49</v>
      </c>
      <c r="G30" s="7">
        <f>$C$8*G8</f>
        <v>12.076666666666668</v>
      </c>
      <c r="H30" s="7">
        <f>$C$8*H8</f>
        <v>72.460000000000008</v>
      </c>
      <c r="I30" s="7">
        <f t="shared" si="7"/>
        <v>42.268333333333338</v>
      </c>
      <c r="K30" s="3" t="s">
        <v>33</v>
      </c>
      <c r="L30" s="19">
        <f t="shared" si="3"/>
        <v>27</v>
      </c>
      <c r="M30" s="99">
        <v>3.76</v>
      </c>
      <c r="N30" s="3">
        <f t="shared" si="4"/>
        <v>92097.504331812277</v>
      </c>
      <c r="O30" s="44">
        <f t="shared" si="5"/>
        <v>101.52</v>
      </c>
      <c r="P30" s="3">
        <v>85.5</v>
      </c>
      <c r="Q30" s="3">
        <f t="shared" si="6"/>
        <v>2094238.4628643484</v>
      </c>
    </row>
    <row r="31" spans="1:17" x14ac:dyDescent="0.25">
      <c r="A31" s="6" t="s">
        <v>11</v>
      </c>
      <c r="B31" s="7">
        <f>$C$6*G16</f>
        <v>6.038333333333334</v>
      </c>
      <c r="C31" s="7">
        <f>$C$6*H16</f>
        <v>120.76666666666668</v>
      </c>
      <c r="D31" s="13">
        <f t="shared" si="2"/>
        <v>63.402500000000003</v>
      </c>
      <c r="F31" s="6" t="s">
        <v>10</v>
      </c>
      <c r="G31" s="7">
        <f>$C$8*G7</f>
        <v>16.907333333333334</v>
      </c>
      <c r="H31" s="7">
        <f>$C$8*H7</f>
        <v>603.83333333333337</v>
      </c>
      <c r="I31" s="7">
        <f t="shared" si="7"/>
        <v>310.37033333333335</v>
      </c>
      <c r="K31" s="3" t="s">
        <v>216</v>
      </c>
      <c r="L31" s="19">
        <f t="shared" si="3"/>
        <v>1038</v>
      </c>
      <c r="M31" s="99">
        <v>8.34</v>
      </c>
      <c r="N31" s="3">
        <f t="shared" si="4"/>
        <v>7853435.0591031564</v>
      </c>
      <c r="O31" s="44">
        <f t="shared" si="5"/>
        <v>8656.92</v>
      </c>
      <c r="P31" s="3">
        <v>120</v>
      </c>
      <c r="Q31" s="3">
        <f t="shared" si="6"/>
        <v>112999065.59860657</v>
      </c>
    </row>
    <row r="32" spans="1:17" x14ac:dyDescent="0.25">
      <c r="A32" s="6" t="s">
        <v>10</v>
      </c>
      <c r="B32" s="7">
        <f>$C$6*G7</f>
        <v>16.907333333333334</v>
      </c>
      <c r="C32" s="7">
        <f>$C$6*H7</f>
        <v>603.83333333333337</v>
      </c>
      <c r="D32" s="13">
        <f t="shared" si="2"/>
        <v>310.37033333333335</v>
      </c>
      <c r="F32" s="6" t="s">
        <v>53</v>
      </c>
      <c r="G32" s="7">
        <f>$C$8*G8</f>
        <v>12.076666666666668</v>
      </c>
      <c r="H32" s="7">
        <f>$C$8*H8</f>
        <v>72.460000000000008</v>
      </c>
      <c r="I32" s="7">
        <f t="shared" si="7"/>
        <v>42.268333333333338</v>
      </c>
      <c r="N32" s="2" t="s">
        <v>144</v>
      </c>
      <c r="O32" s="284">
        <f>SUM(O24:O31)</f>
        <v>27093.813333333339</v>
      </c>
      <c r="Q32" s="3">
        <f>SUM(Q24:Q31)</f>
        <v>595406222.68992686</v>
      </c>
    </row>
    <row r="33" spans="1:9" x14ac:dyDescent="0.25">
      <c r="A33" s="6" t="s">
        <v>53</v>
      </c>
      <c r="B33" s="7">
        <f>$C$6*G7</f>
        <v>16.907333333333334</v>
      </c>
      <c r="C33" s="7">
        <f>$C$6*H7</f>
        <v>603.83333333333337</v>
      </c>
      <c r="D33" s="13">
        <f t="shared" si="2"/>
        <v>310.37033333333335</v>
      </c>
      <c r="F33" s="6" t="s">
        <v>11</v>
      </c>
      <c r="G33" s="7">
        <f>$C$8*G16</f>
        <v>6.038333333333334</v>
      </c>
      <c r="H33" s="7">
        <f>$C$8*H16</f>
        <v>120.76666666666668</v>
      </c>
      <c r="I33" s="7">
        <f t="shared" si="7"/>
        <v>63.402500000000003</v>
      </c>
    </row>
    <row r="34" spans="1:9" x14ac:dyDescent="0.25">
      <c r="A34" s="6" t="s">
        <v>46</v>
      </c>
      <c r="B34" s="7">
        <f>$C$6*G17</f>
        <v>2.4153333333333336E-2</v>
      </c>
      <c r="C34" s="7">
        <f>$C$6*H17</f>
        <v>60.38333333333334</v>
      </c>
      <c r="D34" s="13">
        <f t="shared" si="2"/>
        <v>30.203743333333335</v>
      </c>
      <c r="F34" s="6" t="s">
        <v>46</v>
      </c>
      <c r="G34" s="7">
        <f>$C$8*G17</f>
        <v>2.4153333333333336E-2</v>
      </c>
      <c r="H34" s="7">
        <f>$C$8*H17</f>
        <v>60.38333333333334</v>
      </c>
      <c r="I34" s="7">
        <f t="shared" si="7"/>
        <v>30.203743333333335</v>
      </c>
    </row>
    <row r="35" spans="1:9" x14ac:dyDescent="0.25">
      <c r="D35" s="22"/>
    </row>
    <row r="36" spans="1:9" ht="18.75" x14ac:dyDescent="0.25">
      <c r="A36" s="323" t="s">
        <v>3</v>
      </c>
      <c r="B36" s="323"/>
      <c r="C36" s="323"/>
      <c r="D36" s="323"/>
      <c r="F36" s="323" t="s">
        <v>5</v>
      </c>
      <c r="G36" s="323"/>
      <c r="H36" s="323"/>
      <c r="I36" s="323"/>
    </row>
    <row r="37" spans="1:9" x14ac:dyDescent="0.25">
      <c r="A37" s="11" t="s">
        <v>35</v>
      </c>
      <c r="B37" s="322" t="s">
        <v>59</v>
      </c>
      <c r="C37" s="322"/>
      <c r="D37" s="322"/>
      <c r="F37" s="11" t="s">
        <v>35</v>
      </c>
      <c r="G37" s="322" t="s">
        <v>61</v>
      </c>
      <c r="H37" s="322"/>
      <c r="I37" s="322"/>
    </row>
    <row r="38" spans="1:9" x14ac:dyDescent="0.25">
      <c r="A38" s="8"/>
      <c r="B38" s="9" t="s">
        <v>37</v>
      </c>
      <c r="C38" s="9" t="s">
        <v>38</v>
      </c>
      <c r="D38" s="13" t="s">
        <v>66</v>
      </c>
      <c r="F38" s="8"/>
      <c r="G38" s="9" t="s">
        <v>37</v>
      </c>
      <c r="H38" s="9" t="s">
        <v>38</v>
      </c>
      <c r="I38" s="9" t="s">
        <v>66</v>
      </c>
    </row>
    <row r="39" spans="1:9" x14ac:dyDescent="0.25">
      <c r="A39" s="12" t="s">
        <v>47</v>
      </c>
      <c r="B39" s="9">
        <f>$C$7-SUM(B40:B46)</f>
        <v>30.106660000000002</v>
      </c>
      <c r="C39" s="9">
        <f>$C$7-SUM(C40:C46)</f>
        <v>3.5700000000000038</v>
      </c>
      <c r="D39" s="13">
        <f t="shared" si="2"/>
        <v>16.838330000000003</v>
      </c>
      <c r="F39" s="12" t="s">
        <v>47</v>
      </c>
      <c r="G39" s="9">
        <f>$C$9-SUM(G40:G46)</f>
        <v>0</v>
      </c>
      <c r="H39" s="14">
        <f>$C$9-SUM(H40:H46)</f>
        <v>0</v>
      </c>
      <c r="I39" s="7">
        <f t="shared" si="7"/>
        <v>0</v>
      </c>
    </row>
    <row r="40" spans="1:9" x14ac:dyDescent="0.25">
      <c r="A40" s="12" t="s">
        <v>9</v>
      </c>
      <c r="B40" s="7">
        <f>$C$7*G6</f>
        <v>3.4000000000000004</v>
      </c>
      <c r="C40" s="7">
        <f>$C$7*H6</f>
        <v>23.799999999999997</v>
      </c>
      <c r="D40" s="13">
        <f t="shared" si="2"/>
        <v>13.599999999999998</v>
      </c>
      <c r="F40" s="12" t="s">
        <v>9</v>
      </c>
      <c r="G40" s="7">
        <f>$C$9*G6</f>
        <v>0</v>
      </c>
      <c r="H40" s="7">
        <f>$C$9*H6</f>
        <v>0</v>
      </c>
      <c r="I40" s="7">
        <f t="shared" si="7"/>
        <v>0</v>
      </c>
    </row>
    <row r="41" spans="1:9" x14ac:dyDescent="0.25">
      <c r="A41" s="6" t="s">
        <v>40</v>
      </c>
      <c r="B41" s="7">
        <f>$C$7*G9</f>
        <v>0.17</v>
      </c>
      <c r="C41" s="7">
        <f>$C$7*H9</f>
        <v>1.02</v>
      </c>
      <c r="D41" s="13">
        <f t="shared" si="2"/>
        <v>0.59499999999999997</v>
      </c>
      <c r="F41" s="6" t="s">
        <v>53</v>
      </c>
      <c r="G41" s="7">
        <f>$C$9*G8</f>
        <v>0</v>
      </c>
      <c r="H41" s="7">
        <f>$C$9*H8</f>
        <v>0</v>
      </c>
      <c r="I41" s="7">
        <f t="shared" si="7"/>
        <v>0</v>
      </c>
    </row>
    <row r="42" spans="1:9" x14ac:dyDescent="0.25">
      <c r="A42" s="6" t="s">
        <v>52</v>
      </c>
      <c r="B42" s="7">
        <f>$C$7*G10</f>
        <v>3.4000000000000002E-2</v>
      </c>
      <c r="C42" s="7">
        <f>$C$7*H10</f>
        <v>1.02</v>
      </c>
      <c r="D42" s="13">
        <f t="shared" si="2"/>
        <v>0.52700000000000002</v>
      </c>
      <c r="F42" s="6" t="s">
        <v>14</v>
      </c>
      <c r="G42" s="7">
        <f>$C$9*G20</f>
        <v>0</v>
      </c>
      <c r="H42" s="7">
        <f>$C$9*H20</f>
        <v>0</v>
      </c>
      <c r="I42" s="7">
        <f t="shared" si="7"/>
        <v>0</v>
      </c>
    </row>
    <row r="43" spans="1:9" x14ac:dyDescent="0.25">
      <c r="A43" s="6" t="s">
        <v>53</v>
      </c>
      <c r="B43" s="7">
        <f>$C$7*G8</f>
        <v>0.17</v>
      </c>
      <c r="C43" s="7">
        <f>$C$7*H8</f>
        <v>1.02</v>
      </c>
      <c r="D43" s="13">
        <f t="shared" si="2"/>
        <v>0.59499999999999997</v>
      </c>
      <c r="F43" s="6" t="s">
        <v>54</v>
      </c>
      <c r="G43" s="7">
        <f>$C$9*G21</f>
        <v>0</v>
      </c>
      <c r="H43" s="7">
        <f>$C$9*H21</f>
        <v>0</v>
      </c>
      <c r="I43" s="7">
        <f t="shared" si="7"/>
        <v>0</v>
      </c>
    </row>
    <row r="44" spans="1:9" x14ac:dyDescent="0.25">
      <c r="A44" s="6" t="s">
        <v>41</v>
      </c>
      <c r="B44" s="7">
        <f>$C$7*G11</f>
        <v>3.4000000000000002E-2</v>
      </c>
      <c r="C44" s="7">
        <f>$C$7*H11</f>
        <v>1.02</v>
      </c>
      <c r="D44" s="13">
        <f t="shared" si="2"/>
        <v>0.52700000000000002</v>
      </c>
      <c r="F44" s="6" t="s">
        <v>13</v>
      </c>
      <c r="G44" s="7">
        <f>$C$9*G15</f>
        <v>0</v>
      </c>
      <c r="H44" s="7">
        <f>$C$9*H15</f>
        <v>0</v>
      </c>
      <c r="I44" s="7">
        <f t="shared" si="7"/>
        <v>0</v>
      </c>
    </row>
    <row r="45" spans="1:9" x14ac:dyDescent="0.25">
      <c r="A45" s="6" t="s">
        <v>11</v>
      </c>
      <c r="B45" s="7">
        <f>$C$7*G16</f>
        <v>8.5000000000000006E-2</v>
      </c>
      <c r="C45" s="7">
        <f>$C$7*H16</f>
        <v>1.7000000000000002</v>
      </c>
      <c r="D45" s="13">
        <f t="shared" si="2"/>
        <v>0.89250000000000007</v>
      </c>
      <c r="F45" s="6" t="s">
        <v>40</v>
      </c>
      <c r="G45" s="7">
        <f>$C$9*G9</f>
        <v>0</v>
      </c>
      <c r="H45" s="7">
        <f>$C$9*H9</f>
        <v>0</v>
      </c>
      <c r="I45" s="7">
        <f t="shared" si="7"/>
        <v>0</v>
      </c>
    </row>
    <row r="46" spans="1:9" x14ac:dyDescent="0.25">
      <c r="A46" s="6" t="s">
        <v>46</v>
      </c>
      <c r="B46" s="7">
        <f>$C$7*G17</f>
        <v>3.4000000000000002E-4</v>
      </c>
      <c r="C46" s="7">
        <f>$C$7*H17</f>
        <v>0.85000000000000009</v>
      </c>
      <c r="D46" s="13">
        <f t="shared" si="2"/>
        <v>0.42517000000000005</v>
      </c>
      <c r="F46" s="6" t="s">
        <v>11</v>
      </c>
      <c r="G46" s="7">
        <f>$C$9*G16</f>
        <v>0</v>
      </c>
      <c r="H46" s="7">
        <f>$C$9*H16</f>
        <v>0</v>
      </c>
      <c r="I46" s="7">
        <f t="shared" si="7"/>
        <v>0</v>
      </c>
    </row>
    <row r="47" spans="1:9" x14ac:dyDescent="0.25">
      <c r="D47" s="22"/>
    </row>
    <row r="48" spans="1:9" ht="18.75" x14ac:dyDescent="0.25">
      <c r="A48" s="323" t="s">
        <v>6</v>
      </c>
      <c r="B48" s="323"/>
      <c r="C48" s="323"/>
      <c r="D48" s="323"/>
      <c r="F48" s="4" t="s">
        <v>55</v>
      </c>
    </row>
    <row r="49" spans="1:9" ht="18.75" x14ac:dyDescent="0.25">
      <c r="A49" s="11" t="s">
        <v>35</v>
      </c>
      <c r="B49" s="322" t="s">
        <v>62</v>
      </c>
      <c r="C49" s="322"/>
      <c r="D49" s="322"/>
      <c r="F49" s="323" t="s">
        <v>34</v>
      </c>
      <c r="G49" s="323"/>
      <c r="H49" s="323"/>
      <c r="I49" s="323"/>
    </row>
    <row r="50" spans="1:9" x14ac:dyDescent="0.25">
      <c r="A50" s="8"/>
      <c r="B50" s="9" t="s">
        <v>37</v>
      </c>
      <c r="C50" s="9" t="s">
        <v>38</v>
      </c>
      <c r="D50" s="13" t="s">
        <v>66</v>
      </c>
      <c r="F50" s="11" t="s">
        <v>35</v>
      </c>
      <c r="G50" s="322" t="s">
        <v>64</v>
      </c>
      <c r="H50" s="322"/>
      <c r="I50" s="322"/>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743.43635999999992</v>
      </c>
      <c r="H52" s="14">
        <f>$C$12-SUM(H53:H69)</f>
        <v>-1370.3675999999996</v>
      </c>
      <c r="I52" s="7">
        <f>(G52+H52)/2</f>
        <v>-313.46561999999983</v>
      </c>
    </row>
    <row r="53" spans="1:9" x14ac:dyDescent="0.25">
      <c r="A53" s="6" t="s">
        <v>52</v>
      </c>
      <c r="B53" s="7">
        <f>$C$10*G10</f>
        <v>0</v>
      </c>
      <c r="C53" s="7">
        <f>$C$10*H10</f>
        <v>0</v>
      </c>
      <c r="D53" s="13">
        <f t="shared" si="2"/>
        <v>0</v>
      </c>
      <c r="F53" s="12" t="s">
        <v>9</v>
      </c>
      <c r="G53" s="7">
        <f>$C$12*G6</f>
        <v>103.80000000000001</v>
      </c>
      <c r="H53" s="7">
        <f>$C$12*H6</f>
        <v>726.59999999999991</v>
      </c>
      <c r="I53" s="7">
        <f t="shared" si="7"/>
        <v>415.19999999999993</v>
      </c>
    </row>
    <row r="54" spans="1:9" x14ac:dyDescent="0.25">
      <c r="A54" s="6" t="s">
        <v>49</v>
      </c>
      <c r="B54" s="7">
        <f>$C$10*G8</f>
        <v>0</v>
      </c>
      <c r="C54" s="7">
        <f>$C$10*H8</f>
        <v>0</v>
      </c>
      <c r="D54" s="13">
        <f t="shared" si="2"/>
        <v>0</v>
      </c>
      <c r="F54" s="12" t="s">
        <v>40</v>
      </c>
      <c r="G54" s="7">
        <f>$C$12*G9</f>
        <v>5.19</v>
      </c>
      <c r="H54" s="7">
        <f>$C$12*H9</f>
        <v>31.14</v>
      </c>
      <c r="I54" s="7">
        <f t="shared" si="7"/>
        <v>18.164999999999999</v>
      </c>
    </row>
    <row r="55" spans="1:9" x14ac:dyDescent="0.25">
      <c r="A55" s="6" t="s">
        <v>10</v>
      </c>
      <c r="B55" s="7">
        <f>$C$10*G7</f>
        <v>0</v>
      </c>
      <c r="C55" s="7">
        <f>$C$10*H7</f>
        <v>0</v>
      </c>
      <c r="D55" s="13">
        <f t="shared" si="2"/>
        <v>0</v>
      </c>
      <c r="F55" s="12" t="s">
        <v>49</v>
      </c>
      <c r="G55" s="7">
        <f>$C$12*G8</f>
        <v>5.19</v>
      </c>
      <c r="H55" s="7">
        <f>$C$12*H8</f>
        <v>31.14</v>
      </c>
      <c r="I55" s="7">
        <f t="shared" si="7"/>
        <v>18.164999999999999</v>
      </c>
    </row>
    <row r="56" spans="1:9" x14ac:dyDescent="0.25">
      <c r="A56" s="6" t="s">
        <v>48</v>
      </c>
      <c r="B56" s="7">
        <f>$C$10*G18</f>
        <v>0</v>
      </c>
      <c r="C56" s="7">
        <f>$C$10*H18</f>
        <v>0</v>
      </c>
      <c r="D56" s="13">
        <f t="shared" si="2"/>
        <v>0</v>
      </c>
      <c r="F56" s="12" t="s">
        <v>11</v>
      </c>
      <c r="G56" s="7">
        <f>$C$12*G16</f>
        <v>2.5950000000000002</v>
      </c>
      <c r="H56" s="7">
        <f>$C$12*H16</f>
        <v>51.900000000000006</v>
      </c>
      <c r="I56" s="7">
        <f t="shared" si="7"/>
        <v>27.247500000000002</v>
      </c>
    </row>
    <row r="57" spans="1:9" x14ac:dyDescent="0.25">
      <c r="A57" s="6" t="s">
        <v>46</v>
      </c>
      <c r="B57" s="7">
        <f>$C$10*G17</f>
        <v>0</v>
      </c>
      <c r="C57" s="7">
        <f>$C$10*H17</f>
        <v>0</v>
      </c>
      <c r="D57" s="13">
        <f t="shared" si="2"/>
        <v>0</v>
      </c>
      <c r="F57" s="6" t="s">
        <v>10</v>
      </c>
      <c r="G57" s="7">
        <f>$C$12*G7</f>
        <v>7.266</v>
      </c>
      <c r="H57" s="7">
        <f>$C$12*H7</f>
        <v>259.5</v>
      </c>
      <c r="I57" s="7">
        <f t="shared" si="7"/>
        <v>133.38300000000001</v>
      </c>
    </row>
    <row r="58" spans="1:9" x14ac:dyDescent="0.25">
      <c r="A58" s="35"/>
      <c r="B58" s="23"/>
      <c r="C58" s="23"/>
      <c r="D58" s="22"/>
      <c r="F58" s="6" t="s">
        <v>98</v>
      </c>
      <c r="G58" s="7">
        <f t="shared" ref="G58:H60" si="8">$C$12*G13</f>
        <v>1.038</v>
      </c>
      <c r="H58" s="7">
        <f t="shared" si="8"/>
        <v>20.76</v>
      </c>
      <c r="I58" s="7">
        <f t="shared" si="7"/>
        <v>10.899000000000001</v>
      </c>
    </row>
    <row r="59" spans="1:9" x14ac:dyDescent="0.25">
      <c r="A59" s="35"/>
      <c r="B59" s="23"/>
      <c r="C59" s="23"/>
      <c r="D59" s="22"/>
      <c r="F59" s="6" t="s">
        <v>99</v>
      </c>
      <c r="G59" s="7">
        <f t="shared" si="8"/>
        <v>5.19</v>
      </c>
      <c r="H59" s="7">
        <f t="shared" si="8"/>
        <v>212.79</v>
      </c>
      <c r="I59" s="7">
        <f t="shared" si="7"/>
        <v>108.99</v>
      </c>
    </row>
    <row r="60" spans="1:9" x14ac:dyDescent="0.25">
      <c r="A60" s="35"/>
      <c r="B60" s="23"/>
      <c r="C60" s="23"/>
      <c r="D60" s="22"/>
      <c r="F60" s="6" t="s">
        <v>45</v>
      </c>
      <c r="G60" s="7">
        <f t="shared" si="8"/>
        <v>1.038E-2</v>
      </c>
      <c r="H60" s="7">
        <f t="shared" si="8"/>
        <v>10.38</v>
      </c>
      <c r="I60" s="7">
        <f t="shared" si="7"/>
        <v>5.1951900000000002</v>
      </c>
    </row>
    <row r="61" spans="1:9" x14ac:dyDescent="0.25">
      <c r="A61" s="35"/>
      <c r="B61" s="23"/>
      <c r="C61" s="23"/>
      <c r="D61" s="22"/>
      <c r="F61" s="6" t="s">
        <v>48</v>
      </c>
      <c r="G61" s="7">
        <f>$C$12*G18</f>
        <v>0.15569999999999998</v>
      </c>
      <c r="H61" s="7">
        <f>$C$12*H18</f>
        <v>0.20760000000000001</v>
      </c>
      <c r="I61" s="7">
        <f t="shared" si="7"/>
        <v>0.18164999999999998</v>
      </c>
    </row>
    <row r="62" spans="1:9" x14ac:dyDescent="0.25">
      <c r="A62" s="35"/>
      <c r="B62" s="23"/>
      <c r="C62" s="23"/>
      <c r="D62" s="22"/>
      <c r="F62" s="6" t="s">
        <v>100</v>
      </c>
      <c r="G62" s="7">
        <f>$C$12*G19</f>
        <v>0.1038</v>
      </c>
      <c r="H62" s="7">
        <f>$C$12*H19</f>
        <v>103.80000000000001</v>
      </c>
      <c r="I62" s="7">
        <f t="shared" si="7"/>
        <v>51.951900000000009</v>
      </c>
    </row>
    <row r="63" spans="1:9" x14ac:dyDescent="0.25">
      <c r="D63" s="22"/>
      <c r="F63" s="6" t="s">
        <v>53</v>
      </c>
      <c r="G63" s="7">
        <f>$C$12*G8</f>
        <v>5.19</v>
      </c>
      <c r="H63" s="7">
        <f>$C$12*H8</f>
        <v>31.14</v>
      </c>
      <c r="I63" s="7">
        <f t="shared" si="7"/>
        <v>18.164999999999999</v>
      </c>
    </row>
    <row r="64" spans="1:9" ht="18.75" x14ac:dyDescent="0.25">
      <c r="A64" s="323" t="s">
        <v>7</v>
      </c>
      <c r="B64" s="323"/>
      <c r="C64" s="323"/>
      <c r="D64" s="323"/>
      <c r="F64" s="6" t="s">
        <v>46</v>
      </c>
      <c r="G64" s="7">
        <f>$C$12*G17</f>
        <v>1.038E-2</v>
      </c>
      <c r="H64" s="7">
        <f>$C$12*H17</f>
        <v>25.950000000000003</v>
      </c>
      <c r="I64" s="7">
        <f t="shared" si="7"/>
        <v>12.980190000000002</v>
      </c>
    </row>
    <row r="65" spans="1:9" x14ac:dyDescent="0.25">
      <c r="A65" s="11" t="s">
        <v>35</v>
      </c>
      <c r="B65" s="322" t="s">
        <v>63</v>
      </c>
      <c r="C65" s="322"/>
      <c r="D65" s="322"/>
      <c r="F65" s="6" t="s">
        <v>14</v>
      </c>
      <c r="G65" s="7">
        <f>$C$12*G20</f>
        <v>1.038E-2</v>
      </c>
      <c r="H65" s="7">
        <f>$C$12*H20</f>
        <v>519</v>
      </c>
      <c r="I65" s="7">
        <f t="shared" si="7"/>
        <v>259.50519000000003</v>
      </c>
    </row>
    <row r="66" spans="1:9" x14ac:dyDescent="0.25">
      <c r="A66" s="8"/>
      <c r="B66" s="9" t="s">
        <v>37</v>
      </c>
      <c r="C66" s="9" t="s">
        <v>38</v>
      </c>
      <c r="D66" s="13" t="s">
        <v>66</v>
      </c>
      <c r="F66" s="6" t="s">
        <v>56</v>
      </c>
      <c r="G66" s="7">
        <f>$C$12*G21</f>
        <v>155.69999999999999</v>
      </c>
      <c r="H66" s="7">
        <f>$C$12*H21</f>
        <v>311.39999999999998</v>
      </c>
      <c r="I66" s="7">
        <f t="shared" si="7"/>
        <v>233.54999999999998</v>
      </c>
    </row>
    <row r="67" spans="1:9" x14ac:dyDescent="0.25">
      <c r="A67" s="12" t="s">
        <v>47</v>
      </c>
      <c r="B67" s="9">
        <f>$C$11-SUM(B68:B73)</f>
        <v>26.608229999999999</v>
      </c>
      <c r="C67" s="9">
        <f>$C$11-SUM(C68:C73)</f>
        <v>22.274999999999999</v>
      </c>
      <c r="D67" s="13">
        <f t="shared" si="2"/>
        <v>24.441614999999999</v>
      </c>
      <c r="F67" s="6" t="s">
        <v>41</v>
      </c>
      <c r="G67" s="7">
        <f>$C$12*G11</f>
        <v>1.038</v>
      </c>
      <c r="H67" s="7">
        <f>$C$12*H11</f>
        <v>31.14</v>
      </c>
      <c r="I67" s="7">
        <f t="shared" si="7"/>
        <v>16.088999999999999</v>
      </c>
    </row>
    <row r="68" spans="1:9" x14ac:dyDescent="0.25">
      <c r="A68" s="6" t="s">
        <v>40</v>
      </c>
      <c r="B68" s="7">
        <f>$C$11*G9</f>
        <v>0.13500000000000001</v>
      </c>
      <c r="C68" s="7">
        <f>$C$11*H9</f>
        <v>0.80999999999999994</v>
      </c>
      <c r="D68" s="13">
        <f t="shared" si="2"/>
        <v>0.47249999999999998</v>
      </c>
      <c r="F68" s="6" t="s">
        <v>52</v>
      </c>
      <c r="G68" s="7">
        <f>$C$12*G10</f>
        <v>1.038</v>
      </c>
      <c r="H68" s="7">
        <f>$C$12*H10</f>
        <v>31.14</v>
      </c>
      <c r="I68" s="7">
        <f t="shared" si="7"/>
        <v>16.088999999999999</v>
      </c>
    </row>
    <row r="69" spans="1:9" x14ac:dyDescent="0.25">
      <c r="A69" s="6" t="s">
        <v>52</v>
      </c>
      <c r="B69" s="7">
        <f>$C$11*G10</f>
        <v>2.7E-2</v>
      </c>
      <c r="C69" s="7">
        <f>$C$11*H10</f>
        <v>0.80999999999999994</v>
      </c>
      <c r="D69" s="13">
        <f t="shared" si="2"/>
        <v>0.41849999999999998</v>
      </c>
      <c r="F69" s="6" t="s">
        <v>51</v>
      </c>
      <c r="G69" s="7">
        <f>$C$12*G12</f>
        <v>1.038</v>
      </c>
      <c r="H69" s="7">
        <f>$C$12*H12</f>
        <v>10.38</v>
      </c>
      <c r="I69" s="7">
        <f t="shared" si="7"/>
        <v>5.7090000000000005</v>
      </c>
    </row>
    <row r="70" spans="1:9" x14ac:dyDescent="0.25">
      <c r="A70" s="6" t="s">
        <v>49</v>
      </c>
      <c r="B70" s="7">
        <f>$C$11*G8</f>
        <v>0.13500000000000001</v>
      </c>
      <c r="C70" s="7">
        <f>$C$11*H8</f>
        <v>0.80999999999999994</v>
      </c>
      <c r="D70" s="13">
        <f t="shared" si="2"/>
        <v>0.47249999999999998</v>
      </c>
      <c r="F70" s="4" t="s">
        <v>55</v>
      </c>
    </row>
    <row r="71" spans="1:9" x14ac:dyDescent="0.25">
      <c r="A71" s="6" t="s">
        <v>51</v>
      </c>
      <c r="B71" s="7">
        <f>$C$11*G12</f>
        <v>2.7E-2</v>
      </c>
      <c r="C71" s="7">
        <f>$C$11*H12</f>
        <v>0.27</v>
      </c>
      <c r="D71" s="13">
        <f t="shared" si="2"/>
        <v>0.14850000000000002</v>
      </c>
    </row>
    <row r="72" spans="1:9" x14ac:dyDescent="0.25">
      <c r="A72" s="6" t="s">
        <v>11</v>
      </c>
      <c r="B72" s="7">
        <f>$C$11*G16</f>
        <v>6.7500000000000004E-2</v>
      </c>
      <c r="C72" s="7">
        <f>$C$11*H16</f>
        <v>1.35</v>
      </c>
      <c r="D72" s="13">
        <f t="shared" si="2"/>
        <v>0.70874999999999999</v>
      </c>
    </row>
    <row r="73" spans="1:9" x14ac:dyDescent="0.25">
      <c r="A73" s="6" t="s">
        <v>46</v>
      </c>
      <c r="B73" s="7">
        <f>$C$11*G17</f>
        <v>2.7E-4</v>
      </c>
      <c r="C73" s="7">
        <f>$C$11*H17</f>
        <v>0.67500000000000004</v>
      </c>
      <c r="D73" s="13">
        <f t="shared" si="2"/>
        <v>0.33763500000000002</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hyperlinks>
    <hyperlink ref="M21" r:id="rId1" display="https://doi.org/10.1021/acssuschemeng.1c05236"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4"/>
  <sheetViews>
    <sheetView topLeftCell="B1"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497</v>
      </c>
    </row>
    <row r="2" spans="1:12" x14ac:dyDescent="0.25">
      <c r="A2" s="2" t="s">
        <v>23</v>
      </c>
      <c r="B2" s="116">
        <f>'US Mat Flow Analysis 2018'!X41</f>
        <v>455408.13599999994</v>
      </c>
      <c r="C2" s="3" t="s">
        <v>24</v>
      </c>
      <c r="E2" s="163"/>
      <c r="F2" s="163"/>
      <c r="G2" s="163"/>
      <c r="H2" s="163"/>
      <c r="I2" s="163"/>
    </row>
    <row r="3" spans="1:12" x14ac:dyDescent="0.25">
      <c r="A3" s="2"/>
      <c r="E3" s="163"/>
      <c r="F3" s="163"/>
      <c r="G3" s="163"/>
      <c r="H3" s="163"/>
      <c r="I3" s="163"/>
    </row>
    <row r="4" spans="1:12" x14ac:dyDescent="0.25">
      <c r="A4" s="5" t="s">
        <v>25</v>
      </c>
      <c r="B4" s="5" t="s">
        <v>26</v>
      </c>
      <c r="C4" s="5" t="s">
        <v>288</v>
      </c>
      <c r="D4" s="24" t="s">
        <v>287</v>
      </c>
      <c r="E4" s="163"/>
      <c r="F4" s="161" t="s">
        <v>35</v>
      </c>
      <c r="G4" s="328" t="s">
        <v>36</v>
      </c>
      <c r="H4" s="329"/>
      <c r="I4" s="163"/>
      <c r="L4" s="2" t="s">
        <v>101</v>
      </c>
    </row>
    <row r="5" spans="1:12" x14ac:dyDescent="0.25">
      <c r="A5" s="6" t="s">
        <v>27</v>
      </c>
      <c r="B5" s="16">
        <f>C5/$B$2</f>
        <v>0.29735907284768209</v>
      </c>
      <c r="C5" s="127">
        <f>'US Mat Flow Analysis 2018'!X3</f>
        <v>135419.74108825109</v>
      </c>
      <c r="D5" s="25"/>
      <c r="E5" s="163"/>
      <c r="F5" s="165"/>
      <c r="G5" s="166" t="s">
        <v>37</v>
      </c>
      <c r="H5" s="166" t="s">
        <v>38</v>
      </c>
      <c r="I5" s="166" t="s">
        <v>66</v>
      </c>
      <c r="K5" s="6" t="s">
        <v>9</v>
      </c>
      <c r="L5" s="117">
        <f>'US Mat Flow Analysis 2018'!X11</f>
        <v>16738.510958940395</v>
      </c>
    </row>
    <row r="6" spans="1:12" x14ac:dyDescent="0.25">
      <c r="A6" s="6" t="s">
        <v>28</v>
      </c>
      <c r="B6" s="16">
        <f t="shared" ref="B6:B12" si="0">C6/$B$2</f>
        <v>0.18051470198675496</v>
      </c>
      <c r="C6" s="127">
        <f>'US Mat Flow Analysis 2018'!X4</f>
        <v>82207.863952383559</v>
      </c>
      <c r="D6" s="25"/>
      <c r="E6" s="163"/>
      <c r="F6" s="161" t="s">
        <v>9</v>
      </c>
      <c r="G6" s="165">
        <v>0.1</v>
      </c>
      <c r="H6" s="165">
        <v>0.7</v>
      </c>
      <c r="I6" s="165">
        <f>(G6+H6)/2</f>
        <v>0.39999999999999997</v>
      </c>
      <c r="K6" s="6" t="s">
        <v>10</v>
      </c>
      <c r="L6" s="117">
        <f>'US Mat Flow Analysis 2018'!X12</f>
        <v>3166.7453165562915</v>
      </c>
    </row>
    <row r="7" spans="1:12" x14ac:dyDescent="0.25">
      <c r="A7" s="6" t="s">
        <v>29</v>
      </c>
      <c r="B7" s="16">
        <f>C7/$B$2</f>
        <v>0</v>
      </c>
      <c r="C7" s="127">
        <f>'US Mat Flow Analysis 2018'!X5</f>
        <v>0</v>
      </c>
      <c r="D7" s="25"/>
      <c r="E7" s="163"/>
      <c r="F7" s="161" t="s">
        <v>10</v>
      </c>
      <c r="G7" s="165">
        <v>7.0000000000000001E-3</v>
      </c>
      <c r="H7" s="165">
        <v>0.25</v>
      </c>
      <c r="I7" s="165">
        <f t="shared" ref="I7:I21" si="1">(G7+H7)/2</f>
        <v>0.1285</v>
      </c>
      <c r="K7" s="6" t="s">
        <v>39</v>
      </c>
      <c r="L7" s="117">
        <f>'US Mat Flow Analysis 2018'!X13</f>
        <v>3984.0672030198671</v>
      </c>
    </row>
    <row r="8" spans="1:12" x14ac:dyDescent="0.25">
      <c r="A8" s="6" t="s">
        <v>30</v>
      </c>
      <c r="B8" s="16">
        <f t="shared" si="0"/>
        <v>0.11939115894039735</v>
      </c>
      <c r="C8" s="127">
        <f>'US Mat Flow Analysis 2018'!X6</f>
        <v>54371.705147926084</v>
      </c>
      <c r="D8" s="25"/>
      <c r="E8" s="163"/>
      <c r="F8" s="161" t="s">
        <v>39</v>
      </c>
      <c r="G8" s="165">
        <v>5.0000000000000001E-3</v>
      </c>
      <c r="H8" s="165">
        <v>0.03</v>
      </c>
      <c r="I8" s="165">
        <f t="shared" si="1"/>
        <v>1.7499999999999998E-2</v>
      </c>
      <c r="K8" s="6" t="s">
        <v>40</v>
      </c>
      <c r="L8" s="117">
        <f>'US Mat Flow Analysis 2018'!X14</f>
        <v>1590.9125280794701</v>
      </c>
    </row>
    <row r="9" spans="1:12" x14ac:dyDescent="0.25">
      <c r="A9" s="6" t="s">
        <v>31</v>
      </c>
      <c r="B9" s="16">
        <f t="shared" si="0"/>
        <v>0</v>
      </c>
      <c r="C9" s="127">
        <f>'US Mat Flow Analysis 2018'!X7</f>
        <v>0</v>
      </c>
      <c r="D9" s="173"/>
      <c r="E9" s="163"/>
      <c r="F9" s="161" t="s">
        <v>40</v>
      </c>
      <c r="G9" s="165">
        <v>5.0000000000000001E-3</v>
      </c>
      <c r="H9" s="165">
        <v>0.03</v>
      </c>
      <c r="I9" s="165">
        <f t="shared" si="1"/>
        <v>1.7499999999999998E-2</v>
      </c>
      <c r="K9" s="6" t="s">
        <v>12</v>
      </c>
      <c r="L9" s="117">
        <f>'US Mat Flow Analysis 2018'!X15</f>
        <v>233.73596384105957</v>
      </c>
    </row>
    <row r="10" spans="1:12" x14ac:dyDescent="0.25">
      <c r="A10" s="6" t="s">
        <v>32</v>
      </c>
      <c r="B10" s="16">
        <f t="shared" si="0"/>
        <v>1.6255629139072851E-2</v>
      </c>
      <c r="C10" s="127">
        <f>'US Mat Flow Analysis 2018'!X8</f>
        <v>7402.9457657324501</v>
      </c>
      <c r="D10" s="25"/>
      <c r="E10" s="163"/>
      <c r="F10" s="161" t="s">
        <v>12</v>
      </c>
      <c r="G10" s="165">
        <v>1E-3</v>
      </c>
      <c r="H10" s="165">
        <v>0.03</v>
      </c>
      <c r="I10" s="165">
        <f t="shared" si="1"/>
        <v>1.55E-2</v>
      </c>
      <c r="K10" s="6" t="s">
        <v>41</v>
      </c>
      <c r="L10" s="117">
        <f>'US Mat Flow Analysis 2018'!X16</f>
        <v>167.38510958940395</v>
      </c>
    </row>
    <row r="11" spans="1:12" x14ac:dyDescent="0.25">
      <c r="A11" s="6" t="s">
        <v>33</v>
      </c>
      <c r="B11" s="16">
        <f t="shared" si="0"/>
        <v>6.526423841059603E-3</v>
      </c>
      <c r="C11" s="127">
        <f>'US Mat Flow Analysis 2018'!X9</f>
        <v>2972.1865162029135</v>
      </c>
      <c r="D11" s="25"/>
      <c r="E11" s="163"/>
      <c r="F11" s="161" t="s">
        <v>41</v>
      </c>
      <c r="G11" s="165">
        <v>1E-3</v>
      </c>
      <c r="H11" s="165">
        <v>0.03</v>
      </c>
      <c r="I11" s="165">
        <f t="shared" si="1"/>
        <v>1.55E-2</v>
      </c>
      <c r="K11" s="6" t="s">
        <v>42</v>
      </c>
      <c r="L11" s="117">
        <f>'US Mat Flow Analysis 2018'!X17</f>
        <v>307.62668789403972</v>
      </c>
    </row>
    <row r="12" spans="1:12" x14ac:dyDescent="0.25">
      <c r="A12" s="6" t="s">
        <v>34</v>
      </c>
      <c r="B12" s="16">
        <f t="shared" si="0"/>
        <v>0.37995301324503311</v>
      </c>
      <c r="C12" s="127">
        <f>'US Mat Flow Analysis 2018'!X10+SUM(L5:L20)</f>
        <v>173033.69352950383</v>
      </c>
      <c r="D12" s="25"/>
      <c r="E12" s="163"/>
      <c r="F12" s="161" t="s">
        <v>42</v>
      </c>
      <c r="G12" s="165">
        <v>1E-3</v>
      </c>
      <c r="H12" s="165">
        <v>0.01</v>
      </c>
      <c r="I12" s="165">
        <f t="shared" si="1"/>
        <v>5.4999999999999997E-3</v>
      </c>
      <c r="K12" s="6" t="s">
        <v>43</v>
      </c>
      <c r="L12" s="117">
        <f>'US Mat Flow Analysis 2018'!X18</f>
        <v>167.38510958940395</v>
      </c>
    </row>
    <row r="13" spans="1:12" x14ac:dyDescent="0.25">
      <c r="C13" s="3" t="s">
        <v>179</v>
      </c>
      <c r="E13" s="163"/>
      <c r="F13" s="161" t="s">
        <v>43</v>
      </c>
      <c r="G13" s="165">
        <v>1E-3</v>
      </c>
      <c r="H13" s="165">
        <v>0.02</v>
      </c>
      <c r="I13" s="165">
        <f t="shared" si="1"/>
        <v>1.0500000000000001E-2</v>
      </c>
      <c r="K13" s="6" t="s">
        <v>44</v>
      </c>
      <c r="L13" s="117">
        <f>'US Mat Flow Analysis 2018'!X19</f>
        <v>836.92554794701982</v>
      </c>
    </row>
    <row r="14" spans="1:12" x14ac:dyDescent="0.25">
      <c r="A14" s="163"/>
      <c r="B14" s="163"/>
      <c r="C14" s="163"/>
      <c r="D14" s="163"/>
      <c r="E14" s="163"/>
      <c r="F14" s="161" t="s">
        <v>44</v>
      </c>
      <c r="G14" s="165">
        <v>5.0000000000000001E-3</v>
      </c>
      <c r="H14" s="165">
        <v>0.20499999999999999</v>
      </c>
      <c r="I14" s="165">
        <f t="shared" si="1"/>
        <v>0.105</v>
      </c>
      <c r="K14" s="6" t="s">
        <v>45</v>
      </c>
      <c r="L14" s="117">
        <f>'US Mat Flow Analysis 2018'!X20</f>
        <v>1.6738510958940398</v>
      </c>
    </row>
    <row r="15" spans="1:12" ht="18.75" x14ac:dyDescent="0.25">
      <c r="A15" s="327" t="s">
        <v>1</v>
      </c>
      <c r="B15" s="327"/>
      <c r="C15" s="327"/>
      <c r="D15" s="327"/>
      <c r="E15" s="163"/>
      <c r="F15" s="161" t="s">
        <v>45</v>
      </c>
      <c r="G15" s="165">
        <v>1.0000000000000001E-5</v>
      </c>
      <c r="H15" s="165">
        <v>0.01</v>
      </c>
      <c r="I15" s="165">
        <f t="shared" si="1"/>
        <v>5.0049999999999999E-3</v>
      </c>
      <c r="K15" s="6" t="s">
        <v>11</v>
      </c>
      <c r="L15" s="117">
        <f>'US Mat Flow Analysis 2018'!X21</f>
        <v>776.60658953642383</v>
      </c>
    </row>
    <row r="16" spans="1:12" x14ac:dyDescent="0.25">
      <c r="A16" s="161" t="s">
        <v>35</v>
      </c>
      <c r="B16" s="326" t="s">
        <v>58</v>
      </c>
      <c r="C16" s="326"/>
      <c r="D16" s="326"/>
      <c r="E16" s="163"/>
      <c r="F16" s="161" t="s">
        <v>11</v>
      </c>
      <c r="G16" s="165">
        <v>2.5000000000000001E-3</v>
      </c>
      <c r="H16" s="165">
        <v>0.05</v>
      </c>
      <c r="I16" s="165">
        <f t="shared" si="1"/>
        <v>2.6250000000000002E-2</v>
      </c>
      <c r="K16" s="6" t="s">
        <v>46</v>
      </c>
      <c r="L16" s="117">
        <f>'US Mat Flow Analysis 2018'!X22</f>
        <v>4.5540813599999996</v>
      </c>
    </row>
    <row r="17" spans="1:15" x14ac:dyDescent="0.25">
      <c r="A17" s="165"/>
      <c r="B17" s="166" t="s">
        <v>37</v>
      </c>
      <c r="C17" s="166" t="s">
        <v>38</v>
      </c>
      <c r="D17" s="166" t="s">
        <v>66</v>
      </c>
      <c r="E17" s="163"/>
      <c r="F17" s="161" t="s">
        <v>46</v>
      </c>
      <c r="G17" s="165">
        <v>1.0000000000000001E-5</v>
      </c>
      <c r="H17" s="165">
        <v>2.5000000000000001E-2</v>
      </c>
      <c r="I17" s="165">
        <f t="shared" si="1"/>
        <v>1.2505E-2</v>
      </c>
      <c r="K17" s="6" t="s">
        <v>48</v>
      </c>
      <c r="L17" s="117">
        <f>'US Mat Flow Analysis 2018'!X23</f>
        <v>46.822591466225148</v>
      </c>
    </row>
    <row r="18" spans="1:15" x14ac:dyDescent="0.25">
      <c r="A18" s="161" t="s">
        <v>47</v>
      </c>
      <c r="B18" s="166">
        <f>$C$5-SUM(B19:B23)</f>
        <v>133637.61729552969</v>
      </c>
      <c r="C18" s="166">
        <f>$C$5-SUM(C19:C23)</f>
        <v>92735.438697234349</v>
      </c>
      <c r="D18" s="166">
        <f>(B18+C18)/2</f>
        <v>113186.52799638202</v>
      </c>
      <c r="E18" s="163"/>
      <c r="F18" s="161" t="s">
        <v>48</v>
      </c>
      <c r="G18" s="165">
        <v>1.4999999999999999E-4</v>
      </c>
      <c r="H18" s="165">
        <v>2.0000000000000001E-4</v>
      </c>
      <c r="I18" s="165">
        <f t="shared" si="1"/>
        <v>1.75E-4</v>
      </c>
      <c r="K18" s="6" t="s">
        <v>50</v>
      </c>
      <c r="L18" s="117">
        <f>'US Mat Flow Analysis 2018'!X24</f>
        <v>16.738510958940395</v>
      </c>
    </row>
    <row r="19" spans="1:15" x14ac:dyDescent="0.25">
      <c r="A19" s="161" t="s">
        <v>49</v>
      </c>
      <c r="B19" s="165">
        <f>$C$5*G8</f>
        <v>677.09870544125545</v>
      </c>
      <c r="C19" s="165">
        <f>$C$5*H8</f>
        <v>4062.5922326475325</v>
      </c>
      <c r="D19" s="166">
        <f t="shared" ref="D19:D73" si="2">(B19+C19)/2</f>
        <v>2369.8454690443941</v>
      </c>
      <c r="E19" s="163"/>
      <c r="F19" s="161" t="s">
        <v>50</v>
      </c>
      <c r="G19" s="165">
        <v>1E-4</v>
      </c>
      <c r="H19" s="165">
        <v>0.1</v>
      </c>
      <c r="I19" s="165">
        <f t="shared" si="1"/>
        <v>5.0050000000000004E-2</v>
      </c>
      <c r="K19" s="6" t="s">
        <v>14</v>
      </c>
      <c r="L19" s="117">
        <f>'US Mat Flow Analysis 2018'!X25</f>
        <v>1.6738510958940398</v>
      </c>
    </row>
    <row r="20" spans="1:15" x14ac:dyDescent="0.25">
      <c r="A20" s="161" t="s">
        <v>10</v>
      </c>
      <c r="B20" s="165">
        <f>$C$5*G7</f>
        <v>947.93818761775765</v>
      </c>
      <c r="C20" s="165">
        <f>$C$5*H7</f>
        <v>33854.935272062772</v>
      </c>
      <c r="D20" s="166">
        <f t="shared" si="2"/>
        <v>17401.436729840265</v>
      </c>
      <c r="E20" s="163"/>
      <c r="F20" s="161" t="s">
        <v>14</v>
      </c>
      <c r="G20" s="165">
        <v>1.0000000000000001E-5</v>
      </c>
      <c r="H20" s="165">
        <v>0.5</v>
      </c>
      <c r="I20" s="165">
        <f t="shared" si="1"/>
        <v>0.25000499999999998</v>
      </c>
      <c r="K20" s="6" t="s">
        <v>15</v>
      </c>
      <c r="L20" s="117">
        <f>'US Mat Flow Analysis 2018'!X26</f>
        <v>25107.766438410592</v>
      </c>
    </row>
    <row r="21" spans="1:15" x14ac:dyDescent="0.25">
      <c r="A21" s="161" t="s">
        <v>51</v>
      </c>
      <c r="B21" s="165">
        <f>$C$5*G12</f>
        <v>135.4197410882511</v>
      </c>
      <c r="C21" s="165">
        <f>$C$5*H12</f>
        <v>1354.1974108825109</v>
      </c>
      <c r="D21" s="166">
        <f t="shared" si="2"/>
        <v>744.80857598538103</v>
      </c>
      <c r="E21" s="163"/>
      <c r="F21" s="161" t="s">
        <v>15</v>
      </c>
      <c r="G21" s="165">
        <v>0.15</v>
      </c>
      <c r="H21" s="165">
        <v>0.3</v>
      </c>
      <c r="I21" s="165">
        <f t="shared" si="1"/>
        <v>0.22499999999999998</v>
      </c>
      <c r="M21" s="3" t="s">
        <v>237</v>
      </c>
    </row>
    <row r="22" spans="1:15" x14ac:dyDescent="0.25">
      <c r="A22" s="161" t="s">
        <v>48</v>
      </c>
      <c r="B22" s="165">
        <f>$C$5*G18</f>
        <v>20.312961163237663</v>
      </c>
      <c r="C22" s="165">
        <f>$C$5*H18</f>
        <v>27.083948217650217</v>
      </c>
      <c r="D22" s="166">
        <f t="shared" si="2"/>
        <v>23.698454690443938</v>
      </c>
      <c r="E22" s="163"/>
      <c r="F22" s="163"/>
      <c r="G22" s="163"/>
      <c r="H22" s="163"/>
      <c r="I22" s="163"/>
      <c r="L22" s="19"/>
      <c r="M22" s="15" t="s">
        <v>226</v>
      </c>
      <c r="N22" s="37"/>
      <c r="O22" s="37"/>
    </row>
    <row r="23" spans="1:15" x14ac:dyDescent="0.25">
      <c r="A23" s="161" t="s">
        <v>46</v>
      </c>
      <c r="B23" s="165">
        <f>$C$5*G17</f>
        <v>1.354197410882511</v>
      </c>
      <c r="C23" s="165">
        <f>$C$5*H17</f>
        <v>3385.4935272062776</v>
      </c>
      <c r="D23" s="166">
        <f t="shared" si="2"/>
        <v>1693.4238623085801</v>
      </c>
      <c r="E23" s="163"/>
      <c r="F23" s="163"/>
      <c r="G23" s="163"/>
      <c r="H23" s="163"/>
      <c r="I23" s="163"/>
      <c r="K23" s="2" t="s">
        <v>340</v>
      </c>
      <c r="L23" s="19"/>
      <c r="M23" s="2" t="s">
        <v>213</v>
      </c>
      <c r="N23" s="2" t="s">
        <v>214</v>
      </c>
      <c r="O23" s="2" t="s">
        <v>215</v>
      </c>
    </row>
    <row r="24" spans="1:15" ht="18.75" x14ac:dyDescent="0.25">
      <c r="A24" s="163"/>
      <c r="B24" s="163"/>
      <c r="C24" s="163"/>
      <c r="D24" s="167"/>
      <c r="E24" s="163"/>
      <c r="F24" s="327" t="s">
        <v>4</v>
      </c>
      <c r="G24" s="327"/>
      <c r="H24" s="327"/>
      <c r="I24" s="327"/>
      <c r="K24" s="3" t="s">
        <v>27</v>
      </c>
      <c r="L24" s="19">
        <f>C5</f>
        <v>135419.74108825109</v>
      </c>
      <c r="M24" s="99">
        <v>0.04</v>
      </c>
      <c r="N24" s="3">
        <f t="shared" ref="N24:N31" si="3">L24*M24</f>
        <v>5416.7896435300436</v>
      </c>
      <c r="O24" s="3">
        <f t="shared" ref="O24:O31" si="4">N24*1.10231</f>
        <v>5970.9813919596018</v>
      </c>
    </row>
    <row r="25" spans="1:15" ht="18.75" x14ac:dyDescent="0.25">
      <c r="A25" s="327" t="s">
        <v>2</v>
      </c>
      <c r="B25" s="327"/>
      <c r="C25" s="327"/>
      <c r="D25" s="327"/>
      <c r="E25" s="163"/>
      <c r="F25" s="161" t="s">
        <v>35</v>
      </c>
      <c r="G25" s="326" t="s">
        <v>60</v>
      </c>
      <c r="H25" s="326"/>
      <c r="I25" s="326"/>
      <c r="K25" s="3" t="s">
        <v>28</v>
      </c>
      <c r="L25" s="19">
        <f t="shared" ref="L25:L31" si="5">C6</f>
        <v>82207.863952383559</v>
      </c>
      <c r="M25" s="99">
        <v>0.04</v>
      </c>
      <c r="N25" s="3">
        <f t="shared" si="3"/>
        <v>3288.3145580953424</v>
      </c>
      <c r="O25" s="3">
        <f t="shared" si="4"/>
        <v>3624.7420205340763</v>
      </c>
    </row>
    <row r="26" spans="1:15" x14ac:dyDescent="0.25">
      <c r="A26" s="161" t="s">
        <v>35</v>
      </c>
      <c r="B26" s="326" t="s">
        <v>59</v>
      </c>
      <c r="C26" s="326"/>
      <c r="D26" s="326"/>
      <c r="E26" s="163"/>
      <c r="F26" s="165"/>
      <c r="G26" s="166" t="s">
        <v>37</v>
      </c>
      <c r="H26" s="166" t="s">
        <v>38</v>
      </c>
      <c r="I26" s="166" t="s">
        <v>66</v>
      </c>
      <c r="K26" s="3" t="s">
        <v>29</v>
      </c>
      <c r="L26" s="19">
        <f t="shared" si="5"/>
        <v>0</v>
      </c>
      <c r="M26" s="99">
        <v>0.04</v>
      </c>
      <c r="N26" s="3">
        <f t="shared" si="3"/>
        <v>0</v>
      </c>
      <c r="O26" s="3">
        <f t="shared" si="4"/>
        <v>0</v>
      </c>
    </row>
    <row r="27" spans="1:15" x14ac:dyDescent="0.25">
      <c r="A27" s="165"/>
      <c r="B27" s="166" t="s">
        <v>37</v>
      </c>
      <c r="C27" s="166" t="s">
        <v>38</v>
      </c>
      <c r="D27" s="166" t="s">
        <v>66</v>
      </c>
      <c r="E27" s="163"/>
      <c r="F27" s="161" t="s">
        <v>47</v>
      </c>
      <c r="G27" s="166">
        <f>$C$8-SUM(G28:G34)</f>
        <v>52984.682949602487</v>
      </c>
      <c r="H27" s="166">
        <f>$C$8-SUM(H28:H34)</f>
        <v>30176.296357098974</v>
      </c>
      <c r="I27" s="165">
        <f>(G27+H27)/2</f>
        <v>41580.489653350727</v>
      </c>
      <c r="K27" s="3" t="s">
        <v>122</v>
      </c>
      <c r="L27" s="19">
        <f t="shared" si="5"/>
        <v>54371.705147926084</v>
      </c>
      <c r="M27" s="99">
        <v>0.04</v>
      </c>
      <c r="N27" s="3">
        <f t="shared" si="3"/>
        <v>2174.8682059170433</v>
      </c>
      <c r="O27" s="3">
        <f t="shared" si="4"/>
        <v>2397.3789720644158</v>
      </c>
    </row>
    <row r="28" spans="1:15" x14ac:dyDescent="0.25">
      <c r="A28" s="161" t="s">
        <v>47</v>
      </c>
      <c r="B28" s="166">
        <f>$C$6-SUM(B29:B34)</f>
        <v>80028.53347900587</v>
      </c>
      <c r="C28" s="166">
        <f>$C$5-SUM(C29:C34)</f>
        <v>83217.747478487523</v>
      </c>
      <c r="D28" s="166">
        <f t="shared" si="2"/>
        <v>81623.140478746704</v>
      </c>
      <c r="E28" s="163"/>
      <c r="F28" s="161" t="s">
        <v>40</v>
      </c>
      <c r="G28" s="165">
        <f>$C$8*G9</f>
        <v>271.85852573963041</v>
      </c>
      <c r="H28" s="165">
        <f>$C$8*H9</f>
        <v>1631.1511544377825</v>
      </c>
      <c r="I28" s="165">
        <f t="shared" ref="I28:I69" si="6">(G28+H28)/2</f>
        <v>951.50484008870649</v>
      </c>
      <c r="K28" s="3" t="s">
        <v>31</v>
      </c>
      <c r="L28" s="19">
        <f t="shared" si="5"/>
        <v>0</v>
      </c>
      <c r="M28" s="99">
        <v>0.04</v>
      </c>
      <c r="N28" s="3">
        <f t="shared" si="3"/>
        <v>0</v>
      </c>
      <c r="O28" s="3">
        <f t="shared" si="4"/>
        <v>0</v>
      </c>
    </row>
    <row r="29" spans="1:15" x14ac:dyDescent="0.25">
      <c r="A29" s="161" t="s">
        <v>40</v>
      </c>
      <c r="B29" s="165">
        <f>$C$6*G9</f>
        <v>411.0393197619178</v>
      </c>
      <c r="C29" s="165">
        <f>$C$6*H9</f>
        <v>2466.2359185715068</v>
      </c>
      <c r="D29" s="166">
        <f t="shared" si="2"/>
        <v>1438.6376191667123</v>
      </c>
      <c r="E29" s="163"/>
      <c r="F29" s="161" t="s">
        <v>52</v>
      </c>
      <c r="G29" s="165">
        <f>$C$8*G10</f>
        <v>54.371705147926086</v>
      </c>
      <c r="H29" s="165">
        <f>$C$8*H10</f>
        <v>1631.1511544377825</v>
      </c>
      <c r="I29" s="165">
        <f t="shared" si="6"/>
        <v>842.7614297928543</v>
      </c>
      <c r="K29" s="3" t="s">
        <v>32</v>
      </c>
      <c r="L29" s="19">
        <f t="shared" si="5"/>
        <v>7402.9457657324501</v>
      </c>
      <c r="M29" s="99">
        <v>0.04</v>
      </c>
      <c r="N29" s="3">
        <f t="shared" si="3"/>
        <v>296.117830629298</v>
      </c>
      <c r="O29" s="3">
        <f t="shared" si="4"/>
        <v>326.41364588098145</v>
      </c>
    </row>
    <row r="30" spans="1:15" x14ac:dyDescent="0.25">
      <c r="A30" s="161" t="s">
        <v>49</v>
      </c>
      <c r="B30" s="165">
        <f>$C$6*G8</f>
        <v>411.0393197619178</v>
      </c>
      <c r="C30" s="165">
        <f>$C$6*H8</f>
        <v>2466.2359185715068</v>
      </c>
      <c r="D30" s="166">
        <f t="shared" si="2"/>
        <v>1438.6376191667123</v>
      </c>
      <c r="E30" s="163"/>
      <c r="F30" s="161" t="s">
        <v>49</v>
      </c>
      <c r="G30" s="165">
        <f>$C$8*G8</f>
        <v>271.85852573963041</v>
      </c>
      <c r="H30" s="165">
        <f>$C$8*H8</f>
        <v>1631.1511544377825</v>
      </c>
      <c r="I30" s="165">
        <f t="shared" si="6"/>
        <v>951.50484008870649</v>
      </c>
      <c r="K30" s="3" t="s">
        <v>33</v>
      </c>
      <c r="L30" s="19">
        <f t="shared" si="5"/>
        <v>2972.1865162029135</v>
      </c>
      <c r="M30" s="99">
        <v>0.04</v>
      </c>
      <c r="N30" s="3">
        <f t="shared" si="3"/>
        <v>118.88746064811654</v>
      </c>
      <c r="O30" s="3">
        <f t="shared" si="4"/>
        <v>131.05083674702533</v>
      </c>
    </row>
    <row r="31" spans="1:15" x14ac:dyDescent="0.25">
      <c r="A31" s="161" t="s">
        <v>11</v>
      </c>
      <c r="B31" s="165">
        <f>$C$6*G16</f>
        <v>205.5196598809589</v>
      </c>
      <c r="C31" s="165">
        <f>$C$6*H16</f>
        <v>4110.393197619178</v>
      </c>
      <c r="D31" s="166">
        <f t="shared" si="2"/>
        <v>2157.9564287500684</v>
      </c>
      <c r="E31" s="163"/>
      <c r="F31" s="161" t="s">
        <v>10</v>
      </c>
      <c r="G31" s="165">
        <f>$C$8*G7</f>
        <v>380.60193603548259</v>
      </c>
      <c r="H31" s="165">
        <f>$C$8*H7</f>
        <v>13592.926286981521</v>
      </c>
      <c r="I31" s="165">
        <f t="shared" si="6"/>
        <v>6986.7641115085016</v>
      </c>
      <c r="K31" s="3" t="s">
        <v>216</v>
      </c>
      <c r="L31" s="19">
        <f t="shared" si="5"/>
        <v>173033.69352950383</v>
      </c>
      <c r="M31" s="99">
        <v>0.04</v>
      </c>
      <c r="N31" s="3">
        <f t="shared" si="3"/>
        <v>6921.3477411801532</v>
      </c>
      <c r="O31" s="3">
        <f t="shared" si="4"/>
        <v>7629.4708285802944</v>
      </c>
    </row>
    <row r="32" spans="1:15" x14ac:dyDescent="0.25">
      <c r="A32" s="161" t="s">
        <v>10</v>
      </c>
      <c r="B32" s="165">
        <f>$C$6*G7</f>
        <v>575.45504766668489</v>
      </c>
      <c r="C32" s="165">
        <f>$C$6*H7</f>
        <v>20551.96598809589</v>
      </c>
      <c r="D32" s="166">
        <f t="shared" si="2"/>
        <v>10563.710517881287</v>
      </c>
      <c r="E32" s="163"/>
      <c r="F32" s="161" t="s">
        <v>53</v>
      </c>
      <c r="G32" s="165">
        <f>$C$8*G8</f>
        <v>271.85852573963041</v>
      </c>
      <c r="H32" s="165">
        <f>$C$8*H8</f>
        <v>1631.1511544377825</v>
      </c>
      <c r="I32" s="165">
        <f t="shared" si="6"/>
        <v>951.50484008870649</v>
      </c>
      <c r="N32" s="2" t="s">
        <v>144</v>
      </c>
      <c r="O32" s="101">
        <f>SUM(O24:O31)</f>
        <v>20080.037695766394</v>
      </c>
    </row>
    <row r="33" spans="1:9" x14ac:dyDescent="0.25">
      <c r="A33" s="161" t="s">
        <v>53</v>
      </c>
      <c r="B33" s="165">
        <f>$C$6*G7</f>
        <v>575.45504766668489</v>
      </c>
      <c r="C33" s="165">
        <f>$C$6*H7</f>
        <v>20551.96598809589</v>
      </c>
      <c r="D33" s="166">
        <f t="shared" si="2"/>
        <v>10563.710517881287</v>
      </c>
      <c r="E33" s="163"/>
      <c r="F33" s="161" t="s">
        <v>11</v>
      </c>
      <c r="G33" s="165">
        <f>$C$8*G16</f>
        <v>135.9292628698152</v>
      </c>
      <c r="H33" s="165">
        <f>$C$8*H16</f>
        <v>2718.5852573963043</v>
      </c>
      <c r="I33" s="165">
        <f t="shared" si="6"/>
        <v>1427.2572601330598</v>
      </c>
    </row>
    <row r="34" spans="1:9" x14ac:dyDescent="0.25">
      <c r="A34" s="161" t="s">
        <v>46</v>
      </c>
      <c r="B34" s="165">
        <f>$C$6*G17</f>
        <v>0.82207863952383564</v>
      </c>
      <c r="C34" s="165">
        <f>$C$6*H17</f>
        <v>2055.196598809589</v>
      </c>
      <c r="D34" s="166">
        <f t="shared" si="2"/>
        <v>1028.0093387245563</v>
      </c>
      <c r="E34" s="163"/>
      <c r="F34" s="161" t="s">
        <v>46</v>
      </c>
      <c r="G34" s="165">
        <f>$C$8*G17</f>
        <v>0.54371705147926086</v>
      </c>
      <c r="H34" s="165">
        <f>$C$8*H17</f>
        <v>1359.2926286981522</v>
      </c>
      <c r="I34" s="165">
        <f t="shared" si="6"/>
        <v>679.9181728748157</v>
      </c>
    </row>
    <row r="35" spans="1:9" x14ac:dyDescent="0.25">
      <c r="A35" s="163"/>
      <c r="B35" s="163"/>
      <c r="C35" s="163"/>
      <c r="D35" s="167"/>
      <c r="E35" s="163"/>
      <c r="F35" s="163"/>
      <c r="G35" s="163"/>
      <c r="H35" s="163"/>
      <c r="I35" s="163"/>
    </row>
    <row r="36" spans="1:9" ht="18.75" x14ac:dyDescent="0.25">
      <c r="A36" s="327" t="s">
        <v>3</v>
      </c>
      <c r="B36" s="327"/>
      <c r="C36" s="327"/>
      <c r="D36" s="327"/>
      <c r="E36" s="163"/>
      <c r="F36" s="327" t="s">
        <v>5</v>
      </c>
      <c r="G36" s="327"/>
      <c r="H36" s="327"/>
      <c r="I36" s="327"/>
    </row>
    <row r="37" spans="1:9" x14ac:dyDescent="0.25">
      <c r="A37" s="161" t="s">
        <v>35</v>
      </c>
      <c r="B37" s="326" t="s">
        <v>59</v>
      </c>
      <c r="C37" s="326"/>
      <c r="D37" s="326"/>
      <c r="E37" s="163"/>
      <c r="F37" s="161" t="s">
        <v>35</v>
      </c>
      <c r="G37" s="326" t="s">
        <v>61</v>
      </c>
      <c r="H37" s="326"/>
      <c r="I37" s="326"/>
    </row>
    <row r="38" spans="1:9" x14ac:dyDescent="0.25">
      <c r="A38" s="165"/>
      <c r="B38" s="166" t="s">
        <v>37</v>
      </c>
      <c r="C38" s="166" t="s">
        <v>38</v>
      </c>
      <c r="D38" s="166" t="s">
        <v>66</v>
      </c>
      <c r="E38" s="163"/>
      <c r="F38" s="165"/>
      <c r="G38" s="166" t="s">
        <v>37</v>
      </c>
      <c r="H38" s="166" t="s">
        <v>38</v>
      </c>
      <c r="I38" s="166" t="s">
        <v>66</v>
      </c>
    </row>
    <row r="39" spans="1:9" x14ac:dyDescent="0.25">
      <c r="A39" s="161" t="s">
        <v>47</v>
      </c>
      <c r="B39" s="166">
        <f>$C$7-SUM(B40:B46)</f>
        <v>0</v>
      </c>
      <c r="C39" s="166">
        <f>$C$7-SUM(C40:C46)</f>
        <v>0</v>
      </c>
      <c r="D39" s="166">
        <f t="shared" si="2"/>
        <v>0</v>
      </c>
      <c r="E39" s="163"/>
      <c r="F39" s="161" t="s">
        <v>47</v>
      </c>
      <c r="G39" s="166">
        <f>$C$9-SUM(G40:G46)</f>
        <v>0</v>
      </c>
      <c r="H39" s="166">
        <f>$C$9-SUM(H40:H46)</f>
        <v>0</v>
      </c>
      <c r="I39" s="165">
        <f t="shared" si="6"/>
        <v>0</v>
      </c>
    </row>
    <row r="40" spans="1:9" x14ac:dyDescent="0.25">
      <c r="A40" s="161" t="s">
        <v>9</v>
      </c>
      <c r="B40" s="165">
        <f>$C$7*G6</f>
        <v>0</v>
      </c>
      <c r="C40" s="165">
        <f>$C$7*H6</f>
        <v>0</v>
      </c>
      <c r="D40" s="166">
        <f t="shared" si="2"/>
        <v>0</v>
      </c>
      <c r="E40" s="163"/>
      <c r="F40" s="161" t="s">
        <v>9</v>
      </c>
      <c r="G40" s="165">
        <f>$C$9*G6</f>
        <v>0</v>
      </c>
      <c r="H40" s="165">
        <f>$C$9*H6</f>
        <v>0</v>
      </c>
      <c r="I40" s="165">
        <f t="shared" si="6"/>
        <v>0</v>
      </c>
    </row>
    <row r="41" spans="1:9" x14ac:dyDescent="0.25">
      <c r="A41" s="161" t="s">
        <v>40</v>
      </c>
      <c r="B41" s="165">
        <f>$C$7*G9</f>
        <v>0</v>
      </c>
      <c r="C41" s="165">
        <f>$C$7*H9</f>
        <v>0</v>
      </c>
      <c r="D41" s="166">
        <f t="shared" si="2"/>
        <v>0</v>
      </c>
      <c r="E41" s="163"/>
      <c r="F41" s="161" t="s">
        <v>53</v>
      </c>
      <c r="G41" s="165">
        <f>$C$9*G8</f>
        <v>0</v>
      </c>
      <c r="H41" s="165">
        <f>$C$9*H8</f>
        <v>0</v>
      </c>
      <c r="I41" s="165">
        <f t="shared" si="6"/>
        <v>0</v>
      </c>
    </row>
    <row r="42" spans="1:9" x14ac:dyDescent="0.25">
      <c r="A42" s="161" t="s">
        <v>52</v>
      </c>
      <c r="B42" s="165">
        <f>$C$7*G10</f>
        <v>0</v>
      </c>
      <c r="C42" s="165">
        <f>$C$7*H10</f>
        <v>0</v>
      </c>
      <c r="D42" s="166">
        <f t="shared" si="2"/>
        <v>0</v>
      </c>
      <c r="E42" s="163"/>
      <c r="F42" s="161" t="s">
        <v>14</v>
      </c>
      <c r="G42" s="165">
        <f>$C$9*G20</f>
        <v>0</v>
      </c>
      <c r="H42" s="165">
        <f>$C$9*H20</f>
        <v>0</v>
      </c>
      <c r="I42" s="165">
        <f t="shared" si="6"/>
        <v>0</v>
      </c>
    </row>
    <row r="43" spans="1:9" x14ac:dyDescent="0.25">
      <c r="A43" s="161" t="s">
        <v>53</v>
      </c>
      <c r="B43" s="165">
        <f>$C$7*G8</f>
        <v>0</v>
      </c>
      <c r="C43" s="165">
        <f>$C$7*H8</f>
        <v>0</v>
      </c>
      <c r="D43" s="166">
        <f t="shared" si="2"/>
        <v>0</v>
      </c>
      <c r="E43" s="163"/>
      <c r="F43" s="161" t="s">
        <v>54</v>
      </c>
      <c r="G43" s="165">
        <f>$C$9*G21</f>
        <v>0</v>
      </c>
      <c r="H43" s="165">
        <f>$C$9*H21</f>
        <v>0</v>
      </c>
      <c r="I43" s="165">
        <f t="shared" si="6"/>
        <v>0</v>
      </c>
    </row>
    <row r="44" spans="1:9" x14ac:dyDescent="0.25">
      <c r="A44" s="161" t="s">
        <v>41</v>
      </c>
      <c r="B44" s="165">
        <f>$C$7*G11</f>
        <v>0</v>
      </c>
      <c r="C44" s="165">
        <f>$C$7*H11</f>
        <v>0</v>
      </c>
      <c r="D44" s="166">
        <f t="shared" si="2"/>
        <v>0</v>
      </c>
      <c r="E44" s="163"/>
      <c r="F44" s="161" t="s">
        <v>13</v>
      </c>
      <c r="G44" s="165">
        <f>$C$9*G15</f>
        <v>0</v>
      </c>
      <c r="H44" s="165">
        <f>$C$9*H15</f>
        <v>0</v>
      </c>
      <c r="I44" s="165">
        <f t="shared" si="6"/>
        <v>0</v>
      </c>
    </row>
    <row r="45" spans="1:9" x14ac:dyDescent="0.25">
      <c r="A45" s="161" t="s">
        <v>11</v>
      </c>
      <c r="B45" s="165">
        <f>$C$7*G16</f>
        <v>0</v>
      </c>
      <c r="C45" s="165">
        <f>$C$7*H16</f>
        <v>0</v>
      </c>
      <c r="D45" s="166">
        <f t="shared" si="2"/>
        <v>0</v>
      </c>
      <c r="E45" s="163"/>
      <c r="F45" s="161" t="s">
        <v>40</v>
      </c>
      <c r="G45" s="165">
        <f>$C$9*G9</f>
        <v>0</v>
      </c>
      <c r="H45" s="165">
        <f>$C$9*H9</f>
        <v>0</v>
      </c>
      <c r="I45" s="165">
        <f t="shared" si="6"/>
        <v>0</v>
      </c>
    </row>
    <row r="46" spans="1:9" x14ac:dyDescent="0.25">
      <c r="A46" s="161" t="s">
        <v>46</v>
      </c>
      <c r="B46" s="165">
        <f>$C$7*G17</f>
        <v>0</v>
      </c>
      <c r="C46" s="165">
        <f>$C$7*H17</f>
        <v>0</v>
      </c>
      <c r="D46" s="166">
        <f t="shared" si="2"/>
        <v>0</v>
      </c>
      <c r="E46" s="163"/>
      <c r="F46" s="161" t="s">
        <v>11</v>
      </c>
      <c r="G46" s="165">
        <f>$C$9*G16</f>
        <v>0</v>
      </c>
      <c r="H46" s="165">
        <f>$C$9*H16</f>
        <v>0</v>
      </c>
      <c r="I46" s="165">
        <f t="shared" si="6"/>
        <v>0</v>
      </c>
    </row>
    <row r="47" spans="1:9" x14ac:dyDescent="0.25">
      <c r="A47" s="163"/>
      <c r="B47" s="163"/>
      <c r="C47" s="163"/>
      <c r="D47" s="167"/>
      <c r="E47" s="163"/>
      <c r="F47" s="163"/>
      <c r="G47" s="163"/>
      <c r="H47" s="163"/>
      <c r="I47" s="163"/>
    </row>
    <row r="48" spans="1:9" ht="18.75" x14ac:dyDescent="0.25">
      <c r="A48" s="327" t="s">
        <v>6</v>
      </c>
      <c r="B48" s="327"/>
      <c r="C48" s="327"/>
      <c r="D48" s="327"/>
      <c r="E48" s="163"/>
      <c r="F48" s="163" t="s">
        <v>55</v>
      </c>
      <c r="G48" s="163"/>
      <c r="H48" s="163"/>
      <c r="I48" s="163"/>
    </row>
    <row r="49" spans="1:9" ht="18.75" x14ac:dyDescent="0.25">
      <c r="A49" s="161" t="s">
        <v>35</v>
      </c>
      <c r="B49" s="326" t="s">
        <v>62</v>
      </c>
      <c r="C49" s="326"/>
      <c r="D49" s="326"/>
      <c r="E49" s="163"/>
      <c r="F49" s="327" t="s">
        <v>34</v>
      </c>
      <c r="G49" s="327"/>
      <c r="H49" s="327"/>
      <c r="I49" s="327"/>
    </row>
    <row r="50" spans="1:9" x14ac:dyDescent="0.25">
      <c r="A50" s="165"/>
      <c r="B50" s="166" t="s">
        <v>37</v>
      </c>
      <c r="C50" s="166" t="s">
        <v>38</v>
      </c>
      <c r="D50" s="166" t="s">
        <v>66</v>
      </c>
      <c r="E50" s="163"/>
      <c r="F50" s="161" t="s">
        <v>35</v>
      </c>
      <c r="G50" s="326" t="s">
        <v>64</v>
      </c>
      <c r="H50" s="326"/>
      <c r="I50" s="326"/>
    </row>
    <row r="51" spans="1:9" x14ac:dyDescent="0.25">
      <c r="A51" s="161" t="s">
        <v>47</v>
      </c>
      <c r="B51" s="166">
        <f>$C$10-SUM(B52:B57)</f>
        <v>7268.5082706267485</v>
      </c>
      <c r="C51" s="166">
        <f>$C$10-SUM(C52:C57)</f>
        <v>4699.3899720869595</v>
      </c>
      <c r="D51" s="166">
        <f t="shared" si="2"/>
        <v>5983.9491213568544</v>
      </c>
      <c r="E51" s="163"/>
      <c r="F51" s="165"/>
      <c r="G51" s="166" t="s">
        <v>37</v>
      </c>
      <c r="H51" s="166" t="s">
        <v>38</v>
      </c>
      <c r="I51" s="166" t="s">
        <v>66</v>
      </c>
    </row>
    <row r="52" spans="1:9" x14ac:dyDescent="0.25">
      <c r="A52" s="161" t="s">
        <v>40</v>
      </c>
      <c r="B52" s="165">
        <f>$C$10*G9</f>
        <v>37.01472882866225</v>
      </c>
      <c r="C52" s="165">
        <f>$C$10*H9</f>
        <v>222.08837297197348</v>
      </c>
      <c r="D52" s="166">
        <f t="shared" si="2"/>
        <v>129.55155090031786</v>
      </c>
      <c r="E52" s="163"/>
      <c r="F52" s="161" t="s">
        <v>47</v>
      </c>
      <c r="G52" s="166">
        <f>$C$12-SUM(G53:G69)</f>
        <v>123930.19197970122</v>
      </c>
      <c r="H52" s="166">
        <f>$C$12-SUM(H53:H69)</f>
        <v>-228439.08219765092</v>
      </c>
      <c r="I52" s="165">
        <f>(G52+H52)/2</f>
        <v>-52254.445108974847</v>
      </c>
    </row>
    <row r="53" spans="1:9" x14ac:dyDescent="0.25">
      <c r="A53" s="161" t="s">
        <v>52</v>
      </c>
      <c r="B53" s="165">
        <f>$C$10*G10</f>
        <v>7.4029457657324507</v>
      </c>
      <c r="C53" s="165">
        <f>$C$10*H10</f>
        <v>222.08837297197348</v>
      </c>
      <c r="D53" s="166">
        <f t="shared" si="2"/>
        <v>114.74565936885297</v>
      </c>
      <c r="E53" s="163"/>
      <c r="F53" s="161" t="s">
        <v>9</v>
      </c>
      <c r="G53" s="165">
        <f>$C$12*G6</f>
        <v>17303.369352950383</v>
      </c>
      <c r="H53" s="165">
        <f>$C$12*H6</f>
        <v>121123.58547065267</v>
      </c>
      <c r="I53" s="165">
        <f t="shared" si="6"/>
        <v>69213.477411801534</v>
      </c>
    </row>
    <row r="54" spans="1:9" x14ac:dyDescent="0.25">
      <c r="A54" s="161" t="s">
        <v>49</v>
      </c>
      <c r="B54" s="165">
        <f>$C$10*G8</f>
        <v>37.01472882866225</v>
      </c>
      <c r="C54" s="165">
        <f>$C$10*H8</f>
        <v>222.08837297197348</v>
      </c>
      <c r="D54" s="166">
        <f t="shared" si="2"/>
        <v>129.55155090031786</v>
      </c>
      <c r="E54" s="163"/>
      <c r="F54" s="161" t="s">
        <v>40</v>
      </c>
      <c r="G54" s="165">
        <f>$C$12*G9</f>
        <v>865.16846764751915</v>
      </c>
      <c r="H54" s="165">
        <f>$C$12*H9</f>
        <v>5191.0108058851147</v>
      </c>
      <c r="I54" s="165">
        <f t="shared" si="6"/>
        <v>3028.0896367663167</v>
      </c>
    </row>
    <row r="55" spans="1:9" x14ac:dyDescent="0.25">
      <c r="A55" s="161" t="s">
        <v>10</v>
      </c>
      <c r="B55" s="165">
        <f>$C$10*G7</f>
        <v>51.820620360127151</v>
      </c>
      <c r="C55" s="165">
        <f>$C$10*H7</f>
        <v>1850.7364414331125</v>
      </c>
      <c r="D55" s="166">
        <f t="shared" si="2"/>
        <v>951.27853089661983</v>
      </c>
      <c r="E55" s="163"/>
      <c r="F55" s="161" t="s">
        <v>49</v>
      </c>
      <c r="G55" s="165">
        <f>$C$12*G8</f>
        <v>865.16846764751915</v>
      </c>
      <c r="H55" s="165">
        <f>$C$12*H8</f>
        <v>5191.0108058851147</v>
      </c>
      <c r="I55" s="165">
        <f t="shared" si="6"/>
        <v>3028.0896367663167</v>
      </c>
    </row>
    <row r="56" spans="1:9" x14ac:dyDescent="0.25">
      <c r="A56" s="161" t="s">
        <v>48</v>
      </c>
      <c r="B56" s="165">
        <f>$C$10*G18</f>
        <v>1.1104418648598675</v>
      </c>
      <c r="C56" s="165">
        <f>$C$10*H18</f>
        <v>1.4805891531464901</v>
      </c>
      <c r="D56" s="166">
        <f t="shared" si="2"/>
        <v>1.2955155090031787</v>
      </c>
      <c r="E56" s="163"/>
      <c r="F56" s="161" t="s">
        <v>11</v>
      </c>
      <c r="G56" s="165">
        <f>$C$12*G16</f>
        <v>432.58423382375958</v>
      </c>
      <c r="H56" s="165">
        <f>$C$12*H16</f>
        <v>8651.6846764751917</v>
      </c>
      <c r="I56" s="165">
        <f t="shared" si="6"/>
        <v>4542.1344551494758</v>
      </c>
    </row>
    <row r="57" spans="1:9" x14ac:dyDescent="0.25">
      <c r="A57" s="161" t="s">
        <v>46</v>
      </c>
      <c r="B57" s="165">
        <f>$C$10*G17</f>
        <v>7.4029457657324507E-2</v>
      </c>
      <c r="C57" s="165">
        <f>$C$10*H17</f>
        <v>185.07364414331127</v>
      </c>
      <c r="D57" s="166">
        <f t="shared" si="2"/>
        <v>92.573836800484301</v>
      </c>
      <c r="E57" s="163"/>
      <c r="F57" s="161" t="s">
        <v>10</v>
      </c>
      <c r="G57" s="165">
        <f>$C$12*G7</f>
        <v>1211.2358547065269</v>
      </c>
      <c r="H57" s="165">
        <f>$C$12*H7</f>
        <v>43258.423382375957</v>
      </c>
      <c r="I57" s="165">
        <f t="shared" si="6"/>
        <v>22234.82961854124</v>
      </c>
    </row>
    <row r="58" spans="1:9" x14ac:dyDescent="0.25">
      <c r="A58" s="164"/>
      <c r="B58" s="168"/>
      <c r="C58" s="168"/>
      <c r="D58" s="167"/>
      <c r="E58" s="163"/>
      <c r="F58" s="161" t="s">
        <v>98</v>
      </c>
      <c r="G58" s="165">
        <f t="shared" ref="G58:H60" si="7">$C$12*G13</f>
        <v>173.03369352950384</v>
      </c>
      <c r="H58" s="165">
        <f t="shared" si="7"/>
        <v>3460.6738705900766</v>
      </c>
      <c r="I58" s="165">
        <f t="shared" si="6"/>
        <v>1816.8537820597903</v>
      </c>
    </row>
    <row r="59" spans="1:9" x14ac:dyDescent="0.25">
      <c r="A59" s="164"/>
      <c r="B59" s="168"/>
      <c r="C59" s="168"/>
      <c r="D59" s="167"/>
      <c r="E59" s="163"/>
      <c r="F59" s="161" t="s">
        <v>99</v>
      </c>
      <c r="G59" s="165">
        <f t="shared" si="7"/>
        <v>865.16846764751915</v>
      </c>
      <c r="H59" s="165">
        <f t="shared" si="7"/>
        <v>35471.907173548279</v>
      </c>
      <c r="I59" s="165">
        <f t="shared" si="6"/>
        <v>18168.5378205979</v>
      </c>
    </row>
    <row r="60" spans="1:9" x14ac:dyDescent="0.25">
      <c r="A60" s="164"/>
      <c r="B60" s="168"/>
      <c r="C60" s="168"/>
      <c r="D60" s="167"/>
      <c r="E60" s="163"/>
      <c r="F60" s="161" t="s">
        <v>45</v>
      </c>
      <c r="G60" s="165">
        <f t="shared" si="7"/>
        <v>1.7303369352950384</v>
      </c>
      <c r="H60" s="165">
        <f t="shared" si="7"/>
        <v>1730.3369352950383</v>
      </c>
      <c r="I60" s="165">
        <f t="shared" si="6"/>
        <v>866.0336361151667</v>
      </c>
    </row>
    <row r="61" spans="1:9" x14ac:dyDescent="0.25">
      <c r="A61" s="164"/>
      <c r="B61" s="168"/>
      <c r="C61" s="168"/>
      <c r="D61" s="167"/>
      <c r="E61" s="163"/>
      <c r="F61" s="161" t="s">
        <v>48</v>
      </c>
      <c r="G61" s="165">
        <f>$C$12*G18</f>
        <v>25.955054029425572</v>
      </c>
      <c r="H61" s="165">
        <f>$C$12*H18</f>
        <v>34.606738705900767</v>
      </c>
      <c r="I61" s="165">
        <f t="shared" si="6"/>
        <v>30.280896367663168</v>
      </c>
    </row>
    <row r="62" spans="1:9" x14ac:dyDescent="0.25">
      <c r="A62" s="164"/>
      <c r="B62" s="168"/>
      <c r="C62" s="168"/>
      <c r="D62" s="167"/>
      <c r="E62" s="163"/>
      <c r="F62" s="161" t="s">
        <v>100</v>
      </c>
      <c r="G62" s="165">
        <f>$C$12*G19</f>
        <v>17.303369352950384</v>
      </c>
      <c r="H62" s="165">
        <f>$C$12*H19</f>
        <v>17303.369352950383</v>
      </c>
      <c r="I62" s="165">
        <f t="shared" si="6"/>
        <v>8660.336361151667</v>
      </c>
    </row>
    <row r="63" spans="1:9" x14ac:dyDescent="0.25">
      <c r="A63" s="163"/>
      <c r="B63" s="163"/>
      <c r="C63" s="163"/>
      <c r="D63" s="167"/>
      <c r="E63" s="163"/>
      <c r="F63" s="161" t="s">
        <v>53</v>
      </c>
      <c r="G63" s="165">
        <f>$C$12*G8</f>
        <v>865.16846764751915</v>
      </c>
      <c r="H63" s="165">
        <f>$C$12*H8</f>
        <v>5191.0108058851147</v>
      </c>
      <c r="I63" s="165">
        <f t="shared" si="6"/>
        <v>3028.0896367663167</v>
      </c>
    </row>
    <row r="64" spans="1:9" ht="18.75" x14ac:dyDescent="0.25">
      <c r="A64" s="327" t="s">
        <v>7</v>
      </c>
      <c r="B64" s="327"/>
      <c r="C64" s="327"/>
      <c r="D64" s="327"/>
      <c r="E64" s="163"/>
      <c r="F64" s="161" t="s">
        <v>46</v>
      </c>
      <c r="G64" s="165">
        <f>$C$12*G17</f>
        <v>1.7303369352950384</v>
      </c>
      <c r="H64" s="165">
        <f>$C$12*H17</f>
        <v>4325.8423382375959</v>
      </c>
      <c r="I64" s="165">
        <f t="shared" si="6"/>
        <v>2163.7863375864454</v>
      </c>
    </row>
    <row r="65" spans="1:9" x14ac:dyDescent="0.25">
      <c r="A65" s="161" t="s">
        <v>35</v>
      </c>
      <c r="B65" s="326" t="s">
        <v>63</v>
      </c>
      <c r="C65" s="326"/>
      <c r="D65" s="326"/>
      <c r="E65" s="163"/>
      <c r="F65" s="161" t="s">
        <v>14</v>
      </c>
      <c r="G65" s="165">
        <f>$C$12*G20</f>
        <v>1.7303369352950384</v>
      </c>
      <c r="H65" s="165">
        <f>$C$12*H20</f>
        <v>86516.846764751914</v>
      </c>
      <c r="I65" s="165">
        <f t="shared" si="6"/>
        <v>43259.288550843601</v>
      </c>
    </row>
    <row r="66" spans="1:9" x14ac:dyDescent="0.25">
      <c r="A66" s="165"/>
      <c r="B66" s="166" t="s">
        <v>37</v>
      </c>
      <c r="C66" s="166" t="s">
        <v>38</v>
      </c>
      <c r="D66" s="166" t="s">
        <v>66</v>
      </c>
      <c r="E66" s="163"/>
      <c r="F66" s="161" t="s">
        <v>56</v>
      </c>
      <c r="G66" s="165">
        <f>$C$12*G21</f>
        <v>25955.054029425573</v>
      </c>
      <c r="H66" s="165">
        <f>$C$12*H21</f>
        <v>51910.108058851147</v>
      </c>
      <c r="I66" s="165">
        <f t="shared" si="6"/>
        <v>38932.581044138358</v>
      </c>
    </row>
    <row r="67" spans="1:9" x14ac:dyDescent="0.25">
      <c r="A67" s="161" t="s">
        <v>47</v>
      </c>
      <c r="B67" s="166">
        <f>$C$11-SUM(B68:B73)</f>
        <v>2929.0600898528091</v>
      </c>
      <c r="C67" s="166">
        <f>$C$11-SUM(C68:C73)</f>
        <v>2452.0538758674038</v>
      </c>
      <c r="D67" s="166">
        <f t="shared" si="2"/>
        <v>2690.5569828601065</v>
      </c>
      <c r="E67" s="163"/>
      <c r="F67" s="161" t="s">
        <v>41</v>
      </c>
      <c r="G67" s="165">
        <f>$C$12*G11</f>
        <v>173.03369352950384</v>
      </c>
      <c r="H67" s="165">
        <f>$C$12*H11</f>
        <v>5191.0108058851147</v>
      </c>
      <c r="I67" s="165">
        <f t="shared" si="6"/>
        <v>2682.0222497073091</v>
      </c>
    </row>
    <row r="68" spans="1:9" x14ac:dyDescent="0.25">
      <c r="A68" s="161" t="s">
        <v>40</v>
      </c>
      <c r="B68" s="165">
        <f>$C$11*G9</f>
        <v>14.860932581014568</v>
      </c>
      <c r="C68" s="165">
        <f>$C$11*H9</f>
        <v>89.165595486087398</v>
      </c>
      <c r="D68" s="166">
        <f t="shared" si="2"/>
        <v>52.013264033550982</v>
      </c>
      <c r="E68" s="163"/>
      <c r="F68" s="161" t="s">
        <v>52</v>
      </c>
      <c r="G68" s="165">
        <f>$C$12*G10</f>
        <v>173.03369352950384</v>
      </c>
      <c r="H68" s="165">
        <f>$C$12*H10</f>
        <v>5191.0108058851147</v>
      </c>
      <c r="I68" s="165">
        <f t="shared" si="6"/>
        <v>2682.0222497073091</v>
      </c>
    </row>
    <row r="69" spans="1:9" x14ac:dyDescent="0.25">
      <c r="A69" s="161" t="s">
        <v>52</v>
      </c>
      <c r="B69" s="165">
        <f>$C$11*G10</f>
        <v>2.9721865162029135</v>
      </c>
      <c r="C69" s="165">
        <f>$C$11*H10</f>
        <v>89.165595486087398</v>
      </c>
      <c r="D69" s="166">
        <f t="shared" si="2"/>
        <v>46.068891001145154</v>
      </c>
      <c r="E69" s="163"/>
      <c r="F69" s="161" t="s">
        <v>51</v>
      </c>
      <c r="G69" s="165">
        <f>$C$12*G12</f>
        <v>173.03369352950384</v>
      </c>
      <c r="H69" s="165">
        <f>$C$12*H12</f>
        <v>1730.3369352950383</v>
      </c>
      <c r="I69" s="165">
        <f t="shared" si="6"/>
        <v>951.68531441227105</v>
      </c>
    </row>
    <row r="70" spans="1:9" x14ac:dyDescent="0.25">
      <c r="A70" s="161" t="s">
        <v>49</v>
      </c>
      <c r="B70" s="165">
        <f>$C$11*G8</f>
        <v>14.860932581014568</v>
      </c>
      <c r="C70" s="165">
        <f>$C$11*H8</f>
        <v>89.165595486087398</v>
      </c>
      <c r="D70" s="166">
        <f t="shared" si="2"/>
        <v>52.013264033550982</v>
      </c>
      <c r="E70" s="163"/>
      <c r="F70" s="163" t="s">
        <v>55</v>
      </c>
      <c r="G70" s="163"/>
      <c r="H70" s="163"/>
      <c r="I70" s="163"/>
    </row>
    <row r="71" spans="1:9" x14ac:dyDescent="0.25">
      <c r="A71" s="161" t="s">
        <v>51</v>
      </c>
      <c r="B71" s="165">
        <f>$C$11*G12</f>
        <v>2.9721865162029135</v>
      </c>
      <c r="C71" s="165">
        <f>$C$11*H12</f>
        <v>29.721865162029136</v>
      </c>
      <c r="D71" s="166">
        <f t="shared" si="2"/>
        <v>16.347025839116025</v>
      </c>
    </row>
    <row r="72" spans="1:9" x14ac:dyDescent="0.25">
      <c r="A72" s="161" t="s">
        <v>11</v>
      </c>
      <c r="B72" s="165">
        <f>$C$11*G16</f>
        <v>7.430466290507284</v>
      </c>
      <c r="C72" s="165">
        <f>$C$11*H16</f>
        <v>148.60932581014569</v>
      </c>
      <c r="D72" s="166">
        <f t="shared" si="2"/>
        <v>78.019896050326494</v>
      </c>
    </row>
    <row r="73" spans="1:9" x14ac:dyDescent="0.25">
      <c r="A73" s="161" t="s">
        <v>46</v>
      </c>
      <c r="B73" s="165">
        <f>$C$11*G17</f>
        <v>2.9721865162029137E-2</v>
      </c>
      <c r="C73" s="165">
        <f>$C$11*H17</f>
        <v>74.304662905072846</v>
      </c>
      <c r="D73" s="166">
        <f t="shared" si="2"/>
        <v>37.167192385117438</v>
      </c>
    </row>
    <row r="74" spans="1:9" x14ac:dyDescent="0.25">
      <c r="A74" s="163"/>
      <c r="B74" s="163"/>
      <c r="C74" s="163"/>
      <c r="D74" s="163"/>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73"/>
  <sheetViews>
    <sheetView workbookViewId="0">
      <selection sqref="A1:XFD1048576"/>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1.7109375" style="3" bestFit="1" customWidth="1"/>
    <col min="16" max="16384" width="9.140625" style="3"/>
  </cols>
  <sheetData>
    <row r="1" spans="1:15" x14ac:dyDescent="0.25">
      <c r="A1" s="2"/>
    </row>
    <row r="2" spans="1:15" x14ac:dyDescent="0.25">
      <c r="A2" s="2" t="s">
        <v>23</v>
      </c>
      <c r="B2" s="15">
        <f>'US 2018 Facts - Sensitivity'!B3*'US 2018 Facts - Sensitivity'!B13</f>
        <v>281515.6210240004</v>
      </c>
      <c r="C2" s="3" t="s">
        <v>24</v>
      </c>
    </row>
    <row r="3" spans="1:15" x14ac:dyDescent="0.25">
      <c r="A3" s="2"/>
    </row>
    <row r="4" spans="1:15" x14ac:dyDescent="0.25">
      <c r="A4" s="5" t="s">
        <v>25</v>
      </c>
      <c r="B4" s="5" t="s">
        <v>26</v>
      </c>
      <c r="C4" s="5" t="s">
        <v>57</v>
      </c>
      <c r="D4" s="24"/>
      <c r="F4" s="5" t="s">
        <v>35</v>
      </c>
      <c r="G4" s="324" t="s">
        <v>36</v>
      </c>
      <c r="H4" s="325"/>
      <c r="L4" s="2" t="s">
        <v>101</v>
      </c>
      <c r="M4" s="103"/>
      <c r="N4" s="103"/>
      <c r="O4" s="103"/>
    </row>
    <row r="5" spans="1:15" x14ac:dyDescent="0.25">
      <c r="A5" s="6" t="s">
        <v>27</v>
      </c>
      <c r="B5" s="16">
        <v>0.13410900183710961</v>
      </c>
      <c r="C5" s="86">
        <f>$B$2*B5</f>
        <v>37753.778937082723</v>
      </c>
      <c r="D5" s="25"/>
      <c r="F5" s="8"/>
      <c r="G5" s="9" t="s">
        <v>37</v>
      </c>
      <c r="H5" s="9" t="s">
        <v>38</v>
      </c>
      <c r="I5" s="9" t="s">
        <v>66</v>
      </c>
      <c r="K5" s="6" t="s">
        <v>9</v>
      </c>
      <c r="L5" s="3">
        <f>SUM(B40,G40,G53)</f>
        <v>3430.594524419846</v>
      </c>
      <c r="M5" s="15"/>
      <c r="N5" s="37"/>
      <c r="O5" s="37"/>
    </row>
    <row r="6" spans="1:15" x14ac:dyDescent="0.25">
      <c r="A6" s="6" t="s">
        <v>28</v>
      </c>
      <c r="B6" s="16">
        <v>0.17575015309246786</v>
      </c>
      <c r="C6" s="86">
        <f t="shared" ref="C6:C12" si="0">$B$2*B6</f>
        <v>49476.413492889231</v>
      </c>
      <c r="D6" s="25"/>
      <c r="F6" s="6" t="s">
        <v>9</v>
      </c>
      <c r="G6" s="7">
        <v>0.1</v>
      </c>
      <c r="H6" s="7">
        <v>0.7</v>
      </c>
      <c r="I6" s="10">
        <f>(G6+H6)/2</f>
        <v>0.39999999999999997</v>
      </c>
      <c r="K6" s="6" t="s">
        <v>10</v>
      </c>
      <c r="L6" s="3">
        <f>SUM(B20,B32,B55,G31,G57)</f>
        <v>1779.3407730552483</v>
      </c>
      <c r="M6" s="15"/>
      <c r="N6" s="37"/>
      <c r="O6" s="37"/>
    </row>
    <row r="7" spans="1:15" x14ac:dyDescent="0.25">
      <c r="A7" s="6" t="s">
        <v>29</v>
      </c>
      <c r="B7" s="16">
        <v>2.5719534598897736E-2</v>
      </c>
      <c r="C7" s="86">
        <f t="shared" si="0"/>
        <v>7240.4507550569615</v>
      </c>
      <c r="D7" s="25"/>
      <c r="F7" s="6" t="s">
        <v>10</v>
      </c>
      <c r="G7" s="7">
        <v>7.0000000000000001E-3</v>
      </c>
      <c r="H7" s="7">
        <v>0.25</v>
      </c>
      <c r="I7" s="10">
        <f t="shared" ref="I7:I21" si="1">(G7+H7)/2</f>
        <v>0.1285</v>
      </c>
      <c r="K7" s="6" t="s">
        <v>39</v>
      </c>
      <c r="L7" s="3">
        <f>SUM(B19,B30,B33,B43,B54,B70,G30,G32,G41,G55,G63)</f>
        <v>2239.6265710552975</v>
      </c>
      <c r="M7" s="15"/>
      <c r="N7" s="37"/>
      <c r="O7" s="37"/>
    </row>
    <row r="8" spans="1:15" x14ac:dyDescent="0.25">
      <c r="A8" s="6" t="s">
        <v>30</v>
      </c>
      <c r="B8" s="16">
        <v>0.25168401714635641</v>
      </c>
      <c r="C8" s="86">
        <f t="shared" si="0"/>
        <v>70852.982388771692</v>
      </c>
      <c r="D8" s="25"/>
      <c r="F8" s="6" t="s">
        <v>39</v>
      </c>
      <c r="G8" s="7">
        <v>5.0000000000000001E-3</v>
      </c>
      <c r="H8" s="7">
        <v>0.03</v>
      </c>
      <c r="I8" s="10">
        <f t="shared" si="1"/>
        <v>1.7499999999999998E-2</v>
      </c>
      <c r="K8" s="6" t="s">
        <v>40</v>
      </c>
      <c r="L8" s="3">
        <f>SUM(B29,B41,B52,G54,G28,G45,B68)</f>
        <v>1218.8092104345885</v>
      </c>
      <c r="M8" s="15"/>
      <c r="N8" s="37"/>
      <c r="O8" s="37"/>
    </row>
    <row r="9" spans="1:15" x14ac:dyDescent="0.25">
      <c r="A9" s="6" t="s">
        <v>31</v>
      </c>
      <c r="B9" s="16">
        <v>2.7556644213104714E-3</v>
      </c>
      <c r="C9" s="86">
        <f t="shared" si="0"/>
        <v>775.7625808989601</v>
      </c>
      <c r="D9" s="25"/>
      <c r="F9" s="6" t="s">
        <v>40</v>
      </c>
      <c r="G9" s="7">
        <v>5.0000000000000001E-3</v>
      </c>
      <c r="H9" s="7">
        <v>0.03</v>
      </c>
      <c r="I9" s="10">
        <f t="shared" si="1"/>
        <v>1.7499999999999998E-2</v>
      </c>
      <c r="K9" s="6" t="s">
        <v>12</v>
      </c>
      <c r="L9" s="3">
        <f>SUM(B42,B53,B69,G68,G29)</f>
        <v>193.5096660131295</v>
      </c>
      <c r="M9" s="15"/>
      <c r="N9" s="37"/>
      <c r="O9" s="37"/>
    </row>
    <row r="10" spans="1:15" x14ac:dyDescent="0.25">
      <c r="A10" s="6" t="s">
        <v>32</v>
      </c>
      <c r="B10" s="16">
        <v>0.24800979791794245</v>
      </c>
      <c r="C10" s="86">
        <f t="shared" si="0"/>
        <v>69818.632280906415</v>
      </c>
      <c r="D10" s="25"/>
      <c r="F10" s="6" t="s">
        <v>12</v>
      </c>
      <c r="G10" s="7">
        <v>1E-3</v>
      </c>
      <c r="H10" s="7">
        <v>0.03</v>
      </c>
      <c r="I10" s="10">
        <f t="shared" si="1"/>
        <v>1.55E-2</v>
      </c>
      <c r="K10" s="6" t="s">
        <v>41</v>
      </c>
      <c r="L10" s="3">
        <f>SUM(B44,G67)</f>
        <v>33.530182663299499</v>
      </c>
      <c r="M10" s="15"/>
      <c r="N10" s="37"/>
      <c r="O10" s="37"/>
    </row>
    <row r="11" spans="1:15" x14ac:dyDescent="0.25">
      <c r="A11" s="6" t="s">
        <v>33</v>
      </c>
      <c r="B11" s="16">
        <v>6.8585425597060629E-2</v>
      </c>
      <c r="C11" s="86">
        <f t="shared" si="0"/>
        <v>19307.868680151896</v>
      </c>
      <c r="D11" s="25"/>
      <c r="F11" s="6" t="s">
        <v>41</v>
      </c>
      <c r="G11" s="7">
        <v>1E-3</v>
      </c>
      <c r="H11" s="7">
        <v>0.03</v>
      </c>
      <c r="I11" s="10">
        <f t="shared" si="1"/>
        <v>1.55E-2</v>
      </c>
      <c r="K11" s="6" t="s">
        <v>42</v>
      </c>
      <c r="L11" s="3">
        <f>SUM(B21,B71,G69)</f>
        <v>83.351379525477142</v>
      </c>
      <c r="M11" s="15"/>
      <c r="N11" s="37"/>
      <c r="O11" s="37"/>
    </row>
    <row r="12" spans="1:15" x14ac:dyDescent="0.25">
      <c r="A12" s="6" t="s">
        <v>34</v>
      </c>
      <c r="B12" s="16">
        <v>9.3386405388854871E-2</v>
      </c>
      <c r="C12" s="86">
        <f t="shared" si="0"/>
        <v>26289.731908242535</v>
      </c>
      <c r="D12" s="25"/>
      <c r="F12" s="6" t="s">
        <v>42</v>
      </c>
      <c r="G12" s="7">
        <v>1E-3</v>
      </c>
      <c r="H12" s="7">
        <v>0.01</v>
      </c>
      <c r="I12" s="10">
        <f t="shared" si="1"/>
        <v>5.4999999999999997E-3</v>
      </c>
      <c r="K12" s="6" t="s">
        <v>43</v>
      </c>
      <c r="L12" s="3">
        <f>SUM(G58)</f>
        <v>26.289731908242537</v>
      </c>
      <c r="M12" s="15"/>
      <c r="N12" s="37"/>
      <c r="O12" s="37"/>
    </row>
    <row r="13" spans="1:15" x14ac:dyDescent="0.25">
      <c r="B13" s="85">
        <f>SUM(B5:B12)</f>
        <v>1</v>
      </c>
      <c r="C13" s="3" t="s">
        <v>179</v>
      </c>
      <c r="F13" s="6" t="s">
        <v>43</v>
      </c>
      <c r="G13" s="7">
        <v>1E-3</v>
      </c>
      <c r="H13" s="7">
        <v>0.02</v>
      </c>
      <c r="I13" s="10">
        <f t="shared" si="1"/>
        <v>1.0500000000000001E-2</v>
      </c>
      <c r="K13" s="6" t="s">
        <v>44</v>
      </c>
      <c r="L13" s="3">
        <f>SUM(G59)</f>
        <v>131.44865954121266</v>
      </c>
      <c r="M13" s="15"/>
      <c r="N13" s="37"/>
      <c r="O13" s="37"/>
    </row>
    <row r="14" spans="1:15" x14ac:dyDescent="0.25">
      <c r="F14" s="6" t="s">
        <v>44</v>
      </c>
      <c r="G14" s="7">
        <v>5.0000000000000001E-3</v>
      </c>
      <c r="H14" s="7">
        <v>0.20499999999999999</v>
      </c>
      <c r="I14" s="10">
        <f t="shared" si="1"/>
        <v>0.105</v>
      </c>
      <c r="K14" s="6" t="s">
        <v>45</v>
      </c>
      <c r="L14" s="3">
        <f>SUM(G44,G60)</f>
        <v>0.27065494489141495</v>
      </c>
      <c r="M14" s="15"/>
      <c r="N14" s="37"/>
      <c r="O14" s="37"/>
    </row>
    <row r="15" spans="1:15" ht="18.75" x14ac:dyDescent="0.25">
      <c r="A15" s="323" t="s">
        <v>1</v>
      </c>
      <c r="B15" s="323"/>
      <c r="C15" s="323"/>
      <c r="D15" s="323"/>
      <c r="F15" s="6" t="s">
        <v>45</v>
      </c>
      <c r="G15" s="7">
        <v>1.0000000000000001E-5</v>
      </c>
      <c r="H15" s="7">
        <v>0.01</v>
      </c>
      <c r="I15" s="10">
        <f t="shared" si="1"/>
        <v>5.0049999999999999E-3</v>
      </c>
      <c r="K15" s="6" t="s">
        <v>11</v>
      </c>
      <c r="L15" s="3">
        <f>SUM(B31,B45,B72,G33,G46,G56)</f>
        <v>434.85802451502821</v>
      </c>
      <c r="M15" s="15"/>
      <c r="N15" s="37"/>
      <c r="O15" s="37"/>
    </row>
    <row r="16" spans="1:15" x14ac:dyDescent="0.25">
      <c r="A16" s="11" t="s">
        <v>35</v>
      </c>
      <c r="B16" s="322" t="s">
        <v>58</v>
      </c>
      <c r="C16" s="322"/>
      <c r="D16" s="322"/>
      <c r="F16" s="6" t="s">
        <v>11</v>
      </c>
      <c r="G16" s="7">
        <v>2.5000000000000001E-3</v>
      </c>
      <c r="H16" s="7">
        <v>0.05</v>
      </c>
      <c r="I16" s="10">
        <f t="shared" si="1"/>
        <v>2.6250000000000002E-2</v>
      </c>
      <c r="K16" s="6" t="s">
        <v>46</v>
      </c>
      <c r="L16" s="3">
        <f>SUM(B23,B34,G34,B46,B57,G64,B73)</f>
        <v>2.8073985844310152</v>
      </c>
      <c r="M16" s="15"/>
      <c r="N16" s="37"/>
      <c r="O16" s="37"/>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20.079321468934751</v>
      </c>
      <c r="M17" s="15"/>
      <c r="N17" s="37"/>
      <c r="O17" s="37"/>
    </row>
    <row r="18" spans="1:15" x14ac:dyDescent="0.25">
      <c r="A18" s="12" t="s">
        <v>47</v>
      </c>
      <c r="B18" s="9">
        <f>$C$5-SUM(B19:B23)</f>
        <v>37256.939206270712</v>
      </c>
      <c r="C18" s="13">
        <f>$C$5-SUM(C19:C23)</f>
        <v>25853.787816114251</v>
      </c>
      <c r="D18" s="13">
        <f>(B18+C18)/2</f>
        <v>31555.363511192481</v>
      </c>
      <c r="F18" s="6" t="s">
        <v>48</v>
      </c>
      <c r="G18" s="7">
        <v>1.4999999999999999E-4</v>
      </c>
      <c r="H18" s="7">
        <v>2.0000000000000001E-4</v>
      </c>
      <c r="I18" s="10">
        <f t="shared" si="1"/>
        <v>1.75E-4</v>
      </c>
      <c r="K18" s="6" t="s">
        <v>50</v>
      </c>
      <c r="L18" s="3">
        <f>SUM(G62)</f>
        <v>2.6289731908242535</v>
      </c>
      <c r="M18" s="15"/>
      <c r="N18" s="37"/>
      <c r="O18" s="37"/>
    </row>
    <row r="19" spans="1:15" x14ac:dyDescent="0.25">
      <c r="A19" s="6" t="s">
        <v>49</v>
      </c>
      <c r="B19" s="7">
        <f>$C$5*G8</f>
        <v>188.76889468541361</v>
      </c>
      <c r="C19" s="7">
        <f>$C$5*H8</f>
        <v>1132.6133681124816</v>
      </c>
      <c r="D19" s="13">
        <f t="shared" ref="D19:D73" si="2">(B19+C19)/2</f>
        <v>660.69113139894762</v>
      </c>
      <c r="F19" s="6" t="s">
        <v>50</v>
      </c>
      <c r="G19" s="7">
        <v>1E-4</v>
      </c>
      <c r="H19" s="7">
        <v>0.1</v>
      </c>
      <c r="I19" s="10">
        <f t="shared" si="1"/>
        <v>5.0050000000000004E-2</v>
      </c>
      <c r="K19" s="6" t="s">
        <v>14</v>
      </c>
      <c r="L19" s="3">
        <f>SUM(G42,G65)</f>
        <v>0.27065494489141495</v>
      </c>
      <c r="M19" s="15"/>
      <c r="N19" s="37"/>
      <c r="O19" s="37"/>
    </row>
    <row r="20" spans="1:15" x14ac:dyDescent="0.25">
      <c r="A20" s="6" t="s">
        <v>10</v>
      </c>
      <c r="B20" s="7">
        <f>$C$5*G7</f>
        <v>264.27645255957907</v>
      </c>
      <c r="C20" s="7">
        <f>$C$5*H7</f>
        <v>9438.4447342706808</v>
      </c>
      <c r="D20" s="13">
        <f t="shared" si="2"/>
        <v>4851.3605934151301</v>
      </c>
      <c r="F20" s="6" t="s">
        <v>14</v>
      </c>
      <c r="G20" s="7">
        <v>1.0000000000000001E-5</v>
      </c>
      <c r="H20" s="7">
        <v>0.5</v>
      </c>
      <c r="I20" s="10">
        <f t="shared" si="1"/>
        <v>0.25000499999999998</v>
      </c>
      <c r="K20" s="6" t="s">
        <v>15</v>
      </c>
      <c r="L20" s="3">
        <f>SUM(G66,G43)</f>
        <v>4059.8241733712239</v>
      </c>
      <c r="M20" s="15"/>
      <c r="N20" s="37"/>
      <c r="O20" s="37"/>
    </row>
    <row r="21" spans="1:15" x14ac:dyDescent="0.25">
      <c r="A21" s="6" t="s">
        <v>51</v>
      </c>
      <c r="B21" s="7">
        <f>$C$5*G12</f>
        <v>37.753778937082721</v>
      </c>
      <c r="C21" s="7">
        <f>$C$5*H12</f>
        <v>377.53778937082723</v>
      </c>
      <c r="D21" s="13">
        <f t="shared" si="2"/>
        <v>207.64578415395496</v>
      </c>
      <c r="F21" s="6" t="s">
        <v>15</v>
      </c>
      <c r="G21" s="7">
        <v>0.15</v>
      </c>
      <c r="H21" s="7">
        <v>0.3</v>
      </c>
      <c r="I21" s="10">
        <f t="shared" si="1"/>
        <v>0.22499999999999998</v>
      </c>
      <c r="M21" s="15"/>
      <c r="N21" s="37"/>
      <c r="O21" s="37"/>
    </row>
    <row r="22" spans="1:15" x14ac:dyDescent="0.25">
      <c r="A22" s="6" t="s">
        <v>48</v>
      </c>
      <c r="B22" s="7">
        <f>$C$5*G18</f>
        <v>5.6630668405624078</v>
      </c>
      <c r="C22" s="7">
        <f>$C$5*H18</f>
        <v>7.550755787416545</v>
      </c>
      <c r="D22" s="13">
        <f t="shared" si="2"/>
        <v>6.6069113139894764</v>
      </c>
      <c r="L22" s="19"/>
      <c r="M22" s="15" t="s">
        <v>226</v>
      </c>
      <c r="N22" s="37"/>
      <c r="O22" s="37"/>
    </row>
    <row r="23" spans="1:15" x14ac:dyDescent="0.25">
      <c r="A23" s="6" t="s">
        <v>46</v>
      </c>
      <c r="B23" s="7">
        <f>$C$5*G17</f>
        <v>0.37753778937082727</v>
      </c>
      <c r="C23" s="7">
        <f>$C$5*H17</f>
        <v>943.84447342706812</v>
      </c>
      <c r="D23" s="13">
        <f t="shared" si="2"/>
        <v>472.1110056082195</v>
      </c>
      <c r="K23" s="2" t="s">
        <v>225</v>
      </c>
      <c r="L23" s="19"/>
      <c r="M23" s="2" t="s">
        <v>213</v>
      </c>
      <c r="N23" s="2" t="s">
        <v>214</v>
      </c>
      <c r="O23" s="2" t="s">
        <v>215</v>
      </c>
    </row>
    <row r="24" spans="1:15" ht="18.75" x14ac:dyDescent="0.25">
      <c r="D24" s="22"/>
      <c r="F24" s="323" t="s">
        <v>4</v>
      </c>
      <c r="G24" s="323"/>
      <c r="H24" s="323"/>
      <c r="I24" s="323"/>
      <c r="K24" s="3" t="s">
        <v>27</v>
      </c>
      <c r="L24" s="19">
        <f>C5</f>
        <v>37753.778937082723</v>
      </c>
      <c r="M24" s="99">
        <v>1.24</v>
      </c>
      <c r="N24" s="3">
        <f t="shared" ref="N24:N31" si="3">L24*M24</f>
        <v>46814.685881982579</v>
      </c>
      <c r="O24" s="3">
        <f t="shared" ref="O24:O31" si="4">N24*1.10231</f>
        <v>51604.296394568213</v>
      </c>
    </row>
    <row r="25" spans="1:15" ht="18.75" x14ac:dyDescent="0.25">
      <c r="A25" s="323" t="s">
        <v>2</v>
      </c>
      <c r="B25" s="323"/>
      <c r="C25" s="323"/>
      <c r="D25" s="323"/>
      <c r="F25" s="11" t="s">
        <v>35</v>
      </c>
      <c r="G25" s="322" t="s">
        <v>60</v>
      </c>
      <c r="H25" s="322"/>
      <c r="I25" s="322"/>
      <c r="K25" s="3" t="s">
        <v>28</v>
      </c>
      <c r="L25" s="19">
        <f t="shared" ref="L25:L31" si="5">C6</f>
        <v>49476.413492889231</v>
      </c>
      <c r="M25" s="99">
        <v>1.27</v>
      </c>
      <c r="N25" s="3">
        <f t="shared" si="3"/>
        <v>62835.045135969325</v>
      </c>
      <c r="O25" s="3">
        <f t="shared" si="4"/>
        <v>69263.698603830344</v>
      </c>
    </row>
    <row r="26" spans="1:15" x14ac:dyDescent="0.25">
      <c r="A26" s="11" t="s">
        <v>35</v>
      </c>
      <c r="B26" s="322" t="s">
        <v>59</v>
      </c>
      <c r="C26" s="322"/>
      <c r="D26" s="322"/>
      <c r="F26" s="8"/>
      <c r="G26" s="9" t="s">
        <v>37</v>
      </c>
      <c r="H26" s="9" t="s">
        <v>38</v>
      </c>
      <c r="I26" s="9" t="s">
        <v>66</v>
      </c>
      <c r="K26" s="3" t="s">
        <v>29</v>
      </c>
      <c r="L26" s="19">
        <f t="shared" si="5"/>
        <v>7240.4507550569615</v>
      </c>
      <c r="M26" s="99">
        <v>0.67</v>
      </c>
      <c r="N26" s="3">
        <f t="shared" si="3"/>
        <v>4851.1020058881641</v>
      </c>
      <c r="O26" s="3">
        <f t="shared" si="4"/>
        <v>5347.4182521105813</v>
      </c>
    </row>
    <row r="27" spans="1:15" x14ac:dyDescent="0.25">
      <c r="A27" s="8"/>
      <c r="B27" s="9" t="s">
        <v>37</v>
      </c>
      <c r="C27" s="9" t="s">
        <v>38</v>
      </c>
      <c r="D27" s="13" t="s">
        <v>66</v>
      </c>
      <c r="F27" s="12" t="s">
        <v>47</v>
      </c>
      <c r="G27" s="9">
        <f>$C$8-SUM(G28:G34)</f>
        <v>69045.522808034133</v>
      </c>
      <c r="H27" s="9">
        <f>$C$8-SUM(H28:H34)</f>
        <v>39323.405225768292</v>
      </c>
      <c r="I27" s="7">
        <f>(G27+H27)/2</f>
        <v>54184.464016901213</v>
      </c>
      <c r="K27" s="3" t="s">
        <v>122</v>
      </c>
      <c r="L27" s="19">
        <f t="shared" si="5"/>
        <v>70852.982388771692</v>
      </c>
      <c r="M27" s="99">
        <v>1.27</v>
      </c>
      <c r="N27" s="3">
        <f t="shared" si="3"/>
        <v>89983.287633740052</v>
      </c>
      <c r="O27" s="3">
        <f t="shared" si="4"/>
        <v>99189.477791547994</v>
      </c>
    </row>
    <row r="28" spans="1:15" x14ac:dyDescent="0.25">
      <c r="A28" s="12" t="s">
        <v>47</v>
      </c>
      <c r="B28" s="9">
        <f>$C$6-SUM(B29:B34)</f>
        <v>48164.793771192737</v>
      </c>
      <c r="C28" s="13">
        <f>$C$5-SUM(C29:C34)</f>
        <v>6336.2563690980605</v>
      </c>
      <c r="D28" s="13">
        <f t="shared" si="2"/>
        <v>27250.525070145399</v>
      </c>
      <c r="F28" s="12" t="s">
        <v>40</v>
      </c>
      <c r="G28" s="7">
        <f>$C$8*G9</f>
        <v>354.26491194385846</v>
      </c>
      <c r="H28" s="7">
        <f>$C$8*H9</f>
        <v>2125.5894716631506</v>
      </c>
      <c r="I28" s="7">
        <f t="shared" ref="I28:I69" si="6">(G28+H28)/2</f>
        <v>1239.9271918035045</v>
      </c>
      <c r="K28" s="3" t="s">
        <v>31</v>
      </c>
      <c r="L28" s="19">
        <f t="shared" si="5"/>
        <v>775.7625808989601</v>
      </c>
      <c r="M28" s="99">
        <v>1.25</v>
      </c>
      <c r="N28" s="3">
        <f t="shared" si="3"/>
        <v>969.70322612370012</v>
      </c>
      <c r="O28" s="3">
        <f t="shared" si="4"/>
        <v>1068.9135631884158</v>
      </c>
    </row>
    <row r="29" spans="1:15" x14ac:dyDescent="0.25">
      <c r="A29" s="6" t="s">
        <v>40</v>
      </c>
      <c r="B29" s="7">
        <f>$C$6*G9</f>
        <v>247.38206746444615</v>
      </c>
      <c r="C29" s="7">
        <f>$C$6*H9</f>
        <v>1484.2924047866768</v>
      </c>
      <c r="D29" s="13">
        <f t="shared" si="2"/>
        <v>865.8372361255615</v>
      </c>
      <c r="F29" s="6" t="s">
        <v>52</v>
      </c>
      <c r="G29" s="7">
        <f>$C$8*G10</f>
        <v>70.852982388771693</v>
      </c>
      <c r="H29" s="7">
        <f>$C$8*H10</f>
        <v>2125.5894716631506</v>
      </c>
      <c r="I29" s="7">
        <f t="shared" si="6"/>
        <v>1098.2212270259611</v>
      </c>
      <c r="K29" s="3" t="s">
        <v>32</v>
      </c>
      <c r="L29" s="19">
        <f t="shared" si="5"/>
        <v>69818.632280906415</v>
      </c>
      <c r="M29" s="99">
        <v>1.27</v>
      </c>
      <c r="N29" s="3">
        <f t="shared" si="3"/>
        <v>88669.662996751154</v>
      </c>
      <c r="O29" s="3">
        <f t="shared" si="4"/>
        <v>97741.456217948755</v>
      </c>
    </row>
    <row r="30" spans="1:15" x14ac:dyDescent="0.25">
      <c r="A30" s="6" t="s">
        <v>49</v>
      </c>
      <c r="B30" s="7">
        <f>$C$6*G8</f>
        <v>247.38206746444615</v>
      </c>
      <c r="C30" s="7">
        <f>$C$6*H8</f>
        <v>1484.2924047866768</v>
      </c>
      <c r="D30" s="13">
        <f t="shared" si="2"/>
        <v>865.8372361255615</v>
      </c>
      <c r="F30" s="6" t="s">
        <v>49</v>
      </c>
      <c r="G30" s="7">
        <f>$C$8*G8</f>
        <v>354.26491194385846</v>
      </c>
      <c r="H30" s="7">
        <f>$C$8*H8</f>
        <v>2125.5894716631506</v>
      </c>
      <c r="I30" s="7">
        <f t="shared" si="6"/>
        <v>1239.9271918035045</v>
      </c>
      <c r="K30" s="3" t="s">
        <v>33</v>
      </c>
      <c r="L30" s="19">
        <f t="shared" si="5"/>
        <v>19307.868680151896</v>
      </c>
      <c r="M30" s="99">
        <v>1.64</v>
      </c>
      <c r="N30" s="3">
        <f t="shared" si="3"/>
        <v>31664.904635449107</v>
      </c>
      <c r="O30" s="3">
        <f t="shared" si="4"/>
        <v>34904.541028701904</v>
      </c>
    </row>
    <row r="31" spans="1:15" x14ac:dyDescent="0.25">
      <c r="A31" s="6" t="s">
        <v>11</v>
      </c>
      <c r="B31" s="7">
        <f>$C$6*G16</f>
        <v>123.69103373222308</v>
      </c>
      <c r="C31" s="7">
        <f>$C$6*H16</f>
        <v>2473.8206746444616</v>
      </c>
      <c r="D31" s="13">
        <f t="shared" si="2"/>
        <v>1298.7558541883423</v>
      </c>
      <c r="F31" s="6" t="s">
        <v>10</v>
      </c>
      <c r="G31" s="7">
        <f>$C$8*G7</f>
        <v>495.97087672140185</v>
      </c>
      <c r="H31" s="7">
        <f>$C$8*H7</f>
        <v>17713.245597192923</v>
      </c>
      <c r="I31" s="7">
        <f t="shared" si="6"/>
        <v>9104.6082369571632</v>
      </c>
      <c r="K31" s="3" t="s">
        <v>216</v>
      </c>
      <c r="L31" s="19">
        <f t="shared" si="5"/>
        <v>26289.731908242535</v>
      </c>
      <c r="M31" s="99">
        <v>2.33</v>
      </c>
      <c r="N31" s="3">
        <f t="shared" si="3"/>
        <v>61255.075346205107</v>
      </c>
      <c r="O31" s="3">
        <f t="shared" si="4"/>
        <v>67522.082104875342</v>
      </c>
    </row>
    <row r="32" spans="1:15" x14ac:dyDescent="0.25">
      <c r="A32" s="6" t="s">
        <v>10</v>
      </c>
      <c r="B32" s="7">
        <f>$C$6*G7</f>
        <v>346.33489445022462</v>
      </c>
      <c r="C32" s="7">
        <f>$C$6*H7</f>
        <v>12369.103373222308</v>
      </c>
      <c r="D32" s="13">
        <f t="shared" si="2"/>
        <v>6357.7191338362663</v>
      </c>
      <c r="F32" s="6" t="s">
        <v>53</v>
      </c>
      <c r="G32" s="7">
        <f>$C$8*G8</f>
        <v>354.26491194385846</v>
      </c>
      <c r="H32" s="7">
        <f>$C$8*H8</f>
        <v>2125.5894716631506</v>
      </c>
      <c r="I32" s="7">
        <f t="shared" si="6"/>
        <v>1239.9271918035045</v>
      </c>
      <c r="N32" s="2" t="s">
        <v>144</v>
      </c>
      <c r="O32" s="101">
        <f>SUM(O24:O31)</f>
        <v>426641.88395677158</v>
      </c>
    </row>
    <row r="33" spans="1:15" x14ac:dyDescent="0.25">
      <c r="A33" s="6" t="s">
        <v>53</v>
      </c>
      <c r="B33" s="7">
        <f>$C$6*G7</f>
        <v>346.33489445022462</v>
      </c>
      <c r="C33" s="7">
        <f>$C$6*H7</f>
        <v>12369.103373222308</v>
      </c>
      <c r="D33" s="13">
        <f t="shared" si="2"/>
        <v>6357.7191338362663</v>
      </c>
      <c r="F33" s="6" t="s">
        <v>11</v>
      </c>
      <c r="G33" s="7">
        <f>$C$8*G16</f>
        <v>177.13245597192923</v>
      </c>
      <c r="H33" s="7">
        <f>$C$8*H16</f>
        <v>3542.6491194385849</v>
      </c>
      <c r="I33" s="7">
        <f t="shared" si="6"/>
        <v>1859.890787705257</v>
      </c>
      <c r="K33" s="101"/>
      <c r="O33" s="100"/>
    </row>
    <row r="34" spans="1:15" x14ac:dyDescent="0.25">
      <c r="A34" s="6" t="s">
        <v>46</v>
      </c>
      <c r="B34" s="7">
        <f>$C$6*G17</f>
        <v>0.49476413492889237</v>
      </c>
      <c r="C34" s="7">
        <f>$C$6*H17</f>
        <v>1236.9103373222308</v>
      </c>
      <c r="D34" s="13">
        <f t="shared" si="2"/>
        <v>618.70255072857981</v>
      </c>
      <c r="F34" s="6" t="s">
        <v>46</v>
      </c>
      <c r="G34" s="7">
        <f>$C$8*G17</f>
        <v>0.70852982388771701</v>
      </c>
      <c r="H34" s="7">
        <f>$C$8*H17</f>
        <v>1771.3245597192924</v>
      </c>
      <c r="I34" s="7">
        <f t="shared" si="6"/>
        <v>886.01654477159013</v>
      </c>
    </row>
    <row r="35" spans="1:15" x14ac:dyDescent="0.25">
      <c r="D35" s="22"/>
    </row>
    <row r="36" spans="1:15" ht="18.75" x14ac:dyDescent="0.25">
      <c r="A36" s="323" t="s">
        <v>3</v>
      </c>
      <c r="B36" s="323"/>
      <c r="C36" s="323"/>
      <c r="D36" s="323"/>
      <c r="F36" s="323" t="s">
        <v>5</v>
      </c>
      <c r="G36" s="323"/>
      <c r="H36" s="323"/>
      <c r="I36" s="323"/>
    </row>
    <row r="37" spans="1:15" x14ac:dyDescent="0.25">
      <c r="A37" s="11" t="s">
        <v>35</v>
      </c>
      <c r="B37" s="322" t="s">
        <v>59</v>
      </c>
      <c r="C37" s="322"/>
      <c r="D37" s="322"/>
      <c r="F37" s="11" t="s">
        <v>35</v>
      </c>
      <c r="G37" s="322" t="s">
        <v>61</v>
      </c>
      <c r="H37" s="322"/>
      <c r="I37" s="322"/>
    </row>
    <row r="38" spans="1:15" x14ac:dyDescent="0.25">
      <c r="A38" s="8"/>
      <c r="B38" s="9" t="s">
        <v>37</v>
      </c>
      <c r="C38" s="9" t="s">
        <v>38</v>
      </c>
      <c r="D38" s="13" t="s">
        <v>66</v>
      </c>
      <c r="F38" s="8"/>
      <c r="G38" s="9" t="s">
        <v>37</v>
      </c>
      <c r="H38" s="9" t="s">
        <v>38</v>
      </c>
      <c r="I38" s="9" t="s">
        <v>66</v>
      </c>
    </row>
    <row r="39" spans="1:15" x14ac:dyDescent="0.25">
      <c r="A39" s="12" t="s">
        <v>47</v>
      </c>
      <c r="B39" s="9">
        <f>$C$7-SUM(B40:B46)</f>
        <v>6411.3467390953883</v>
      </c>
      <c r="C39" s="9">
        <f>$C$7-SUM(C40:C46)</f>
        <v>760.24732928098365</v>
      </c>
      <c r="D39" s="13">
        <f t="shared" si="2"/>
        <v>3585.797034188186</v>
      </c>
      <c r="F39" s="12" t="s">
        <v>47</v>
      </c>
      <c r="G39" s="9">
        <f>$C$9-SUM(G40:G46)</f>
        <v>572.10938816136513</v>
      </c>
      <c r="H39" s="14">
        <f>$C$9-SUM(H40:H46)</f>
        <v>-480.9728001573551</v>
      </c>
      <c r="I39" s="7">
        <f t="shared" si="6"/>
        <v>45.568294002005018</v>
      </c>
    </row>
    <row r="40" spans="1:15" x14ac:dyDescent="0.25">
      <c r="A40" s="12" t="s">
        <v>9</v>
      </c>
      <c r="B40" s="7">
        <f>$C$7*G6</f>
        <v>724.04507550569622</v>
      </c>
      <c r="C40" s="7">
        <f>$C$7*H6</f>
        <v>5068.3155285398725</v>
      </c>
      <c r="D40" s="13">
        <f t="shared" si="2"/>
        <v>2896.1803020227844</v>
      </c>
      <c r="F40" s="12" t="s">
        <v>9</v>
      </c>
      <c r="G40" s="7">
        <f>$C$9*G6</f>
        <v>77.576258089896015</v>
      </c>
      <c r="H40" s="7">
        <f>$C$9*H6</f>
        <v>543.03380662927202</v>
      </c>
      <c r="I40" s="7">
        <f t="shared" si="6"/>
        <v>310.305032359584</v>
      </c>
    </row>
    <row r="41" spans="1:15" x14ac:dyDescent="0.25">
      <c r="A41" s="6" t="s">
        <v>40</v>
      </c>
      <c r="B41" s="7">
        <f>$C$7*G9</f>
        <v>36.202253775284809</v>
      </c>
      <c r="C41" s="7">
        <f>$C$7*H9</f>
        <v>217.21352265170884</v>
      </c>
      <c r="D41" s="13">
        <f t="shared" si="2"/>
        <v>126.70788821349683</v>
      </c>
      <c r="F41" s="6" t="s">
        <v>53</v>
      </c>
      <c r="G41" s="7">
        <f>$C$9*G8</f>
        <v>3.8788129044948008</v>
      </c>
      <c r="H41" s="7">
        <f>$C$9*H8</f>
        <v>23.272877426968801</v>
      </c>
      <c r="I41" s="7">
        <f t="shared" si="6"/>
        <v>13.575845165731801</v>
      </c>
    </row>
    <row r="42" spans="1:15" x14ac:dyDescent="0.25">
      <c r="A42" s="6" t="s">
        <v>52</v>
      </c>
      <c r="B42" s="7">
        <f>$C$7*G10</f>
        <v>7.2404507550569619</v>
      </c>
      <c r="C42" s="7">
        <f>$C$7*H10</f>
        <v>217.21352265170884</v>
      </c>
      <c r="D42" s="13">
        <f t="shared" si="2"/>
        <v>112.22698670338291</v>
      </c>
      <c r="F42" s="6" t="s">
        <v>14</v>
      </c>
      <c r="G42" s="7">
        <f>$C$9*G20</f>
        <v>7.7576258089896016E-3</v>
      </c>
      <c r="H42" s="7">
        <f>$C$9*H20</f>
        <v>387.88129044948005</v>
      </c>
      <c r="I42" s="7">
        <f t="shared" si="6"/>
        <v>193.94452403764453</v>
      </c>
    </row>
    <row r="43" spans="1:15" x14ac:dyDescent="0.25">
      <c r="A43" s="6" t="s">
        <v>53</v>
      </c>
      <c r="B43" s="7">
        <f>$C$7*G8</f>
        <v>36.202253775284809</v>
      </c>
      <c r="C43" s="7">
        <f>$C$7*H8</f>
        <v>217.21352265170884</v>
      </c>
      <c r="D43" s="13">
        <f t="shared" si="2"/>
        <v>126.70788821349683</v>
      </c>
      <c r="F43" s="6" t="s">
        <v>54</v>
      </c>
      <c r="G43" s="7">
        <f>$C$9*G21</f>
        <v>116.36438713484401</v>
      </c>
      <c r="H43" s="7">
        <f>$C$9*H21</f>
        <v>232.72877426968802</v>
      </c>
      <c r="I43" s="7">
        <f t="shared" si="6"/>
        <v>174.546580702266</v>
      </c>
    </row>
    <row r="44" spans="1:15" x14ac:dyDescent="0.25">
      <c r="A44" s="6" t="s">
        <v>41</v>
      </c>
      <c r="B44" s="7">
        <f>$C$7*G11</f>
        <v>7.2404507550569619</v>
      </c>
      <c r="C44" s="7">
        <f>$C$7*H11</f>
        <v>217.21352265170884</v>
      </c>
      <c r="D44" s="13">
        <f t="shared" si="2"/>
        <v>112.22698670338291</v>
      </c>
      <c r="F44" s="6" t="s">
        <v>13</v>
      </c>
      <c r="G44" s="7">
        <f>$C$9*G15</f>
        <v>7.7576258089896016E-3</v>
      </c>
      <c r="H44" s="7">
        <f>$C$9*H15</f>
        <v>7.7576258089896015</v>
      </c>
      <c r="I44" s="7">
        <f t="shared" si="6"/>
        <v>3.8826917173992954</v>
      </c>
    </row>
    <row r="45" spans="1:15" x14ac:dyDescent="0.25">
      <c r="A45" s="6" t="s">
        <v>11</v>
      </c>
      <c r="B45" s="7">
        <f>$C$7*G16</f>
        <v>18.101126887642405</v>
      </c>
      <c r="C45" s="7">
        <f>$C$7*H16</f>
        <v>362.02253775284811</v>
      </c>
      <c r="D45" s="13">
        <f t="shared" si="2"/>
        <v>190.06183232024526</v>
      </c>
      <c r="F45" s="6" t="s">
        <v>40</v>
      </c>
      <c r="G45" s="7">
        <f>$C$9*G9</f>
        <v>3.8788129044948008</v>
      </c>
      <c r="H45" s="7">
        <f>$C$9*H9</f>
        <v>23.272877426968801</v>
      </c>
      <c r="I45" s="7">
        <f t="shared" si="6"/>
        <v>13.575845165731801</v>
      </c>
    </row>
    <row r="46" spans="1:15" x14ac:dyDescent="0.25">
      <c r="A46" s="6" t="s">
        <v>46</v>
      </c>
      <c r="B46" s="7">
        <f>$C$7*G17</f>
        <v>7.2404507550569625E-2</v>
      </c>
      <c r="C46" s="7">
        <f>$C$7*H17</f>
        <v>181.01126887642405</v>
      </c>
      <c r="D46" s="13">
        <f t="shared" si="2"/>
        <v>90.541836691987314</v>
      </c>
      <c r="F46" s="6" t="s">
        <v>11</v>
      </c>
      <c r="G46" s="7">
        <f>$C$9*G16</f>
        <v>1.9394064522474004</v>
      </c>
      <c r="H46" s="7">
        <f>$C$9*H16</f>
        <v>38.788129044948008</v>
      </c>
      <c r="I46" s="7">
        <f t="shared" si="6"/>
        <v>20.363767748597702</v>
      </c>
    </row>
    <row r="47" spans="1:15" x14ac:dyDescent="0.25">
      <c r="D47" s="22"/>
    </row>
    <row r="48" spans="1:15" ht="18.75" x14ac:dyDescent="0.25">
      <c r="A48" s="323" t="s">
        <v>6</v>
      </c>
      <c r="B48" s="323"/>
      <c r="C48" s="323"/>
      <c r="D48" s="323"/>
      <c r="F48" s="4" t="s">
        <v>55</v>
      </c>
    </row>
    <row r="49" spans="1:9" ht="18.75" x14ac:dyDescent="0.25">
      <c r="A49" s="11" t="s">
        <v>35</v>
      </c>
      <c r="B49" s="322" t="s">
        <v>62</v>
      </c>
      <c r="C49" s="322"/>
      <c r="D49" s="322"/>
      <c r="F49" s="323" t="s">
        <v>34</v>
      </c>
      <c r="G49" s="323"/>
      <c r="H49" s="323"/>
      <c r="I49" s="323"/>
    </row>
    <row r="50" spans="1:9" x14ac:dyDescent="0.25">
      <c r="A50" s="8"/>
      <c r="B50" s="9" t="s">
        <v>37</v>
      </c>
      <c r="C50" s="9" t="s">
        <v>38</v>
      </c>
      <c r="D50" s="13" t="s">
        <v>66</v>
      </c>
      <c r="F50" s="11" t="s">
        <v>35</v>
      </c>
      <c r="G50" s="322" t="s">
        <v>64</v>
      </c>
      <c r="H50" s="322"/>
      <c r="I50" s="322"/>
    </row>
    <row r="51" spans="1:9" x14ac:dyDescent="0.25">
      <c r="A51" s="12" t="s">
        <v>47</v>
      </c>
      <c r="B51" s="9">
        <f>$C$10-SUM(B52:B57)</f>
        <v>68550.725918685159</v>
      </c>
      <c r="C51" s="9">
        <f>$C$10-SUM(C52:C57)</f>
        <v>44320.867771919395</v>
      </c>
      <c r="D51" s="13">
        <f t="shared" si="2"/>
        <v>56435.796845302277</v>
      </c>
      <c r="F51" s="8"/>
      <c r="G51" s="9" t="s">
        <v>37</v>
      </c>
      <c r="H51" s="9" t="s">
        <v>38</v>
      </c>
      <c r="I51" s="9" t="s">
        <v>66</v>
      </c>
    </row>
    <row r="52" spans="1:9" x14ac:dyDescent="0.25">
      <c r="A52" s="6" t="s">
        <v>40</v>
      </c>
      <c r="B52" s="7">
        <f>$C$10*G9</f>
        <v>349.09316140453205</v>
      </c>
      <c r="C52" s="7">
        <f>$C$10*H9</f>
        <v>2094.5589684271922</v>
      </c>
      <c r="D52" s="13">
        <f t="shared" si="2"/>
        <v>1221.8260649158622</v>
      </c>
      <c r="F52" s="12" t="s">
        <v>47</v>
      </c>
      <c r="G52" s="9">
        <f>$C$12-SUM(G53:G69)</f>
        <v>18829.231787321471</v>
      </c>
      <c r="H52" s="14">
        <f>$C$12-SUM(H53:H69)</f>
        <v>-34707.704065261802</v>
      </c>
      <c r="I52" s="7">
        <f>(G52+H52)/2</f>
        <v>-7939.2361389701655</v>
      </c>
    </row>
    <row r="53" spans="1:9" x14ac:dyDescent="0.25">
      <c r="A53" s="6" t="s">
        <v>52</v>
      </c>
      <c r="B53" s="7">
        <f>$C$10*G10</f>
        <v>69.818632280906414</v>
      </c>
      <c r="C53" s="7">
        <f>$C$10*H10</f>
        <v>2094.5589684271922</v>
      </c>
      <c r="D53" s="13">
        <f t="shared" si="2"/>
        <v>1082.1888003540494</v>
      </c>
      <c r="F53" s="12" t="s">
        <v>9</v>
      </c>
      <c r="G53" s="7">
        <f>$C$12*G6</f>
        <v>2628.9731908242538</v>
      </c>
      <c r="H53" s="7">
        <f>$C$12*H6</f>
        <v>18402.812335769773</v>
      </c>
      <c r="I53" s="7">
        <f t="shared" si="6"/>
        <v>10515.892763297014</v>
      </c>
    </row>
    <row r="54" spans="1:9" x14ac:dyDescent="0.25">
      <c r="A54" s="6" t="s">
        <v>49</v>
      </c>
      <c r="B54" s="7">
        <f>$C$10*G8</f>
        <v>349.09316140453205</v>
      </c>
      <c r="C54" s="7">
        <f>$C$10*H8</f>
        <v>2094.5589684271922</v>
      </c>
      <c r="D54" s="13">
        <f t="shared" si="2"/>
        <v>1221.8260649158622</v>
      </c>
      <c r="F54" s="12" t="s">
        <v>40</v>
      </c>
      <c r="G54" s="7">
        <f>$C$12*G9</f>
        <v>131.44865954121266</v>
      </c>
      <c r="H54" s="7">
        <f>$C$12*H9</f>
        <v>788.69195724727604</v>
      </c>
      <c r="I54" s="7">
        <f t="shared" si="6"/>
        <v>460.07030839424436</v>
      </c>
    </row>
    <row r="55" spans="1:9" x14ac:dyDescent="0.25">
      <c r="A55" s="6" t="s">
        <v>10</v>
      </c>
      <c r="B55" s="7">
        <f>$C$10*G7</f>
        <v>488.73042596634491</v>
      </c>
      <c r="C55" s="7">
        <f>$C$10*H7</f>
        <v>17454.658070226604</v>
      </c>
      <c r="D55" s="13">
        <f t="shared" si="2"/>
        <v>8971.6942480964735</v>
      </c>
      <c r="F55" s="12" t="s">
        <v>49</v>
      </c>
      <c r="G55" s="7">
        <f>$C$12*G8</f>
        <v>131.44865954121266</v>
      </c>
      <c r="H55" s="7">
        <f>$C$12*H8</f>
        <v>788.69195724727604</v>
      </c>
      <c r="I55" s="7">
        <f t="shared" si="6"/>
        <v>460.07030839424436</v>
      </c>
    </row>
    <row r="56" spans="1:9" x14ac:dyDescent="0.25">
      <c r="A56" s="6" t="s">
        <v>48</v>
      </c>
      <c r="B56" s="7">
        <f>$C$10*G18</f>
        <v>10.472794842135961</v>
      </c>
      <c r="C56" s="7">
        <f>$C$10*H18</f>
        <v>13.963726456181284</v>
      </c>
      <c r="D56" s="13">
        <f t="shared" si="2"/>
        <v>12.218260649158623</v>
      </c>
      <c r="F56" s="12" t="s">
        <v>11</v>
      </c>
      <c r="G56" s="7">
        <f>$C$12*G16</f>
        <v>65.724329770606332</v>
      </c>
      <c r="H56" s="7">
        <f>$C$12*H16</f>
        <v>1314.4865954121269</v>
      </c>
      <c r="I56" s="7">
        <f t="shared" si="6"/>
        <v>690.10546259136663</v>
      </c>
    </row>
    <row r="57" spans="1:9" x14ac:dyDescent="0.25">
      <c r="A57" s="6" t="s">
        <v>46</v>
      </c>
      <c r="B57" s="7">
        <f>$C$10*G17</f>
        <v>0.69818632280906423</v>
      </c>
      <c r="C57" s="7">
        <f>$C$10*H17</f>
        <v>1745.4658070226606</v>
      </c>
      <c r="D57" s="13">
        <f t="shared" si="2"/>
        <v>873.08199667273482</v>
      </c>
      <c r="F57" s="6" t="s">
        <v>10</v>
      </c>
      <c r="G57" s="7">
        <f>$C$12*G7</f>
        <v>184.02812335769775</v>
      </c>
      <c r="H57" s="7">
        <f>$C$12*H7</f>
        <v>6572.4329770606337</v>
      </c>
      <c r="I57" s="7">
        <f t="shared" si="6"/>
        <v>3378.2305502091658</v>
      </c>
    </row>
    <row r="58" spans="1:9" x14ac:dyDescent="0.25">
      <c r="A58" s="35"/>
      <c r="B58" s="23"/>
      <c r="C58" s="23"/>
      <c r="D58" s="22"/>
      <c r="F58" s="6" t="s">
        <v>98</v>
      </c>
      <c r="G58" s="7">
        <f t="shared" ref="G58:H60" si="7">$C$12*G13</f>
        <v>26.289731908242537</v>
      </c>
      <c r="H58" s="7">
        <f t="shared" si="7"/>
        <v>525.79463816485065</v>
      </c>
      <c r="I58" s="7">
        <f t="shared" si="6"/>
        <v>276.04218503654658</v>
      </c>
    </row>
    <row r="59" spans="1:9" x14ac:dyDescent="0.25">
      <c r="A59" s="35"/>
      <c r="B59" s="23"/>
      <c r="C59" s="23"/>
      <c r="D59" s="22"/>
      <c r="F59" s="6" t="s">
        <v>99</v>
      </c>
      <c r="G59" s="7">
        <f t="shared" si="7"/>
        <v>131.44865954121266</v>
      </c>
      <c r="H59" s="7">
        <f t="shared" si="7"/>
        <v>5389.3950411897194</v>
      </c>
      <c r="I59" s="7">
        <f t="shared" si="6"/>
        <v>2760.4218503654661</v>
      </c>
    </row>
    <row r="60" spans="1:9" x14ac:dyDescent="0.25">
      <c r="A60" s="35"/>
      <c r="B60" s="23"/>
      <c r="C60" s="23"/>
      <c r="D60" s="22"/>
      <c r="F60" s="6" t="s">
        <v>45</v>
      </c>
      <c r="G60" s="7">
        <f t="shared" si="7"/>
        <v>0.26289731908242536</v>
      </c>
      <c r="H60" s="7">
        <f t="shared" si="7"/>
        <v>262.89731908242533</v>
      </c>
      <c r="I60" s="7">
        <f t="shared" si="6"/>
        <v>131.58010820075387</v>
      </c>
    </row>
    <row r="61" spans="1:9" x14ac:dyDescent="0.25">
      <c r="A61" s="35"/>
      <c r="B61" s="23"/>
      <c r="C61" s="23"/>
      <c r="D61" s="22"/>
      <c r="F61" s="6" t="s">
        <v>48</v>
      </c>
      <c r="G61" s="7">
        <f>$C$12*G18</f>
        <v>3.9434597862363798</v>
      </c>
      <c r="H61" s="7">
        <f>$C$12*H18</f>
        <v>5.257946381648507</v>
      </c>
      <c r="I61" s="7">
        <f t="shared" si="6"/>
        <v>4.6007030839424434</v>
      </c>
    </row>
    <row r="62" spans="1:9" x14ac:dyDescent="0.25">
      <c r="A62" s="35"/>
      <c r="B62" s="23"/>
      <c r="C62" s="23"/>
      <c r="D62" s="22"/>
      <c r="F62" s="6" t="s">
        <v>100</v>
      </c>
      <c r="G62" s="7">
        <f>$C$12*G19</f>
        <v>2.6289731908242535</v>
      </c>
      <c r="H62" s="7">
        <f>$C$12*H19</f>
        <v>2628.9731908242538</v>
      </c>
      <c r="I62" s="7">
        <f t="shared" si="6"/>
        <v>1315.801082007539</v>
      </c>
    </row>
    <row r="63" spans="1:9" x14ac:dyDescent="0.25">
      <c r="D63" s="22"/>
      <c r="F63" s="6" t="s">
        <v>53</v>
      </c>
      <c r="G63" s="7">
        <f>$C$12*G8</f>
        <v>131.44865954121266</v>
      </c>
      <c r="H63" s="7">
        <f>$C$12*H8</f>
        <v>788.69195724727604</v>
      </c>
      <c r="I63" s="7">
        <f t="shared" si="6"/>
        <v>460.07030839424436</v>
      </c>
    </row>
    <row r="64" spans="1:9" ht="18.75" x14ac:dyDescent="0.25">
      <c r="A64" s="323" t="s">
        <v>7</v>
      </c>
      <c r="B64" s="323"/>
      <c r="C64" s="323"/>
      <c r="D64" s="323"/>
      <c r="F64" s="6" t="s">
        <v>46</v>
      </c>
      <c r="G64" s="7">
        <f>$C$12*G17</f>
        <v>0.26289731908242536</v>
      </c>
      <c r="H64" s="7">
        <f>$C$12*H17</f>
        <v>657.24329770606346</v>
      </c>
      <c r="I64" s="7">
        <f t="shared" si="6"/>
        <v>328.75309751257294</v>
      </c>
    </row>
    <row r="65" spans="1:9" x14ac:dyDescent="0.25">
      <c r="A65" s="11" t="s">
        <v>35</v>
      </c>
      <c r="B65" s="322" t="s">
        <v>63</v>
      </c>
      <c r="C65" s="322"/>
      <c r="D65" s="322"/>
      <c r="F65" s="6" t="s">
        <v>14</v>
      </c>
      <c r="G65" s="7">
        <f>$C$12*G20</f>
        <v>0.26289731908242536</v>
      </c>
      <c r="H65" s="7">
        <f>$C$12*H20</f>
        <v>13144.865954121267</v>
      </c>
      <c r="I65" s="7">
        <f t="shared" si="6"/>
        <v>6572.5644257201748</v>
      </c>
    </row>
    <row r="66" spans="1:9" x14ac:dyDescent="0.25">
      <c r="A66" s="8"/>
      <c r="B66" s="9" t="s">
        <v>37</v>
      </c>
      <c r="C66" s="9" t="s">
        <v>38</v>
      </c>
      <c r="D66" s="13" t="s">
        <v>66</v>
      </c>
      <c r="F66" s="6" t="s">
        <v>56</v>
      </c>
      <c r="G66" s="7">
        <f>$C$12*G21</f>
        <v>3943.4597862363798</v>
      </c>
      <c r="H66" s="7">
        <f>$C$12*H21</f>
        <v>7886.9195724727597</v>
      </c>
      <c r="I66" s="7">
        <f t="shared" si="6"/>
        <v>5915.1896793545693</v>
      </c>
    </row>
    <row r="67" spans="1:9" x14ac:dyDescent="0.25">
      <c r="A67" s="12" t="s">
        <v>47</v>
      </c>
      <c r="B67" s="9">
        <f>$C$11-SUM(B68:B73)</f>
        <v>19027.711505602892</v>
      </c>
      <c r="C67" s="9">
        <f>$C$11-SUM(C68:C73)</f>
        <v>15928.991661125314</v>
      </c>
      <c r="D67" s="13">
        <f t="shared" si="2"/>
        <v>17478.351583364103</v>
      </c>
      <c r="F67" s="6" t="s">
        <v>41</v>
      </c>
      <c r="G67" s="7">
        <f>$C$12*G11</f>
        <v>26.289731908242537</v>
      </c>
      <c r="H67" s="7">
        <f>$C$12*H11</f>
        <v>788.69195724727604</v>
      </c>
      <c r="I67" s="7">
        <f t="shared" si="6"/>
        <v>407.49084457775928</v>
      </c>
    </row>
    <row r="68" spans="1:9" x14ac:dyDescent="0.25">
      <c r="A68" s="6" t="s">
        <v>40</v>
      </c>
      <c r="B68" s="7">
        <f>$C$11*G9</f>
        <v>96.539343400759478</v>
      </c>
      <c r="C68" s="7">
        <f>$C$11*H9</f>
        <v>579.23606040455684</v>
      </c>
      <c r="D68" s="13">
        <f t="shared" si="2"/>
        <v>337.88770190265814</v>
      </c>
      <c r="F68" s="6" t="s">
        <v>52</v>
      </c>
      <c r="G68" s="7">
        <f>$C$12*G10</f>
        <v>26.289731908242537</v>
      </c>
      <c r="H68" s="7">
        <f>$C$12*H10</f>
        <v>788.69195724727604</v>
      </c>
      <c r="I68" s="7">
        <f t="shared" si="6"/>
        <v>407.49084457775928</v>
      </c>
    </row>
    <row r="69" spans="1:9" x14ac:dyDescent="0.25">
      <c r="A69" s="6" t="s">
        <v>52</v>
      </c>
      <c r="B69" s="7">
        <f>$C$11*G10</f>
        <v>19.307868680151895</v>
      </c>
      <c r="C69" s="7">
        <f>$C$11*H10</f>
        <v>579.23606040455684</v>
      </c>
      <c r="D69" s="13">
        <f t="shared" si="2"/>
        <v>299.27196454235434</v>
      </c>
      <c r="F69" s="6" t="s">
        <v>51</v>
      </c>
      <c r="G69" s="7">
        <f>$C$12*G12</f>
        <v>26.289731908242537</v>
      </c>
      <c r="H69" s="7">
        <f>$C$12*H12</f>
        <v>262.89731908242533</v>
      </c>
      <c r="I69" s="7">
        <f t="shared" si="6"/>
        <v>144.59352549533392</v>
      </c>
    </row>
    <row r="70" spans="1:9" x14ac:dyDescent="0.25">
      <c r="A70" s="6" t="s">
        <v>49</v>
      </c>
      <c r="B70" s="7">
        <f>$C$11*G8</f>
        <v>96.539343400759478</v>
      </c>
      <c r="C70" s="7">
        <f>$C$11*H8</f>
        <v>579.23606040455684</v>
      </c>
      <c r="D70" s="13">
        <f t="shared" si="2"/>
        <v>337.88770190265814</v>
      </c>
      <c r="F70" s="4" t="s">
        <v>55</v>
      </c>
    </row>
    <row r="71" spans="1:9" x14ac:dyDescent="0.25">
      <c r="A71" s="6" t="s">
        <v>51</v>
      </c>
      <c r="B71" s="7">
        <f>$C$11*G12</f>
        <v>19.307868680151895</v>
      </c>
      <c r="C71" s="7">
        <f>$C$11*H12</f>
        <v>193.07868680151896</v>
      </c>
      <c r="D71" s="13">
        <f t="shared" si="2"/>
        <v>106.19327774083543</v>
      </c>
    </row>
    <row r="72" spans="1:9" x14ac:dyDescent="0.25">
      <c r="A72" s="6" t="s">
        <v>11</v>
      </c>
      <c r="B72" s="7">
        <f>$C$11*G16</f>
        <v>48.269671700379739</v>
      </c>
      <c r="C72" s="7">
        <f>$C$11*H16</f>
        <v>965.39343400759481</v>
      </c>
      <c r="D72" s="13">
        <f t="shared" si="2"/>
        <v>506.83155285398726</v>
      </c>
    </row>
    <row r="73" spans="1:9" x14ac:dyDescent="0.25">
      <c r="A73" s="6" t="s">
        <v>46</v>
      </c>
      <c r="B73" s="7">
        <f>$C$11*G17</f>
        <v>0.19307868680151899</v>
      </c>
      <c r="C73" s="7">
        <f>$C$11*H17</f>
        <v>482.6967170037974</v>
      </c>
      <c r="D73" s="13">
        <f t="shared" si="2"/>
        <v>241.44489784529947</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73"/>
  <sheetViews>
    <sheetView workbookViewId="0">
      <selection activeCell="M24" sqref="M24:M31"/>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26" style="3" customWidth="1"/>
    <col min="12" max="12" width="17.85546875" style="3" bestFit="1" customWidth="1"/>
    <col min="13" max="13" width="23.28515625" style="3" customWidth="1"/>
    <col min="14" max="14" width="20.5703125" style="3" bestFit="1" customWidth="1"/>
    <col min="15" max="15" width="21.7109375" style="3" bestFit="1" customWidth="1"/>
    <col min="16" max="16384" width="9.140625" style="3"/>
  </cols>
  <sheetData>
    <row r="1" spans="1:12" x14ac:dyDescent="0.25">
      <c r="A1" s="2"/>
    </row>
    <row r="2" spans="1:12" x14ac:dyDescent="0.25">
      <c r="A2" s="2" t="s">
        <v>23</v>
      </c>
      <c r="B2" s="15">
        <f>'US 2018 Facts - Sensitivity'!B3*'US 2018 Facts - Sensitivity'!B15</f>
        <v>1352628.3789760007</v>
      </c>
      <c r="C2" s="3" t="s">
        <v>24</v>
      </c>
    </row>
    <row r="3" spans="1:12" x14ac:dyDescent="0.25">
      <c r="A3" s="2"/>
    </row>
    <row r="4" spans="1:12" x14ac:dyDescent="0.25">
      <c r="A4" s="5" t="s">
        <v>25</v>
      </c>
      <c r="B4" s="5" t="s">
        <v>26</v>
      </c>
      <c r="C4" s="5" t="s">
        <v>57</v>
      </c>
      <c r="D4" s="25" t="s">
        <v>180</v>
      </c>
      <c r="F4" s="5" t="s">
        <v>35</v>
      </c>
      <c r="G4" s="324" t="s">
        <v>36</v>
      </c>
      <c r="H4" s="325"/>
      <c r="L4" s="2" t="s">
        <v>101</v>
      </c>
    </row>
    <row r="5" spans="1:12" x14ac:dyDescent="0.25">
      <c r="A5" s="6" t="s">
        <v>27</v>
      </c>
      <c r="B5" s="16">
        <v>0.13410900183710961</v>
      </c>
      <c r="C5" s="86">
        <f>$B$2*B5</f>
        <v>181399.64176101907</v>
      </c>
      <c r="D5" s="25" t="s">
        <v>181</v>
      </c>
      <c r="F5" s="8"/>
      <c r="G5" s="9" t="s">
        <v>37</v>
      </c>
      <c r="H5" s="9" t="s">
        <v>38</v>
      </c>
      <c r="I5" s="9" t="s">
        <v>66</v>
      </c>
      <c r="K5" s="6" t="s">
        <v>9</v>
      </c>
      <c r="L5" s="3">
        <f>SUM(B40,G40,G53)</f>
        <v>16483.346443124567</v>
      </c>
    </row>
    <row r="6" spans="1:12" x14ac:dyDescent="0.25">
      <c r="A6" s="6" t="s">
        <v>28</v>
      </c>
      <c r="B6" s="16">
        <v>0.17575015309246786</v>
      </c>
      <c r="C6" s="86">
        <f t="shared" ref="C6:C12" si="0">$B$2*B6</f>
        <v>237724.64468224876</v>
      </c>
      <c r="D6" s="25"/>
      <c r="F6" s="6" t="s">
        <v>9</v>
      </c>
      <c r="G6" s="7">
        <v>0.1</v>
      </c>
      <c r="H6" s="7">
        <v>0.7</v>
      </c>
      <c r="I6" s="10">
        <f>(G6+H6)/2</f>
        <v>0.39999999999999997</v>
      </c>
      <c r="K6" s="6" t="s">
        <v>10</v>
      </c>
      <c r="L6" s="3">
        <f>SUM(B20,B32,B55,G31,G57)</f>
        <v>8549.389965462824</v>
      </c>
    </row>
    <row r="7" spans="1:12" x14ac:dyDescent="0.25">
      <c r="A7" s="6" t="s">
        <v>29</v>
      </c>
      <c r="B7" s="16">
        <v>2.5719534598897736E-2</v>
      </c>
      <c r="C7" s="86">
        <f t="shared" si="0"/>
        <v>34788.972392524207</v>
      </c>
      <c r="D7" s="25"/>
      <c r="F7" s="6" t="s">
        <v>10</v>
      </c>
      <c r="G7" s="7">
        <v>7.0000000000000001E-3</v>
      </c>
      <c r="H7" s="7">
        <v>0.25</v>
      </c>
      <c r="I7" s="10">
        <f t="shared" ref="I7:I21" si="1">(G7+H7)/2</f>
        <v>0.1285</v>
      </c>
      <c r="K7" s="6" t="s">
        <v>39</v>
      </c>
      <c r="L7" s="3">
        <f>SUM(B19,B30,B33,B43,B54,B70,G30,G32,G41,G55,G63)</f>
        <v>10760.974638987578</v>
      </c>
    </row>
    <row r="8" spans="1:12" x14ac:dyDescent="0.25">
      <c r="A8" s="6" t="s">
        <v>30</v>
      </c>
      <c r="B8" s="16">
        <v>0.25168401714635641</v>
      </c>
      <c r="C8" s="86">
        <f t="shared" si="0"/>
        <v>340434.94412684406</v>
      </c>
      <c r="D8" s="25"/>
      <c r="F8" s="6" t="s">
        <v>39</v>
      </c>
      <c r="G8" s="7">
        <v>5.0000000000000001E-3</v>
      </c>
      <c r="H8" s="7">
        <v>0.03</v>
      </c>
      <c r="I8" s="10">
        <f t="shared" si="1"/>
        <v>1.7499999999999998E-2</v>
      </c>
      <c r="K8" s="6" t="s">
        <v>40</v>
      </c>
      <c r="L8" s="3">
        <f>SUM(B29,B41,B52,G54,G28,G45,B68)</f>
        <v>5856.1436860749091</v>
      </c>
    </row>
    <row r="9" spans="1:12" x14ac:dyDescent="0.25">
      <c r="A9" s="6" t="s">
        <v>31</v>
      </c>
      <c r="B9" s="16">
        <v>2.7556644213104714E-3</v>
      </c>
      <c r="C9" s="86">
        <f t="shared" si="0"/>
        <v>3727.3898991990222</v>
      </c>
      <c r="D9" s="25"/>
      <c r="F9" s="6" t="s">
        <v>40</v>
      </c>
      <c r="G9" s="7">
        <v>5.0000000000000001E-3</v>
      </c>
      <c r="H9" s="7">
        <v>0.03</v>
      </c>
      <c r="I9" s="10">
        <f t="shared" si="1"/>
        <v>1.7499999999999998E-2</v>
      </c>
      <c r="K9" s="6" t="s">
        <v>12</v>
      </c>
      <c r="L9" s="3">
        <f>SUM(B42,B53,B69,G68,G29)</f>
        <v>929.77670263353389</v>
      </c>
    </row>
    <row r="10" spans="1:12" x14ac:dyDescent="0.25">
      <c r="A10" s="6" t="s">
        <v>32</v>
      </c>
      <c r="B10" s="16">
        <v>0.24800979791794245</v>
      </c>
      <c r="C10" s="86">
        <f t="shared" si="0"/>
        <v>335465.09092791198</v>
      </c>
      <c r="D10" s="25"/>
      <c r="F10" s="6" t="s">
        <v>12</v>
      </c>
      <c r="G10" s="7">
        <v>1E-3</v>
      </c>
      <c r="H10" s="7">
        <v>0.03</v>
      </c>
      <c r="I10" s="10">
        <f t="shared" si="1"/>
        <v>1.55E-2</v>
      </c>
      <c r="K10" s="6" t="s">
        <v>41</v>
      </c>
      <c r="L10" s="3">
        <f>SUM(B44,G67)</f>
        <v>161.10607453204665</v>
      </c>
    </row>
    <row r="11" spans="1:12" x14ac:dyDescent="0.25">
      <c r="A11" s="6" t="s">
        <v>33</v>
      </c>
      <c r="B11" s="16">
        <v>6.8585425597060629E-2</v>
      </c>
      <c r="C11" s="86">
        <f t="shared" si="0"/>
        <v>92770.593046731228</v>
      </c>
      <c r="D11" s="25"/>
      <c r="F11" s="6" t="s">
        <v>41</v>
      </c>
      <c r="G11" s="7">
        <v>1E-3</v>
      </c>
      <c r="H11" s="7">
        <v>0.03</v>
      </c>
      <c r="I11" s="10">
        <f t="shared" si="1"/>
        <v>1.55E-2</v>
      </c>
      <c r="K11" s="6" t="s">
        <v>42</v>
      </c>
      <c r="L11" s="3">
        <f>SUM(B21,B71,G69)</f>
        <v>400.48733694727275</v>
      </c>
    </row>
    <row r="12" spans="1:12" x14ac:dyDescent="0.25">
      <c r="A12" s="6" t="s">
        <v>34</v>
      </c>
      <c r="B12" s="16">
        <v>9.3386405388854871E-2</v>
      </c>
      <c r="C12" s="86">
        <f t="shared" si="0"/>
        <v>126317.10213952242</v>
      </c>
      <c r="D12" s="25"/>
      <c r="F12" s="6" t="s">
        <v>42</v>
      </c>
      <c r="G12" s="7">
        <v>1E-3</v>
      </c>
      <c r="H12" s="7">
        <v>0.01</v>
      </c>
      <c r="I12" s="10">
        <f t="shared" si="1"/>
        <v>5.4999999999999997E-3</v>
      </c>
      <c r="K12" s="6" t="s">
        <v>43</v>
      </c>
      <c r="L12" s="3">
        <f>SUM(G58)</f>
        <v>126.31710213952243</v>
      </c>
    </row>
    <row r="13" spans="1:12" x14ac:dyDescent="0.25">
      <c r="B13" s="85">
        <f>SUM(B5:B12)</f>
        <v>1</v>
      </c>
      <c r="C13" s="3" t="s">
        <v>179</v>
      </c>
      <c r="F13" s="6" t="s">
        <v>43</v>
      </c>
      <c r="G13" s="7">
        <v>1E-3</v>
      </c>
      <c r="H13" s="7">
        <v>0.02</v>
      </c>
      <c r="I13" s="10">
        <f t="shared" si="1"/>
        <v>1.0500000000000001E-2</v>
      </c>
      <c r="K13" s="6" t="s">
        <v>44</v>
      </c>
      <c r="L13" s="3">
        <f>SUM(G59)</f>
        <v>631.58551069761211</v>
      </c>
    </row>
    <row r="14" spans="1:12" x14ac:dyDescent="0.25">
      <c r="C14" s="19"/>
      <c r="F14" s="6" t="s">
        <v>44</v>
      </c>
      <c r="G14" s="7">
        <v>5.0000000000000001E-3</v>
      </c>
      <c r="H14" s="7">
        <v>0.20499999999999999</v>
      </c>
      <c r="I14" s="10">
        <f t="shared" si="1"/>
        <v>0.105</v>
      </c>
      <c r="K14" s="6" t="s">
        <v>45</v>
      </c>
      <c r="L14" s="3">
        <f>SUM(G44,G60)</f>
        <v>1.3004449203872146</v>
      </c>
    </row>
    <row r="15" spans="1:12" ht="18.75" x14ac:dyDescent="0.25">
      <c r="A15" s="323" t="s">
        <v>1</v>
      </c>
      <c r="B15" s="323"/>
      <c r="C15" s="323"/>
      <c r="D15" s="323"/>
      <c r="F15" s="6" t="s">
        <v>45</v>
      </c>
      <c r="G15" s="7">
        <v>1.0000000000000001E-5</v>
      </c>
      <c r="H15" s="7">
        <v>0.01</v>
      </c>
      <c r="I15" s="10">
        <f t="shared" si="1"/>
        <v>5.0049999999999999E-3</v>
      </c>
      <c r="K15" s="6" t="s">
        <v>11</v>
      </c>
      <c r="L15" s="3">
        <f>SUM(B31,B45,B72,G33,G46,G56)</f>
        <v>2089.409115717674</v>
      </c>
    </row>
    <row r="16" spans="1:12" x14ac:dyDescent="0.25">
      <c r="A16" s="11" t="s">
        <v>35</v>
      </c>
      <c r="B16" s="322" t="s">
        <v>58</v>
      </c>
      <c r="C16" s="322"/>
      <c r="D16" s="322"/>
      <c r="F16" s="6" t="s">
        <v>11</v>
      </c>
      <c r="G16" s="7">
        <v>2.5000000000000001E-3</v>
      </c>
      <c r="H16" s="7">
        <v>0.05</v>
      </c>
      <c r="I16" s="10">
        <f t="shared" si="1"/>
        <v>2.6250000000000002E-2</v>
      </c>
      <c r="K16" s="6" t="s">
        <v>46</v>
      </c>
      <c r="L16" s="3">
        <f>SUM(B23,B34,G34,B46,B57,G64,B73)</f>
        <v>13.489009890768019</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96.477275224268013</v>
      </c>
    </row>
    <row r="18" spans="1:15" x14ac:dyDescent="0.25">
      <c r="A18" s="12" t="s">
        <v>47</v>
      </c>
      <c r="B18" s="9">
        <f>$C$5-SUM(B19:B23)</f>
        <v>179012.42247544407</v>
      </c>
      <c r="C18" s="13">
        <f>$C$5-SUM(C19:C23)</f>
        <v>124222.47467794587</v>
      </c>
      <c r="D18" s="13">
        <f>(B18+C18)/2</f>
        <v>151617.44857669497</v>
      </c>
      <c r="F18" s="6" t="s">
        <v>48</v>
      </c>
      <c r="G18" s="7">
        <v>1.4999999999999999E-4</v>
      </c>
      <c r="H18" s="7">
        <v>2.0000000000000001E-4</v>
      </c>
      <c r="I18" s="10">
        <f t="shared" si="1"/>
        <v>1.75E-4</v>
      </c>
      <c r="K18" s="6" t="s">
        <v>50</v>
      </c>
      <c r="L18" s="3">
        <f>SUM(G62)</f>
        <v>12.631710213952243</v>
      </c>
    </row>
    <row r="19" spans="1:15" x14ac:dyDescent="0.25">
      <c r="A19" s="6" t="s">
        <v>49</v>
      </c>
      <c r="B19" s="7">
        <f>$C$5*G8</f>
        <v>906.99820880509537</v>
      </c>
      <c r="C19" s="7">
        <f>$C$5*H8</f>
        <v>5441.9892528305718</v>
      </c>
      <c r="D19" s="13">
        <f t="shared" ref="D19:D73" si="2">(B19+C19)/2</f>
        <v>3174.4937308178337</v>
      </c>
      <c r="F19" s="6" t="s">
        <v>50</v>
      </c>
      <c r="G19" s="7">
        <v>1E-4</v>
      </c>
      <c r="H19" s="7">
        <v>0.1</v>
      </c>
      <c r="I19" s="10">
        <f t="shared" si="1"/>
        <v>5.0050000000000004E-2</v>
      </c>
      <c r="K19" s="6" t="s">
        <v>14</v>
      </c>
      <c r="L19" s="3">
        <f>SUM(G42,G65)</f>
        <v>1.3004449203872146</v>
      </c>
    </row>
    <row r="20" spans="1:15" x14ac:dyDescent="0.25">
      <c r="A20" s="6" t="s">
        <v>10</v>
      </c>
      <c r="B20" s="7">
        <f>$C$5*G7</f>
        <v>1269.7974923271336</v>
      </c>
      <c r="C20" s="7">
        <f>$C$5*H7</f>
        <v>45349.910440254767</v>
      </c>
      <c r="D20" s="13">
        <f t="shared" si="2"/>
        <v>23309.85396629095</v>
      </c>
      <c r="F20" s="6" t="s">
        <v>14</v>
      </c>
      <c r="G20" s="7">
        <v>1.0000000000000001E-5</v>
      </c>
      <c r="H20" s="7">
        <v>0.5</v>
      </c>
      <c r="I20" s="10">
        <f t="shared" si="1"/>
        <v>0.25000499999999998</v>
      </c>
      <c r="K20" s="6" t="s">
        <v>15</v>
      </c>
      <c r="L20" s="3">
        <f>SUM(G66,G43)</f>
        <v>19506.673805808216</v>
      </c>
    </row>
    <row r="21" spans="1:15" x14ac:dyDescent="0.25">
      <c r="A21" s="6" t="s">
        <v>51</v>
      </c>
      <c r="B21" s="7">
        <f>$C$5*G12</f>
        <v>181.39964176101907</v>
      </c>
      <c r="C21" s="7">
        <f>$C$5*H12</f>
        <v>1813.9964176101907</v>
      </c>
      <c r="D21" s="13">
        <f t="shared" si="2"/>
        <v>997.69802968560487</v>
      </c>
      <c r="F21" s="6" t="s">
        <v>15</v>
      </c>
      <c r="G21" s="7">
        <v>0.15</v>
      </c>
      <c r="H21" s="7">
        <v>0.3</v>
      </c>
      <c r="I21" s="10">
        <f t="shared" si="1"/>
        <v>0.22499999999999998</v>
      </c>
    </row>
    <row r="22" spans="1:15" x14ac:dyDescent="0.25">
      <c r="A22" s="6" t="s">
        <v>48</v>
      </c>
      <c r="B22" s="7">
        <f>$C$5*G18</f>
        <v>27.209946264152858</v>
      </c>
      <c r="C22" s="7">
        <f>$C$5*H18</f>
        <v>36.279928352203818</v>
      </c>
      <c r="D22" s="13">
        <f t="shared" si="2"/>
        <v>31.744937308178336</v>
      </c>
      <c r="L22" s="19"/>
      <c r="M22" s="15" t="s">
        <v>226</v>
      </c>
      <c r="N22" s="37"/>
      <c r="O22" s="37"/>
    </row>
    <row r="23" spans="1:15" x14ac:dyDescent="0.25">
      <c r="A23" s="6" t="s">
        <v>46</v>
      </c>
      <c r="B23" s="7">
        <f>$C$5*G17</f>
        <v>1.8139964176101908</v>
      </c>
      <c r="C23" s="7">
        <f>$C$5*H17</f>
        <v>4534.9910440254771</v>
      </c>
      <c r="D23" s="13">
        <f t="shared" si="2"/>
        <v>2268.4025202215435</v>
      </c>
      <c r="K23" s="2" t="s">
        <v>228</v>
      </c>
      <c r="L23" s="19" t="s">
        <v>229</v>
      </c>
      <c r="M23" s="2" t="s">
        <v>213</v>
      </c>
      <c r="N23" s="2" t="s">
        <v>214</v>
      </c>
      <c r="O23" s="2" t="s">
        <v>215</v>
      </c>
    </row>
    <row r="24" spans="1:15" ht="18.75" x14ac:dyDescent="0.25">
      <c r="D24" s="22"/>
      <c r="F24" s="323" t="s">
        <v>4</v>
      </c>
      <c r="G24" s="323"/>
      <c r="H24" s="323"/>
      <c r="I24" s="323"/>
      <c r="K24" s="3" t="s">
        <v>27</v>
      </c>
      <c r="L24" s="19">
        <f>C5</f>
        <v>181399.64176101907</v>
      </c>
      <c r="M24" s="99">
        <v>0.04</v>
      </c>
      <c r="N24" s="3">
        <f t="shared" ref="N24:N31" si="3">L24*M24</f>
        <v>7255.985670440763</v>
      </c>
      <c r="O24" s="3">
        <f t="shared" ref="O24:O31" si="4">N24*1.10231</f>
        <v>7998.3455643835568</v>
      </c>
    </row>
    <row r="25" spans="1:15" ht="18.75" x14ac:dyDescent="0.25">
      <c r="A25" s="323" t="s">
        <v>2</v>
      </c>
      <c r="B25" s="323"/>
      <c r="C25" s="323"/>
      <c r="D25" s="323"/>
      <c r="F25" s="11" t="s">
        <v>35</v>
      </c>
      <c r="G25" s="322" t="s">
        <v>60</v>
      </c>
      <c r="H25" s="322"/>
      <c r="I25" s="322"/>
      <c r="K25" s="3" t="s">
        <v>28</v>
      </c>
      <c r="L25" s="19">
        <f t="shared" ref="L25:L31" si="5">C6</f>
        <v>237724.64468224876</v>
      </c>
      <c r="M25" s="99">
        <v>0.04</v>
      </c>
      <c r="N25" s="3">
        <f t="shared" si="3"/>
        <v>9508.9857872899502</v>
      </c>
      <c r="O25" s="3">
        <f t="shared" si="4"/>
        <v>10481.850123187583</v>
      </c>
    </row>
    <row r="26" spans="1:15" x14ac:dyDescent="0.25">
      <c r="A26" s="11" t="s">
        <v>35</v>
      </c>
      <c r="B26" s="322" t="s">
        <v>59</v>
      </c>
      <c r="C26" s="322"/>
      <c r="D26" s="322"/>
      <c r="F26" s="8"/>
      <c r="G26" s="9" t="s">
        <v>37</v>
      </c>
      <c r="H26" s="9" t="s">
        <v>38</v>
      </c>
      <c r="I26" s="9" t="s">
        <v>66</v>
      </c>
      <c r="K26" s="3" t="s">
        <v>29</v>
      </c>
      <c r="L26" s="19">
        <f t="shared" si="5"/>
        <v>34788.972392524207</v>
      </c>
      <c r="M26" s="99">
        <v>0.04</v>
      </c>
      <c r="N26" s="3">
        <f t="shared" si="3"/>
        <v>1391.5588957009684</v>
      </c>
      <c r="O26" s="3">
        <f t="shared" si="4"/>
        <v>1533.9292863201342</v>
      </c>
    </row>
    <row r="27" spans="1:15" x14ac:dyDescent="0.25">
      <c r="A27" s="8"/>
      <c r="B27" s="9" t="s">
        <v>37</v>
      </c>
      <c r="C27" s="9" t="s">
        <v>38</v>
      </c>
      <c r="D27" s="13" t="s">
        <v>66</v>
      </c>
      <c r="F27" s="12" t="s">
        <v>47</v>
      </c>
      <c r="G27" s="9">
        <f>$C$8-SUM(G28:G34)</f>
        <v>331750.44870216824</v>
      </c>
      <c r="H27" s="9">
        <f>$C$8-SUM(H28:H34)</f>
        <v>188941.39399039844</v>
      </c>
      <c r="I27" s="7">
        <f>(G27+H27)/2</f>
        <v>260345.92134628334</v>
      </c>
      <c r="K27" s="3" t="s">
        <v>122</v>
      </c>
      <c r="L27" s="19">
        <f t="shared" si="5"/>
        <v>340434.94412684406</v>
      </c>
      <c r="M27" s="99">
        <v>0.04</v>
      </c>
      <c r="N27" s="3">
        <f t="shared" si="3"/>
        <v>13617.397765073763</v>
      </c>
      <c r="O27" s="3">
        <f t="shared" si="4"/>
        <v>15010.593730418459</v>
      </c>
    </row>
    <row r="28" spans="1:15" x14ac:dyDescent="0.25">
      <c r="A28" s="12" t="s">
        <v>47</v>
      </c>
      <c r="B28" s="9">
        <f>$C$6-SUM(B29:B34)</f>
        <v>231422.56435172234</v>
      </c>
      <c r="C28" s="13">
        <f>$C$5-SUM(C29:C34)</f>
        <v>30444.492387791106</v>
      </c>
      <c r="D28" s="13">
        <f t="shared" si="2"/>
        <v>130933.52836975672</v>
      </c>
      <c r="F28" s="12" t="s">
        <v>40</v>
      </c>
      <c r="G28" s="7">
        <f>$C$8*G9</f>
        <v>1702.1747206342204</v>
      </c>
      <c r="H28" s="7">
        <f>$C$8*H9</f>
        <v>10213.048323805322</v>
      </c>
      <c r="I28" s="7">
        <f t="shared" ref="I28:I69" si="6">(G28+H28)/2</f>
        <v>5957.6115222197714</v>
      </c>
      <c r="K28" s="3" t="s">
        <v>31</v>
      </c>
      <c r="L28" s="19">
        <f t="shared" si="5"/>
        <v>3727.3898991990222</v>
      </c>
      <c r="M28" s="99">
        <v>0.04</v>
      </c>
      <c r="N28" s="3">
        <f t="shared" si="3"/>
        <v>149.09559596796089</v>
      </c>
      <c r="O28" s="3">
        <f t="shared" si="4"/>
        <v>164.34956639144295</v>
      </c>
    </row>
    <row r="29" spans="1:15" x14ac:dyDescent="0.25">
      <c r="A29" s="6" t="s">
        <v>40</v>
      </c>
      <c r="B29" s="7">
        <f>$C$6*G9</f>
        <v>1188.6232234112438</v>
      </c>
      <c r="C29" s="7">
        <f>$C$6*H9</f>
        <v>7131.7393404674631</v>
      </c>
      <c r="D29" s="13">
        <f t="shared" si="2"/>
        <v>4160.1812819393535</v>
      </c>
      <c r="F29" s="6" t="s">
        <v>52</v>
      </c>
      <c r="G29" s="7">
        <f>$C$8*G10</f>
        <v>340.43494412684407</v>
      </c>
      <c r="H29" s="7">
        <f>$C$8*H10</f>
        <v>10213.048323805322</v>
      </c>
      <c r="I29" s="7">
        <f t="shared" si="6"/>
        <v>5276.7416339660831</v>
      </c>
      <c r="K29" s="3" t="s">
        <v>32</v>
      </c>
      <c r="L29" s="19">
        <f t="shared" si="5"/>
        <v>335465.09092791198</v>
      </c>
      <c r="M29" s="99">
        <v>0.04</v>
      </c>
      <c r="N29" s="3">
        <f t="shared" si="3"/>
        <v>13418.603637116479</v>
      </c>
      <c r="O29" s="3">
        <f t="shared" si="4"/>
        <v>14791.460975229866</v>
      </c>
    </row>
    <row r="30" spans="1:15" x14ac:dyDescent="0.25">
      <c r="A30" s="6" t="s">
        <v>49</v>
      </c>
      <c r="B30" s="7">
        <f>$C$6*G8</f>
        <v>1188.6232234112438</v>
      </c>
      <c r="C30" s="7">
        <f>$C$6*H8</f>
        <v>7131.7393404674631</v>
      </c>
      <c r="D30" s="13">
        <f t="shared" si="2"/>
        <v>4160.1812819393535</v>
      </c>
      <c r="F30" s="6" t="s">
        <v>49</v>
      </c>
      <c r="G30" s="7">
        <f>$C$8*G8</f>
        <v>1702.1747206342204</v>
      </c>
      <c r="H30" s="7">
        <f>$C$8*H8</f>
        <v>10213.048323805322</v>
      </c>
      <c r="I30" s="7">
        <f t="shared" si="6"/>
        <v>5957.6115222197714</v>
      </c>
      <c r="K30" s="3" t="s">
        <v>33</v>
      </c>
      <c r="L30" s="19">
        <f t="shared" si="5"/>
        <v>92770.593046731228</v>
      </c>
      <c r="M30" s="99">
        <v>0.04</v>
      </c>
      <c r="N30" s="3">
        <f t="shared" si="3"/>
        <v>3710.8237218692493</v>
      </c>
      <c r="O30" s="3">
        <f t="shared" si="4"/>
        <v>4090.478096853692</v>
      </c>
    </row>
    <row r="31" spans="1:15" x14ac:dyDescent="0.25">
      <c r="A31" s="6" t="s">
        <v>11</v>
      </c>
      <c r="B31" s="7">
        <f>$C$6*G16</f>
        <v>594.31161170562189</v>
      </c>
      <c r="C31" s="7">
        <f>$C$6*H16</f>
        <v>11886.232234112438</v>
      </c>
      <c r="D31" s="13">
        <f t="shared" si="2"/>
        <v>6240.2719229090299</v>
      </c>
      <c r="F31" s="6" t="s">
        <v>10</v>
      </c>
      <c r="G31" s="7">
        <f>$C$8*G7</f>
        <v>2383.0446088879085</v>
      </c>
      <c r="H31" s="7">
        <f>$C$8*H7</f>
        <v>85108.736031711014</v>
      </c>
      <c r="I31" s="7">
        <f t="shared" si="6"/>
        <v>43745.890320299462</v>
      </c>
      <c r="K31" s="3" t="s">
        <v>216</v>
      </c>
      <c r="L31" s="19">
        <f t="shared" si="5"/>
        <v>126317.10213952242</v>
      </c>
      <c r="M31" s="99">
        <v>0.04</v>
      </c>
      <c r="N31" s="3">
        <f t="shared" si="3"/>
        <v>5052.6840855808969</v>
      </c>
      <c r="O31" s="3">
        <f t="shared" si="4"/>
        <v>5569.6241943766781</v>
      </c>
    </row>
    <row r="32" spans="1:15" x14ac:dyDescent="0.25">
      <c r="A32" s="6" t="s">
        <v>10</v>
      </c>
      <c r="B32" s="7">
        <f>$C$6*G7</f>
        <v>1664.0725127757414</v>
      </c>
      <c r="C32" s="7">
        <f>$C$6*H7</f>
        <v>59431.161170562191</v>
      </c>
      <c r="D32" s="13">
        <f t="shared" si="2"/>
        <v>30547.616841668965</v>
      </c>
      <c r="F32" s="6" t="s">
        <v>53</v>
      </c>
      <c r="G32" s="7">
        <f>$C$8*G8</f>
        <v>1702.1747206342204</v>
      </c>
      <c r="H32" s="7">
        <f>$C$8*H8</f>
        <v>10213.048323805322</v>
      </c>
      <c r="I32" s="7">
        <f t="shared" si="6"/>
        <v>5957.6115222197714</v>
      </c>
      <c r="N32" s="2" t="s">
        <v>144</v>
      </c>
      <c r="O32" s="101">
        <f>SUM(O24:O31)</f>
        <v>59640.631537161418</v>
      </c>
    </row>
    <row r="33" spans="1:9" x14ac:dyDescent="0.25">
      <c r="A33" s="6" t="s">
        <v>53</v>
      </c>
      <c r="B33" s="7">
        <f>$C$6*G7</f>
        <v>1664.0725127757414</v>
      </c>
      <c r="C33" s="7">
        <f>$C$6*H7</f>
        <v>59431.161170562191</v>
      </c>
      <c r="D33" s="13">
        <f t="shared" si="2"/>
        <v>30547.616841668965</v>
      </c>
      <c r="F33" s="6" t="s">
        <v>11</v>
      </c>
      <c r="G33" s="7">
        <f>$C$8*G16</f>
        <v>851.08736031711021</v>
      </c>
      <c r="H33" s="7">
        <f>$C$8*H16</f>
        <v>17021.747206342203</v>
      </c>
      <c r="I33" s="7">
        <f t="shared" si="6"/>
        <v>8936.4172833296561</v>
      </c>
    </row>
    <row r="34" spans="1:9" x14ac:dyDescent="0.25">
      <c r="A34" s="6" t="s">
        <v>46</v>
      </c>
      <c r="B34" s="7">
        <f>$C$6*G17</f>
        <v>2.3772464468224879</v>
      </c>
      <c r="C34" s="7">
        <f>$C$6*H17</f>
        <v>5943.1161170562191</v>
      </c>
      <c r="D34" s="13">
        <f t="shared" si="2"/>
        <v>2972.746681751521</v>
      </c>
      <c r="F34" s="6" t="s">
        <v>46</v>
      </c>
      <c r="G34" s="7">
        <f>$C$8*G17</f>
        <v>3.4043494412684407</v>
      </c>
      <c r="H34" s="7">
        <f>$C$8*H17</f>
        <v>8510.8736031711014</v>
      </c>
      <c r="I34" s="7">
        <f t="shared" si="6"/>
        <v>4257.1389763061852</v>
      </c>
    </row>
    <row r="35" spans="1:9" x14ac:dyDescent="0.25">
      <c r="D35" s="22"/>
    </row>
    <row r="36" spans="1:9" ht="18.75" x14ac:dyDescent="0.25">
      <c r="A36" s="323" t="s">
        <v>3</v>
      </c>
      <c r="B36" s="323"/>
      <c r="C36" s="323"/>
      <c r="D36" s="323"/>
      <c r="F36" s="323" t="s">
        <v>5</v>
      </c>
      <c r="G36" s="323"/>
      <c r="H36" s="323"/>
      <c r="I36" s="323"/>
    </row>
    <row r="37" spans="1:9" x14ac:dyDescent="0.25">
      <c r="A37" s="11" t="s">
        <v>35</v>
      </c>
      <c r="B37" s="322" t="s">
        <v>59</v>
      </c>
      <c r="C37" s="322"/>
      <c r="D37" s="322"/>
      <c r="F37" s="11" t="s">
        <v>35</v>
      </c>
      <c r="G37" s="322" t="s">
        <v>61</v>
      </c>
      <c r="H37" s="322"/>
      <c r="I37" s="322"/>
    </row>
    <row r="38" spans="1:9" x14ac:dyDescent="0.25">
      <c r="A38" s="8"/>
      <c r="B38" s="9" t="s">
        <v>37</v>
      </c>
      <c r="C38" s="9" t="s">
        <v>38</v>
      </c>
      <c r="D38" s="13" t="s">
        <v>66</v>
      </c>
      <c r="F38" s="8"/>
      <c r="G38" s="9" t="s">
        <v>37</v>
      </c>
      <c r="H38" s="9" t="s">
        <v>38</v>
      </c>
      <c r="I38" s="9" t="s">
        <v>66</v>
      </c>
    </row>
    <row r="39" spans="1:9" x14ac:dyDescent="0.25">
      <c r="A39" s="12" t="s">
        <v>47</v>
      </c>
      <c r="B39" s="9">
        <f>$C$7-SUM(B40:B46)</f>
        <v>30805.287163856261</v>
      </c>
      <c r="C39" s="9">
        <f>$C$7-SUM(C40:C46)</f>
        <v>3652.8421012150393</v>
      </c>
      <c r="D39" s="13">
        <f t="shared" si="2"/>
        <v>17229.06463253565</v>
      </c>
      <c r="F39" s="12" t="s">
        <v>47</v>
      </c>
      <c r="G39" s="9">
        <f>$C$9-SUM(G40:G46)</f>
        <v>2748.875502861295</v>
      </c>
      <c r="H39" s="14">
        <f>$C$9-SUM(H40:H46)</f>
        <v>-2310.9817375033931</v>
      </c>
      <c r="I39" s="7">
        <f t="shared" si="6"/>
        <v>218.94688267895094</v>
      </c>
    </row>
    <row r="40" spans="1:9" x14ac:dyDescent="0.25">
      <c r="A40" s="12" t="s">
        <v>9</v>
      </c>
      <c r="B40" s="7">
        <f>$C$7*G6</f>
        <v>3478.8972392524211</v>
      </c>
      <c r="C40" s="7">
        <f>$C$7*H6</f>
        <v>24352.280674766942</v>
      </c>
      <c r="D40" s="13">
        <f t="shared" si="2"/>
        <v>13915.588957009681</v>
      </c>
      <c r="F40" s="12" t="s">
        <v>9</v>
      </c>
      <c r="G40" s="7">
        <f>$C$9*G6</f>
        <v>372.73898991990222</v>
      </c>
      <c r="H40" s="7">
        <f>$C$9*H6</f>
        <v>2609.1729294393153</v>
      </c>
      <c r="I40" s="7">
        <f t="shared" si="6"/>
        <v>1490.9559596796089</v>
      </c>
    </row>
    <row r="41" spans="1:9" x14ac:dyDescent="0.25">
      <c r="A41" s="6" t="s">
        <v>40</v>
      </c>
      <c r="B41" s="7">
        <f>$C$7*G9</f>
        <v>173.94486196262105</v>
      </c>
      <c r="C41" s="7">
        <f>$C$7*H9</f>
        <v>1043.6691717757262</v>
      </c>
      <c r="D41" s="13">
        <f t="shared" si="2"/>
        <v>608.80701686917359</v>
      </c>
      <c r="F41" s="6" t="s">
        <v>53</v>
      </c>
      <c r="G41" s="7">
        <f>$C$9*G8</f>
        <v>18.636949495995111</v>
      </c>
      <c r="H41" s="7">
        <f>$C$9*H8</f>
        <v>111.82169697597067</v>
      </c>
      <c r="I41" s="7">
        <f t="shared" si="6"/>
        <v>65.229323235982889</v>
      </c>
    </row>
    <row r="42" spans="1:9" x14ac:dyDescent="0.25">
      <c r="A42" s="6" t="s">
        <v>52</v>
      </c>
      <c r="B42" s="7">
        <f>$C$7*G10</f>
        <v>34.788972392524208</v>
      </c>
      <c r="C42" s="7">
        <f>$C$7*H10</f>
        <v>1043.6691717757262</v>
      </c>
      <c r="D42" s="13">
        <f t="shared" si="2"/>
        <v>539.22907208412516</v>
      </c>
      <c r="F42" s="6" t="s">
        <v>14</v>
      </c>
      <c r="G42" s="7">
        <f>$C$9*G20</f>
        <v>3.7273898991990226E-2</v>
      </c>
      <c r="H42" s="7">
        <f>$C$9*H20</f>
        <v>1863.6949495995111</v>
      </c>
      <c r="I42" s="7">
        <f t="shared" si="6"/>
        <v>931.86611174925156</v>
      </c>
    </row>
    <row r="43" spans="1:9" x14ac:dyDescent="0.25">
      <c r="A43" s="6" t="s">
        <v>53</v>
      </c>
      <c r="B43" s="7">
        <f>$C$7*G8</f>
        <v>173.94486196262105</v>
      </c>
      <c r="C43" s="7">
        <f>$C$7*H8</f>
        <v>1043.6691717757262</v>
      </c>
      <c r="D43" s="13">
        <f t="shared" si="2"/>
        <v>608.80701686917359</v>
      </c>
      <c r="F43" s="6" t="s">
        <v>54</v>
      </c>
      <c r="G43" s="7">
        <f>$C$9*G21</f>
        <v>559.10848487985334</v>
      </c>
      <c r="H43" s="7">
        <f>$C$9*H21</f>
        <v>1118.2169697597067</v>
      </c>
      <c r="I43" s="7">
        <f t="shared" si="6"/>
        <v>838.66272731978006</v>
      </c>
    </row>
    <row r="44" spans="1:9" x14ac:dyDescent="0.25">
      <c r="A44" s="6" t="s">
        <v>41</v>
      </c>
      <c r="B44" s="7">
        <f>$C$7*G11</f>
        <v>34.788972392524208</v>
      </c>
      <c r="C44" s="7">
        <f>$C$7*H11</f>
        <v>1043.6691717757262</v>
      </c>
      <c r="D44" s="13">
        <f t="shared" si="2"/>
        <v>539.22907208412516</v>
      </c>
      <c r="F44" s="6" t="s">
        <v>13</v>
      </c>
      <c r="G44" s="7">
        <f>$C$9*G15</f>
        <v>3.7273898991990226E-2</v>
      </c>
      <c r="H44" s="7">
        <f>$C$9*H15</f>
        <v>37.273898991990222</v>
      </c>
      <c r="I44" s="7">
        <f t="shared" si="6"/>
        <v>18.655586445491107</v>
      </c>
    </row>
    <row r="45" spans="1:9" x14ac:dyDescent="0.25">
      <c r="A45" s="6" t="s">
        <v>11</v>
      </c>
      <c r="B45" s="7">
        <f>$C$7*G16</f>
        <v>86.972430981310524</v>
      </c>
      <c r="C45" s="7">
        <f>$C$7*H16</f>
        <v>1739.4486196262105</v>
      </c>
      <c r="D45" s="13">
        <f t="shared" si="2"/>
        <v>913.21052530376051</v>
      </c>
      <c r="F45" s="6" t="s">
        <v>40</v>
      </c>
      <c r="G45" s="7">
        <f>$C$9*G9</f>
        <v>18.636949495995111</v>
      </c>
      <c r="H45" s="7">
        <f>$C$9*H9</f>
        <v>111.82169697597067</v>
      </c>
      <c r="I45" s="7">
        <f t="shared" si="6"/>
        <v>65.229323235982889</v>
      </c>
    </row>
    <row r="46" spans="1:9" x14ac:dyDescent="0.25">
      <c r="A46" s="6" t="s">
        <v>46</v>
      </c>
      <c r="B46" s="7">
        <f>$C$7*G17</f>
        <v>0.34788972392524209</v>
      </c>
      <c r="C46" s="7">
        <f>$C$7*H17</f>
        <v>869.72430981310526</v>
      </c>
      <c r="D46" s="13">
        <f t="shared" si="2"/>
        <v>435.03609976851527</v>
      </c>
      <c r="F46" s="6" t="s">
        <v>11</v>
      </c>
      <c r="G46" s="7">
        <f>$C$9*G16</f>
        <v>9.3184747479975556</v>
      </c>
      <c r="H46" s="7">
        <f>$C$9*H16</f>
        <v>186.36949495995111</v>
      </c>
      <c r="I46" s="7">
        <f t="shared" si="6"/>
        <v>97.843984853974334</v>
      </c>
    </row>
    <row r="47" spans="1:9" x14ac:dyDescent="0.25">
      <c r="D47" s="22"/>
    </row>
    <row r="48" spans="1:9" ht="18.75" x14ac:dyDescent="0.25">
      <c r="A48" s="323" t="s">
        <v>6</v>
      </c>
      <c r="B48" s="323"/>
      <c r="C48" s="323"/>
      <c r="D48" s="323"/>
      <c r="F48" s="4" t="s">
        <v>55</v>
      </c>
    </row>
    <row r="49" spans="1:9" ht="18.75" x14ac:dyDescent="0.25">
      <c r="A49" s="11" t="s">
        <v>35</v>
      </c>
      <c r="B49" s="322" t="s">
        <v>62</v>
      </c>
      <c r="C49" s="322"/>
      <c r="D49" s="322"/>
      <c r="F49" s="323" t="s">
        <v>34</v>
      </c>
      <c r="G49" s="323"/>
      <c r="H49" s="323"/>
      <c r="I49" s="323"/>
    </row>
    <row r="50" spans="1:9" x14ac:dyDescent="0.25">
      <c r="A50" s="8"/>
      <c r="B50" s="9" t="s">
        <v>37</v>
      </c>
      <c r="C50" s="9" t="s">
        <v>38</v>
      </c>
      <c r="D50" s="13" t="s">
        <v>66</v>
      </c>
      <c r="F50" s="11" t="s">
        <v>35</v>
      </c>
      <c r="G50" s="322" t="s">
        <v>64</v>
      </c>
      <c r="H50" s="322"/>
      <c r="I50" s="322"/>
    </row>
    <row r="51" spans="1:9" x14ac:dyDescent="0.25">
      <c r="A51" s="12" t="s">
        <v>47</v>
      </c>
      <c r="B51" s="9">
        <f>$C$10-SUM(B52:B57)</f>
        <v>329373.04487666109</v>
      </c>
      <c r="C51" s="9">
        <f>$C$10-SUM(C52:C57)</f>
        <v>212953.23972103855</v>
      </c>
      <c r="D51" s="13">
        <f t="shared" si="2"/>
        <v>271163.14229884982</v>
      </c>
      <c r="F51" s="8"/>
      <c r="G51" s="9" t="s">
        <v>37</v>
      </c>
      <c r="H51" s="9" t="s">
        <v>38</v>
      </c>
      <c r="I51" s="9" t="s">
        <v>66</v>
      </c>
    </row>
    <row r="52" spans="1:9" x14ac:dyDescent="0.25">
      <c r="A52" s="6" t="s">
        <v>40</v>
      </c>
      <c r="B52" s="7">
        <f>$C$10*G9</f>
        <v>1677.3254546395599</v>
      </c>
      <c r="C52" s="7">
        <f>$C$10*H9</f>
        <v>10063.952727837359</v>
      </c>
      <c r="D52" s="13">
        <f t="shared" si="2"/>
        <v>5870.6390912384595</v>
      </c>
      <c r="F52" s="12" t="s">
        <v>47</v>
      </c>
      <c r="G52" s="9">
        <f>$C$12-SUM(G53:G69)</f>
        <v>90470.834894368745</v>
      </c>
      <c r="H52" s="14">
        <f>$C$12-SUM(H53:H69)</f>
        <v>-166763.83824459749</v>
      </c>
      <c r="I52" s="7">
        <f>(G52+H52)/2</f>
        <v>-38146.50167511437</v>
      </c>
    </row>
    <row r="53" spans="1:9" x14ac:dyDescent="0.25">
      <c r="A53" s="6" t="s">
        <v>52</v>
      </c>
      <c r="B53" s="7">
        <f>$C$10*G10</f>
        <v>335.465090927912</v>
      </c>
      <c r="C53" s="7">
        <f>$C$10*H10</f>
        <v>10063.952727837359</v>
      </c>
      <c r="D53" s="13">
        <f t="shared" si="2"/>
        <v>5199.7089093826353</v>
      </c>
      <c r="F53" s="12" t="s">
        <v>9</v>
      </c>
      <c r="G53" s="7">
        <f>$C$12*G6</f>
        <v>12631.710213952243</v>
      </c>
      <c r="H53" s="7">
        <f>$C$12*H6</f>
        <v>88421.971497665698</v>
      </c>
      <c r="I53" s="7">
        <f t="shared" si="6"/>
        <v>50526.840855808972</v>
      </c>
    </row>
    <row r="54" spans="1:9" x14ac:dyDescent="0.25">
      <c r="A54" s="6" t="s">
        <v>49</v>
      </c>
      <c r="B54" s="7">
        <f>$C$10*G8</f>
        <v>1677.3254546395599</v>
      </c>
      <c r="C54" s="7">
        <f>$C$10*H8</f>
        <v>10063.952727837359</v>
      </c>
      <c r="D54" s="13">
        <f t="shared" si="2"/>
        <v>5870.6390912384595</v>
      </c>
      <c r="F54" s="12" t="s">
        <v>40</v>
      </c>
      <c r="G54" s="7">
        <f>$C$12*G9</f>
        <v>631.58551069761211</v>
      </c>
      <c r="H54" s="7">
        <f>$C$12*H9</f>
        <v>3789.5130641856726</v>
      </c>
      <c r="I54" s="7">
        <f t="shared" si="6"/>
        <v>2210.5492874416423</v>
      </c>
    </row>
    <row r="55" spans="1:9" x14ac:dyDescent="0.25">
      <c r="A55" s="6" t="s">
        <v>10</v>
      </c>
      <c r="B55" s="7">
        <f>$C$10*G7</f>
        <v>2348.2556364953839</v>
      </c>
      <c r="C55" s="7">
        <f>$C$10*H7</f>
        <v>83866.272731977995</v>
      </c>
      <c r="D55" s="13">
        <f t="shared" si="2"/>
        <v>43107.264184236687</v>
      </c>
      <c r="F55" s="12" t="s">
        <v>49</v>
      </c>
      <c r="G55" s="7">
        <f>$C$12*G8</f>
        <v>631.58551069761211</v>
      </c>
      <c r="H55" s="7">
        <f>$C$12*H8</f>
        <v>3789.5130641856726</v>
      </c>
      <c r="I55" s="7">
        <f t="shared" si="6"/>
        <v>2210.5492874416423</v>
      </c>
    </row>
    <row r="56" spans="1:9" x14ac:dyDescent="0.25">
      <c r="A56" s="6" t="s">
        <v>48</v>
      </c>
      <c r="B56" s="7">
        <f>$C$10*G18</f>
        <v>50.319763639186796</v>
      </c>
      <c r="C56" s="7">
        <f>$C$10*H18</f>
        <v>67.093018185582395</v>
      </c>
      <c r="D56" s="13">
        <f t="shared" si="2"/>
        <v>58.706390912384592</v>
      </c>
      <c r="F56" s="12" t="s">
        <v>11</v>
      </c>
      <c r="G56" s="7">
        <f>$C$12*G16</f>
        <v>315.79275534880605</v>
      </c>
      <c r="H56" s="7">
        <f>$C$12*H16</f>
        <v>6315.8551069761215</v>
      </c>
      <c r="I56" s="7">
        <f t="shared" si="6"/>
        <v>3315.8239311624639</v>
      </c>
    </row>
    <row r="57" spans="1:9" x14ac:dyDescent="0.25">
      <c r="A57" s="6" t="s">
        <v>46</v>
      </c>
      <c r="B57" s="7">
        <f>$C$10*G17</f>
        <v>3.3546509092791199</v>
      </c>
      <c r="C57" s="7">
        <f>$C$10*H17</f>
        <v>8386.6272731978006</v>
      </c>
      <c r="D57" s="13">
        <f t="shared" si="2"/>
        <v>4194.99096205354</v>
      </c>
      <c r="F57" s="6" t="s">
        <v>10</v>
      </c>
      <c r="G57" s="7">
        <f>$C$12*G7</f>
        <v>884.21971497665697</v>
      </c>
      <c r="H57" s="7">
        <f>$C$12*H7</f>
        <v>31579.275534880606</v>
      </c>
      <c r="I57" s="7">
        <f t="shared" si="6"/>
        <v>16231.747624928632</v>
      </c>
    </row>
    <row r="58" spans="1:9" x14ac:dyDescent="0.25">
      <c r="A58" s="35"/>
      <c r="B58" s="23"/>
      <c r="C58" s="23"/>
      <c r="D58" s="22"/>
      <c r="F58" s="6" t="s">
        <v>98</v>
      </c>
      <c r="G58" s="7">
        <f t="shared" ref="G58:H60" si="7">$C$12*G13</f>
        <v>126.31710213952243</v>
      </c>
      <c r="H58" s="7">
        <f t="shared" si="7"/>
        <v>2526.3420427904484</v>
      </c>
      <c r="I58" s="7">
        <f t="shared" si="6"/>
        <v>1326.3295724649854</v>
      </c>
    </row>
    <row r="59" spans="1:9" x14ac:dyDescent="0.25">
      <c r="A59" s="35"/>
      <c r="B59" s="23"/>
      <c r="C59" s="23"/>
      <c r="D59" s="22"/>
      <c r="F59" s="6" t="s">
        <v>99</v>
      </c>
      <c r="G59" s="7">
        <f t="shared" si="7"/>
        <v>631.58551069761211</v>
      </c>
      <c r="H59" s="7">
        <f t="shared" si="7"/>
        <v>25895.005938602095</v>
      </c>
      <c r="I59" s="7">
        <f t="shared" si="6"/>
        <v>13263.295724649854</v>
      </c>
    </row>
    <row r="60" spans="1:9" x14ac:dyDescent="0.25">
      <c r="A60" s="35"/>
      <c r="B60" s="23"/>
      <c r="C60" s="23"/>
      <c r="D60" s="22"/>
      <c r="F60" s="6" t="s">
        <v>45</v>
      </c>
      <c r="G60" s="7">
        <f t="shared" si="7"/>
        <v>1.2631710213952243</v>
      </c>
      <c r="H60" s="7">
        <f t="shared" si="7"/>
        <v>1263.1710213952242</v>
      </c>
      <c r="I60" s="7">
        <f t="shared" si="6"/>
        <v>632.21709620830973</v>
      </c>
    </row>
    <row r="61" spans="1:9" x14ac:dyDescent="0.25">
      <c r="A61" s="35"/>
      <c r="B61" s="23"/>
      <c r="C61" s="23"/>
      <c r="D61" s="22"/>
      <c r="F61" s="6" t="s">
        <v>48</v>
      </c>
      <c r="G61" s="7">
        <f>$C$12*G18</f>
        <v>18.947565320928362</v>
      </c>
      <c r="H61" s="7">
        <f>$C$12*H18</f>
        <v>25.263420427904485</v>
      </c>
      <c r="I61" s="7">
        <f t="shared" si="6"/>
        <v>22.105492874416424</v>
      </c>
    </row>
    <row r="62" spans="1:9" x14ac:dyDescent="0.25">
      <c r="A62" s="35"/>
      <c r="B62" s="23"/>
      <c r="C62" s="23"/>
      <c r="D62" s="22"/>
      <c r="F62" s="6" t="s">
        <v>100</v>
      </c>
      <c r="G62" s="7">
        <f>$C$12*G19</f>
        <v>12.631710213952243</v>
      </c>
      <c r="H62" s="7">
        <f>$C$12*H19</f>
        <v>12631.710213952243</v>
      </c>
      <c r="I62" s="7">
        <f t="shared" si="6"/>
        <v>6322.1709620830979</v>
      </c>
    </row>
    <row r="63" spans="1:9" x14ac:dyDescent="0.25">
      <c r="D63" s="22"/>
      <c r="F63" s="6" t="s">
        <v>53</v>
      </c>
      <c r="G63" s="7">
        <f>$C$12*G8</f>
        <v>631.58551069761211</v>
      </c>
      <c r="H63" s="7">
        <f>$C$12*H8</f>
        <v>3789.5130641856726</v>
      </c>
      <c r="I63" s="7">
        <f t="shared" si="6"/>
        <v>2210.5492874416423</v>
      </c>
    </row>
    <row r="64" spans="1:9" ht="18.75" x14ac:dyDescent="0.25">
      <c r="A64" s="323" t="s">
        <v>7</v>
      </c>
      <c r="B64" s="323"/>
      <c r="C64" s="323"/>
      <c r="D64" s="323"/>
      <c r="F64" s="6" t="s">
        <v>46</v>
      </c>
      <c r="G64" s="7">
        <f>$C$12*G17</f>
        <v>1.2631710213952243</v>
      </c>
      <c r="H64" s="7">
        <f>$C$12*H17</f>
        <v>3157.9275534880608</v>
      </c>
      <c r="I64" s="7">
        <f t="shared" si="6"/>
        <v>1579.5953622547279</v>
      </c>
    </row>
    <row r="65" spans="1:9" x14ac:dyDescent="0.25">
      <c r="A65" s="11" t="s">
        <v>35</v>
      </c>
      <c r="B65" s="322" t="s">
        <v>63</v>
      </c>
      <c r="C65" s="322"/>
      <c r="D65" s="322"/>
      <c r="F65" s="6" t="s">
        <v>14</v>
      </c>
      <c r="G65" s="7">
        <f>$C$12*G20</f>
        <v>1.2631710213952243</v>
      </c>
      <c r="H65" s="7">
        <f>$C$12*H20</f>
        <v>63158.551069761212</v>
      </c>
      <c r="I65" s="7">
        <f t="shared" si="6"/>
        <v>31579.907120391304</v>
      </c>
    </row>
    <row r="66" spans="1:9" x14ac:dyDescent="0.25">
      <c r="A66" s="8"/>
      <c r="B66" s="9" t="s">
        <v>37</v>
      </c>
      <c r="C66" s="9" t="s">
        <v>38</v>
      </c>
      <c r="D66" s="13" t="s">
        <v>66</v>
      </c>
      <c r="F66" s="6" t="s">
        <v>56</v>
      </c>
      <c r="G66" s="7">
        <f>$C$12*G21</f>
        <v>18947.565320928363</v>
      </c>
      <c r="H66" s="7">
        <f>$C$12*H21</f>
        <v>37895.130641856726</v>
      </c>
      <c r="I66" s="7">
        <f t="shared" si="6"/>
        <v>28421.347981392544</v>
      </c>
    </row>
    <row r="67" spans="1:9" x14ac:dyDescent="0.25">
      <c r="A67" s="12" t="s">
        <v>47</v>
      </c>
      <c r="B67" s="9">
        <f>$C$11-SUM(B68:B73)</f>
        <v>91424.491741623162</v>
      </c>
      <c r="C67" s="9">
        <f>$C$11-SUM(C68:C73)</f>
        <v>76535.73926355326</v>
      </c>
      <c r="D67" s="13">
        <f t="shared" si="2"/>
        <v>83980.115502588218</v>
      </c>
      <c r="F67" s="6" t="s">
        <v>41</v>
      </c>
      <c r="G67" s="7">
        <f>$C$12*G11</f>
        <v>126.31710213952243</v>
      </c>
      <c r="H67" s="7">
        <f>$C$12*H11</f>
        <v>3789.5130641856726</v>
      </c>
      <c r="I67" s="7">
        <f t="shared" si="6"/>
        <v>1957.9150831625975</v>
      </c>
    </row>
    <row r="68" spans="1:9" x14ac:dyDescent="0.25">
      <c r="A68" s="6" t="s">
        <v>40</v>
      </c>
      <c r="B68" s="7">
        <f>$C$11*G9</f>
        <v>463.85296523365616</v>
      </c>
      <c r="C68" s="7">
        <f>$C$11*H9</f>
        <v>2783.1177914019368</v>
      </c>
      <c r="D68" s="13">
        <f t="shared" si="2"/>
        <v>1623.4853783177964</v>
      </c>
      <c r="F68" s="6" t="s">
        <v>52</v>
      </c>
      <c r="G68" s="7">
        <f>$C$12*G10</f>
        <v>126.31710213952243</v>
      </c>
      <c r="H68" s="7">
        <f>$C$12*H10</f>
        <v>3789.5130641856726</v>
      </c>
      <c r="I68" s="7">
        <f t="shared" si="6"/>
        <v>1957.9150831625975</v>
      </c>
    </row>
    <row r="69" spans="1:9" x14ac:dyDescent="0.25">
      <c r="A69" s="6" t="s">
        <v>52</v>
      </c>
      <c r="B69" s="7">
        <f>$C$11*G10</f>
        <v>92.770593046731236</v>
      </c>
      <c r="C69" s="7">
        <f>$C$11*H10</f>
        <v>2783.1177914019368</v>
      </c>
      <c r="D69" s="13">
        <f t="shared" si="2"/>
        <v>1437.9441922243341</v>
      </c>
      <c r="F69" s="6" t="s">
        <v>51</v>
      </c>
      <c r="G69" s="7">
        <f>$C$12*G12</f>
        <v>126.31710213952243</v>
      </c>
      <c r="H69" s="7">
        <f>$C$12*H12</f>
        <v>1263.1710213952242</v>
      </c>
      <c r="I69" s="7">
        <f t="shared" si="6"/>
        <v>694.7440617673733</v>
      </c>
    </row>
    <row r="70" spans="1:9" x14ac:dyDescent="0.25">
      <c r="A70" s="6" t="s">
        <v>49</v>
      </c>
      <c r="B70" s="7">
        <f>$C$11*G8</f>
        <v>463.85296523365616</v>
      </c>
      <c r="C70" s="7">
        <f>$C$11*H8</f>
        <v>2783.1177914019368</v>
      </c>
      <c r="D70" s="13">
        <f t="shared" si="2"/>
        <v>1623.4853783177964</v>
      </c>
      <c r="F70" s="4" t="s">
        <v>55</v>
      </c>
    </row>
    <row r="71" spans="1:9" x14ac:dyDescent="0.25">
      <c r="A71" s="6" t="s">
        <v>51</v>
      </c>
      <c r="B71" s="7">
        <f>$C$11*G12</f>
        <v>92.770593046731236</v>
      </c>
      <c r="C71" s="7">
        <f>$C$11*H12</f>
        <v>927.70593046731233</v>
      </c>
      <c r="D71" s="13">
        <f t="shared" si="2"/>
        <v>510.2382617570218</v>
      </c>
    </row>
    <row r="72" spans="1:9" x14ac:dyDescent="0.25">
      <c r="A72" s="6" t="s">
        <v>11</v>
      </c>
      <c r="B72" s="7">
        <f>$C$11*G16</f>
        <v>231.92648261682808</v>
      </c>
      <c r="C72" s="7">
        <f>$C$11*H16</f>
        <v>4638.5296523365614</v>
      </c>
      <c r="D72" s="13">
        <f t="shared" si="2"/>
        <v>2435.2280674766948</v>
      </c>
    </row>
    <row r="73" spans="1:9" x14ac:dyDescent="0.25">
      <c r="A73" s="6" t="s">
        <v>46</v>
      </c>
      <c r="B73" s="7">
        <f>$C$11*G17</f>
        <v>0.92770593046731231</v>
      </c>
      <c r="C73" s="7">
        <f>$C$11*H17</f>
        <v>2319.2648261682807</v>
      </c>
      <c r="D73" s="13">
        <f t="shared" si="2"/>
        <v>1160.096266049374</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73"/>
  <sheetViews>
    <sheetView topLeftCell="E1" workbookViewId="0">
      <selection activeCell="N35" sqref="N35"/>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8" style="3" customWidth="1"/>
    <col min="14" max="14" width="20.28515625" style="3" customWidth="1"/>
    <col min="15" max="15" width="22.28515625" style="3" customWidth="1"/>
    <col min="16" max="16" width="25" style="3" customWidth="1"/>
    <col min="17" max="17" width="17" style="3" customWidth="1"/>
    <col min="18" max="16384" width="9.140625" style="3"/>
  </cols>
  <sheetData>
    <row r="1" spans="1:12" x14ac:dyDescent="0.25">
      <c r="A1" s="2" t="s">
        <v>286</v>
      </c>
    </row>
    <row r="2" spans="1:12" x14ac:dyDescent="0.25">
      <c r="A2" s="2" t="s">
        <v>23</v>
      </c>
      <c r="B2" s="116">
        <f>SUM(C5:C12)</f>
        <v>1629528</v>
      </c>
      <c r="C2" s="3" t="s">
        <v>24</v>
      </c>
    </row>
    <row r="3" spans="1:12" x14ac:dyDescent="0.25">
      <c r="A3" s="2"/>
    </row>
    <row r="4" spans="1:12" x14ac:dyDescent="0.25">
      <c r="A4" s="5" t="s">
        <v>25</v>
      </c>
      <c r="B4" s="5" t="s">
        <v>26</v>
      </c>
      <c r="C4" s="5" t="s">
        <v>288</v>
      </c>
      <c r="D4" s="24" t="s">
        <v>287</v>
      </c>
      <c r="F4" s="5" t="s">
        <v>35</v>
      </c>
      <c r="G4" s="324" t="s">
        <v>36</v>
      </c>
      <c r="H4" s="325"/>
      <c r="L4" s="2" t="s">
        <v>101</v>
      </c>
    </row>
    <row r="5" spans="1:12" x14ac:dyDescent="0.25">
      <c r="A5" s="6" t="s">
        <v>27</v>
      </c>
      <c r="B5" s="16">
        <f>C5/$B$2</f>
        <v>0.18829112888312854</v>
      </c>
      <c r="C5" s="128">
        <f>'US 2018 Facts - Sensitivity'!F30/3</f>
        <v>306825.66666666669</v>
      </c>
      <c r="D5" s="25" t="s">
        <v>290</v>
      </c>
      <c r="F5" s="8"/>
      <c r="G5" s="9" t="s">
        <v>37</v>
      </c>
      <c r="H5" s="9" t="s">
        <v>38</v>
      </c>
      <c r="I5" s="9" t="s">
        <v>66</v>
      </c>
      <c r="K5" s="6" t="s">
        <v>9</v>
      </c>
      <c r="L5" s="3">
        <f>SUM(B40,G40,G53)</f>
        <v>68098.000000000015</v>
      </c>
    </row>
    <row r="6" spans="1:12" x14ac:dyDescent="0.25">
      <c r="A6" s="6" t="s">
        <v>28</v>
      </c>
      <c r="B6" s="16">
        <f t="shared" ref="B6:B12" si="0">C6/$B$2</f>
        <v>0.18829112888312854</v>
      </c>
      <c r="C6" s="128">
        <f>'US 2018 Facts - Sensitivity'!F30/3</f>
        <v>306825.66666666669</v>
      </c>
      <c r="D6" s="25" t="s">
        <v>306</v>
      </c>
      <c r="F6" s="6" t="s">
        <v>9</v>
      </c>
      <c r="G6" s="7">
        <v>0.1</v>
      </c>
      <c r="H6" s="7">
        <v>0.7</v>
      </c>
      <c r="I6" s="10">
        <f>(G6+H6)/2</f>
        <v>0.39999999999999997</v>
      </c>
      <c r="K6" s="6" t="s">
        <v>10</v>
      </c>
      <c r="L6" s="3">
        <f>SUM(B20,B32,B55,G31,G57)</f>
        <v>10247.748000000001</v>
      </c>
    </row>
    <row r="7" spans="1:12" x14ac:dyDescent="0.25">
      <c r="A7" s="6" t="s">
        <v>29</v>
      </c>
      <c r="B7" s="16">
        <f>C7/$B$2</f>
        <v>8.4375966537549543E-2</v>
      </c>
      <c r="C7" s="127">
        <f>'US 2018 Facts - Sensitivity'!F31</f>
        <v>137493.00000000003</v>
      </c>
      <c r="D7" s="25"/>
      <c r="F7" s="6" t="s">
        <v>10</v>
      </c>
      <c r="G7" s="7">
        <v>7.0000000000000001E-3</v>
      </c>
      <c r="H7" s="7">
        <v>0.25</v>
      </c>
      <c r="I7" s="10">
        <f t="shared" ref="I7:I21" si="1">(G7+H7)/2</f>
        <v>0.1285</v>
      </c>
      <c r="K7" s="6" t="s">
        <v>39</v>
      </c>
      <c r="L7" s="3">
        <f>SUM(B19,B30,B33,B43,B54,B70,G30,G32,G41,G55,G63)</f>
        <v>14546.983000000004</v>
      </c>
    </row>
    <row r="8" spans="1:12" x14ac:dyDescent="0.25">
      <c r="A8" s="6" t="s">
        <v>30</v>
      </c>
      <c r="B8" s="16">
        <f t="shared" si="0"/>
        <v>0.18829112888312854</v>
      </c>
      <c r="C8" s="128">
        <f>'US 2018 Facts - Sensitivity'!F30/3</f>
        <v>306825.66666666669</v>
      </c>
      <c r="D8" s="25"/>
      <c r="F8" s="6" t="s">
        <v>39</v>
      </c>
      <c r="G8" s="7">
        <v>5.0000000000000001E-3</v>
      </c>
      <c r="H8" s="7">
        <v>0.03</v>
      </c>
      <c r="I8" s="10">
        <f t="shared" si="1"/>
        <v>1.7499999999999998E-2</v>
      </c>
      <c r="K8" s="6" t="s">
        <v>40</v>
      </c>
      <c r="L8" s="3">
        <f>SUM(B29,B41,B52,G54,G28,G45,B68)</f>
        <v>6613.5116666666672</v>
      </c>
    </row>
    <row r="9" spans="1:12" x14ac:dyDescent="0.25">
      <c r="A9" s="6" t="s">
        <v>31</v>
      </c>
      <c r="B9" s="16">
        <f t="shared" si="0"/>
        <v>0</v>
      </c>
      <c r="C9" s="128">
        <v>0</v>
      </c>
      <c r="D9" s="25"/>
      <c r="F9" s="6" t="s">
        <v>40</v>
      </c>
      <c r="G9" s="7">
        <v>5.0000000000000001E-3</v>
      </c>
      <c r="H9" s="7">
        <v>0.03</v>
      </c>
      <c r="I9" s="10">
        <f t="shared" si="1"/>
        <v>1.7499999999999998E-2</v>
      </c>
      <c r="K9" s="6" t="s">
        <v>12</v>
      </c>
      <c r="L9" s="3">
        <f>SUM(B42,B53,B69,G68,G29)</f>
        <v>1015.8766666666668</v>
      </c>
    </row>
    <row r="10" spans="1:12" x14ac:dyDescent="0.25">
      <c r="A10" s="6" t="s">
        <v>32</v>
      </c>
      <c r="B10" s="16">
        <f t="shared" si="0"/>
        <v>0</v>
      </c>
      <c r="C10" s="128">
        <v>0</v>
      </c>
      <c r="D10" s="25"/>
      <c r="F10" s="6" t="s">
        <v>12</v>
      </c>
      <c r="G10" s="7">
        <v>1E-3</v>
      </c>
      <c r="H10" s="7">
        <v>0.03</v>
      </c>
      <c r="I10" s="10">
        <f t="shared" si="1"/>
        <v>1.55E-2</v>
      </c>
      <c r="K10" s="6" t="s">
        <v>41</v>
      </c>
      <c r="L10" s="3">
        <f>SUM(B44,G67)</f>
        <v>680.98000000000013</v>
      </c>
    </row>
    <row r="11" spans="1:12" x14ac:dyDescent="0.25">
      <c r="A11" s="6" t="s">
        <v>33</v>
      </c>
      <c r="B11" s="16">
        <f t="shared" si="0"/>
        <v>1.7226460668365317E-2</v>
      </c>
      <c r="C11" s="127">
        <f>'US 2018 Facts - Sensitivity'!F32</f>
        <v>28070.999999999996</v>
      </c>
      <c r="D11" s="25"/>
      <c r="F11" s="6" t="s">
        <v>41</v>
      </c>
      <c r="G11" s="7">
        <v>1E-3</v>
      </c>
      <c r="H11" s="7">
        <v>0.03</v>
      </c>
      <c r="I11" s="10">
        <f t="shared" si="1"/>
        <v>1.55E-2</v>
      </c>
      <c r="K11" s="6" t="s">
        <v>42</v>
      </c>
      <c r="L11" s="3">
        <f>SUM(B21,B71,G69)</f>
        <v>878.38366666666673</v>
      </c>
    </row>
    <row r="12" spans="1:12" x14ac:dyDescent="0.25">
      <c r="A12" s="6" t="s">
        <v>34</v>
      </c>
      <c r="B12" s="16">
        <f t="shared" si="0"/>
        <v>0.33352418614469964</v>
      </c>
      <c r="C12" s="127">
        <f>'US 2018 Facts - Sensitivity'!F33</f>
        <v>543487.00000000012</v>
      </c>
      <c r="D12" s="25"/>
      <c r="F12" s="6" t="s">
        <v>42</v>
      </c>
      <c r="G12" s="7">
        <v>1E-3</v>
      </c>
      <c r="H12" s="7">
        <v>0.01</v>
      </c>
      <c r="I12" s="10">
        <f t="shared" si="1"/>
        <v>5.4999999999999997E-3</v>
      </c>
      <c r="K12" s="6" t="s">
        <v>43</v>
      </c>
      <c r="L12" s="3">
        <f>SUM(G58)</f>
        <v>543.48700000000008</v>
      </c>
    </row>
    <row r="13" spans="1:12" x14ac:dyDescent="0.25">
      <c r="C13" s="3" t="s">
        <v>179</v>
      </c>
      <c r="F13" s="6" t="s">
        <v>43</v>
      </c>
      <c r="G13" s="7">
        <v>1E-3</v>
      </c>
      <c r="H13" s="7">
        <v>0.02</v>
      </c>
      <c r="I13" s="10">
        <f t="shared" si="1"/>
        <v>1.0500000000000001E-2</v>
      </c>
      <c r="K13" s="6" t="s">
        <v>44</v>
      </c>
      <c r="L13" s="3">
        <f>SUM(G59)</f>
        <v>2717.4350000000009</v>
      </c>
    </row>
    <row r="14" spans="1:12" x14ac:dyDescent="0.25">
      <c r="F14" s="6" t="s">
        <v>44</v>
      </c>
      <c r="G14" s="7">
        <v>5.0000000000000001E-3</v>
      </c>
      <c r="H14" s="7">
        <v>0.20499999999999999</v>
      </c>
      <c r="I14" s="10">
        <f t="shared" si="1"/>
        <v>0.105</v>
      </c>
      <c r="K14" s="6" t="s">
        <v>45</v>
      </c>
      <c r="L14" s="3">
        <f>SUM(G44,G60)</f>
        <v>5.4348700000000019</v>
      </c>
    </row>
    <row r="15" spans="1:12" ht="18.75" x14ac:dyDescent="0.25">
      <c r="A15" s="323" t="s">
        <v>1</v>
      </c>
      <c r="B15" s="323"/>
      <c r="C15" s="323"/>
      <c r="D15" s="323"/>
      <c r="F15" s="6" t="s">
        <v>45</v>
      </c>
      <c r="G15" s="7">
        <v>1.0000000000000001E-5</v>
      </c>
      <c r="H15" s="7">
        <v>0.01</v>
      </c>
      <c r="I15" s="10">
        <f t="shared" si="1"/>
        <v>5.0049999999999999E-3</v>
      </c>
      <c r="K15" s="6" t="s">
        <v>11</v>
      </c>
      <c r="L15" s="3">
        <f>SUM(B31,B45,B72,G33,G46,G56)</f>
        <v>3306.7558333333341</v>
      </c>
    </row>
    <row r="16" spans="1:12" x14ac:dyDescent="0.25">
      <c r="A16" s="11" t="s">
        <v>35</v>
      </c>
      <c r="B16" s="322" t="s">
        <v>58</v>
      </c>
      <c r="C16" s="322"/>
      <c r="D16" s="322"/>
      <c r="F16" s="6" t="s">
        <v>11</v>
      </c>
      <c r="G16" s="7">
        <v>2.5000000000000001E-3</v>
      </c>
      <c r="H16" s="7">
        <v>0.05</v>
      </c>
      <c r="I16" s="10">
        <f t="shared" si="1"/>
        <v>2.6250000000000002E-2</v>
      </c>
      <c r="K16" s="6" t="s">
        <v>46</v>
      </c>
      <c r="L16" s="3">
        <f>SUM(B23,B34,G34,B46,B57,G64,B73)</f>
        <v>16.295280000000005</v>
      </c>
    </row>
    <row r="17" spans="1:17" x14ac:dyDescent="0.25">
      <c r="A17" s="8"/>
      <c r="B17" s="9" t="s">
        <v>37</v>
      </c>
      <c r="C17" s="9" t="s">
        <v>38</v>
      </c>
      <c r="D17" s="9" t="s">
        <v>66</v>
      </c>
      <c r="F17" s="6" t="s">
        <v>46</v>
      </c>
      <c r="G17" s="7">
        <v>1.0000000000000001E-5</v>
      </c>
      <c r="H17" s="7">
        <v>2.5000000000000001E-2</v>
      </c>
      <c r="I17" s="10">
        <f t="shared" si="1"/>
        <v>1.2505E-2</v>
      </c>
      <c r="K17" s="6" t="s">
        <v>48</v>
      </c>
      <c r="L17" s="3">
        <f>SUM(B22,B56,G61)</f>
        <v>127.54690000000001</v>
      </c>
    </row>
    <row r="18" spans="1:17" x14ac:dyDescent="0.25">
      <c r="A18" s="12" t="s">
        <v>47</v>
      </c>
      <c r="B18" s="9">
        <f>$C$5-SUM(B19:B23)</f>
        <v>302787.84089333337</v>
      </c>
      <c r="C18" s="13">
        <f>$C$5-SUM(C19:C23)</f>
        <v>210114.21653333335</v>
      </c>
      <c r="D18" s="13">
        <f>(B18+C18)/2</f>
        <v>256451.02871333336</v>
      </c>
      <c r="F18" s="6" t="s">
        <v>48</v>
      </c>
      <c r="G18" s="7">
        <v>1.4999999999999999E-4</v>
      </c>
      <c r="H18" s="7">
        <v>2.0000000000000001E-4</v>
      </c>
      <c r="I18" s="10">
        <f t="shared" si="1"/>
        <v>1.75E-4</v>
      </c>
      <c r="K18" s="6" t="s">
        <v>50</v>
      </c>
      <c r="L18" s="3">
        <f>SUM(G62)</f>
        <v>54.348700000000015</v>
      </c>
    </row>
    <row r="19" spans="1:17" x14ac:dyDescent="0.25">
      <c r="A19" s="6" t="s">
        <v>49</v>
      </c>
      <c r="B19" s="7">
        <f>$C$5*G8</f>
        <v>1534.1283333333336</v>
      </c>
      <c r="C19" s="7">
        <f>$C$5*H8</f>
        <v>9204.77</v>
      </c>
      <c r="D19" s="13">
        <f t="shared" ref="D19:D73" si="2">(B19+C19)/2</f>
        <v>5369.4491666666672</v>
      </c>
      <c r="F19" s="6" t="s">
        <v>50</v>
      </c>
      <c r="G19" s="7">
        <v>1E-4</v>
      </c>
      <c r="H19" s="7">
        <v>0.1</v>
      </c>
      <c r="I19" s="10">
        <f t="shared" si="1"/>
        <v>5.0050000000000004E-2</v>
      </c>
      <c r="K19" s="6" t="s">
        <v>14</v>
      </c>
      <c r="L19" s="3">
        <f>SUM(G42,G65)</f>
        <v>5.4348700000000019</v>
      </c>
    </row>
    <row r="20" spans="1:17" x14ac:dyDescent="0.25">
      <c r="A20" s="6" t="s">
        <v>10</v>
      </c>
      <c r="B20" s="7">
        <f>$C$5*G7</f>
        <v>2147.7796666666668</v>
      </c>
      <c r="C20" s="7">
        <f>$C$5*H7</f>
        <v>76706.416666666672</v>
      </c>
      <c r="D20" s="13">
        <f t="shared" si="2"/>
        <v>39427.09816666667</v>
      </c>
      <c r="F20" s="6" t="s">
        <v>14</v>
      </c>
      <c r="G20" s="7">
        <v>1.0000000000000001E-5</v>
      </c>
      <c r="H20" s="7">
        <v>0.5</v>
      </c>
      <c r="I20" s="10">
        <f t="shared" si="1"/>
        <v>0.25000499999999998</v>
      </c>
      <c r="K20" s="6" t="s">
        <v>15</v>
      </c>
      <c r="L20" s="3">
        <f>SUM(G66,G43)</f>
        <v>81523.050000000017</v>
      </c>
    </row>
    <row r="21" spans="1:17" x14ac:dyDescent="0.25">
      <c r="A21" s="6" t="s">
        <v>51</v>
      </c>
      <c r="B21" s="7">
        <f>$C$5*G12</f>
        <v>306.82566666666668</v>
      </c>
      <c r="C21" s="7">
        <f>$C$5*H12</f>
        <v>3068.2566666666671</v>
      </c>
      <c r="D21" s="13">
        <f t="shared" si="2"/>
        <v>1687.5411666666669</v>
      </c>
      <c r="F21" s="6" t="s">
        <v>15</v>
      </c>
      <c r="G21" s="7">
        <v>0.15</v>
      </c>
      <c r="H21" s="7">
        <v>0.3</v>
      </c>
      <c r="I21" s="10">
        <f t="shared" si="1"/>
        <v>0.22499999999999998</v>
      </c>
      <c r="M21" s="285" t="s">
        <v>485</v>
      </c>
    </row>
    <row r="22" spans="1:17" x14ac:dyDescent="0.25">
      <c r="A22" s="6" t="s">
        <v>48</v>
      </c>
      <c r="B22" s="7">
        <f>$C$5*G18</f>
        <v>46.023849999999996</v>
      </c>
      <c r="C22" s="7">
        <f>$C$5*H18</f>
        <v>61.36513333333334</v>
      </c>
      <c r="D22" s="13">
        <f t="shared" si="2"/>
        <v>53.694491666666664</v>
      </c>
      <c r="L22" s="19"/>
      <c r="M22" s="15" t="s">
        <v>480</v>
      </c>
      <c r="N22" s="37"/>
      <c r="O22" s="37"/>
    </row>
    <row r="23" spans="1:17" x14ac:dyDescent="0.25">
      <c r="A23" s="6" t="s">
        <v>46</v>
      </c>
      <c r="B23" s="7">
        <f>$C$5*G17</f>
        <v>3.0682566666666671</v>
      </c>
      <c r="C23" s="7">
        <f>$C$5*H17</f>
        <v>7670.6416666666673</v>
      </c>
      <c r="D23" s="13">
        <f t="shared" si="2"/>
        <v>3836.8549616666669</v>
      </c>
      <c r="K23" s="2" t="s">
        <v>333</v>
      </c>
      <c r="L23" s="283" t="s">
        <v>479</v>
      </c>
      <c r="M23" s="2" t="s">
        <v>483</v>
      </c>
      <c r="N23" s="2" t="s">
        <v>482</v>
      </c>
      <c r="O23" s="2" t="s">
        <v>215</v>
      </c>
      <c r="P23" s="2" t="s">
        <v>484</v>
      </c>
      <c r="Q23" s="2" t="s">
        <v>470</v>
      </c>
    </row>
    <row r="24" spans="1:17" ht="18.75" x14ac:dyDescent="0.25">
      <c r="D24" s="22"/>
      <c r="F24" s="323" t="s">
        <v>4</v>
      </c>
      <c r="G24" s="323"/>
      <c r="H24" s="323"/>
      <c r="I24" s="323"/>
      <c r="K24" s="3" t="s">
        <v>27</v>
      </c>
      <c r="L24" s="19">
        <f>C5</f>
        <v>306825.66666666669</v>
      </c>
      <c r="M24" s="99">
        <v>3.18</v>
      </c>
      <c r="N24" s="3">
        <f>L24/0.00110231 *M24</f>
        <v>885146301.85700953</v>
      </c>
      <c r="O24" s="44">
        <f>N24*0.00110231</f>
        <v>975705.62000000023</v>
      </c>
      <c r="P24" s="3">
        <v>73.900000000000006</v>
      </c>
      <c r="Q24" s="3">
        <f>L24/0.00110231 *P24</f>
        <v>20569909341.897171</v>
      </c>
    </row>
    <row r="25" spans="1:17" ht="18.75" x14ac:dyDescent="0.25">
      <c r="A25" s="323" t="s">
        <v>2</v>
      </c>
      <c r="B25" s="323"/>
      <c r="C25" s="323"/>
      <c r="D25" s="323"/>
      <c r="F25" s="11" t="s">
        <v>35</v>
      </c>
      <c r="G25" s="322" t="s">
        <v>60</v>
      </c>
      <c r="H25" s="322"/>
      <c r="I25" s="322"/>
      <c r="K25" s="3" t="s">
        <v>28</v>
      </c>
      <c r="L25" s="19">
        <f t="shared" ref="L25:L31" si="3">C6</f>
        <v>306825.66666666669</v>
      </c>
      <c r="M25" s="99">
        <v>2.09</v>
      </c>
      <c r="N25" s="3">
        <f t="shared" ref="N25:N31" si="4">L25/0.00110231 *M25</f>
        <v>581747097.7613678</v>
      </c>
      <c r="O25" s="44">
        <f t="shared" ref="O25:O31" si="5">N25*0.00110231</f>
        <v>641265.64333333331</v>
      </c>
      <c r="P25" s="3">
        <v>72.7</v>
      </c>
      <c r="Q25" s="3">
        <f t="shared" ref="Q25:Q31" si="6">L25/0.00110231 *P25</f>
        <v>20235891869.498299</v>
      </c>
    </row>
    <row r="26" spans="1:17" x14ac:dyDescent="0.25">
      <c r="A26" s="11" t="s">
        <v>35</v>
      </c>
      <c r="B26" s="322" t="s">
        <v>59</v>
      </c>
      <c r="C26" s="322"/>
      <c r="D26" s="322"/>
      <c r="F26" s="8"/>
      <c r="G26" s="9" t="s">
        <v>37</v>
      </c>
      <c r="H26" s="9" t="s">
        <v>38</v>
      </c>
      <c r="I26" s="9" t="s">
        <v>66</v>
      </c>
      <c r="K26" s="3" t="s">
        <v>29</v>
      </c>
      <c r="L26" s="19">
        <f t="shared" si="3"/>
        <v>137493.00000000003</v>
      </c>
      <c r="M26" s="99">
        <v>3.64</v>
      </c>
      <c r="N26" s="3">
        <f t="shared" si="4"/>
        <v>454023387.25041062</v>
      </c>
      <c r="O26" s="44">
        <f t="shared" si="5"/>
        <v>500474.52000000014</v>
      </c>
      <c r="P26" s="3">
        <v>50.1</v>
      </c>
      <c r="Q26" s="3">
        <f t="shared" si="6"/>
        <v>6249058159.6828489</v>
      </c>
    </row>
    <row r="27" spans="1:17" x14ac:dyDescent="0.25">
      <c r="A27" s="8"/>
      <c r="B27" s="9" t="s">
        <v>37</v>
      </c>
      <c r="C27" s="9" t="s">
        <v>38</v>
      </c>
      <c r="D27" s="13" t="s">
        <v>66</v>
      </c>
      <c r="F27" s="12" t="s">
        <v>47</v>
      </c>
      <c r="G27" s="9">
        <f>$C$8-SUM(G28:G34)</f>
        <v>298998.54391000001</v>
      </c>
      <c r="H27" s="9">
        <f>$C$8-SUM(H28:H34)</f>
        <v>170288.245</v>
      </c>
      <c r="I27" s="7">
        <f>(G27+H27)/2</f>
        <v>234643.394455</v>
      </c>
      <c r="K27" s="3" t="s">
        <v>122</v>
      </c>
      <c r="L27" s="19">
        <f t="shared" si="3"/>
        <v>306825.66666666669</v>
      </c>
      <c r="M27" s="99">
        <v>2.27</v>
      </c>
      <c r="N27" s="3">
        <f t="shared" si="4"/>
        <v>631849718.62119853</v>
      </c>
      <c r="O27" s="44">
        <f t="shared" si="5"/>
        <v>696494.26333333331</v>
      </c>
      <c r="P27" s="3">
        <v>71.900000000000006</v>
      </c>
      <c r="Q27" s="3">
        <f t="shared" si="6"/>
        <v>20013213554.56572</v>
      </c>
    </row>
    <row r="28" spans="1:17" x14ac:dyDescent="0.25">
      <c r="A28" s="12" t="s">
        <v>47</v>
      </c>
      <c r="B28" s="9">
        <f>$C$6-SUM(B29:B34)</f>
        <v>298691.71824333334</v>
      </c>
      <c r="C28" s="13">
        <f>$C$5-SUM(C29:C34)</f>
        <v>111991.36833333335</v>
      </c>
      <c r="D28" s="13">
        <f t="shared" si="2"/>
        <v>205341.54328833334</v>
      </c>
      <c r="F28" s="12" t="s">
        <v>40</v>
      </c>
      <c r="G28" s="7">
        <f>$C$8*G9</f>
        <v>1534.1283333333336</v>
      </c>
      <c r="H28" s="7">
        <f>$C$8*H9</f>
        <v>9204.77</v>
      </c>
      <c r="I28" s="7">
        <f t="shared" ref="I28:I69" si="7">(G28+H28)/2</f>
        <v>5369.4491666666672</v>
      </c>
      <c r="K28" s="3" t="s">
        <v>31</v>
      </c>
      <c r="L28" s="19">
        <f t="shared" si="3"/>
        <v>0</v>
      </c>
      <c r="M28" s="99">
        <v>0</v>
      </c>
      <c r="N28" s="3">
        <f t="shared" si="4"/>
        <v>0</v>
      </c>
      <c r="O28" s="44">
        <f t="shared" si="5"/>
        <v>0</v>
      </c>
      <c r="P28" s="3">
        <v>0</v>
      </c>
      <c r="Q28" s="3">
        <f t="shared" si="6"/>
        <v>0</v>
      </c>
    </row>
    <row r="29" spans="1:17" x14ac:dyDescent="0.25">
      <c r="A29" s="6" t="s">
        <v>40</v>
      </c>
      <c r="B29" s="7">
        <f>$C$6*G9</f>
        <v>1534.1283333333336</v>
      </c>
      <c r="C29" s="7">
        <f>$C$6*H9</f>
        <v>9204.77</v>
      </c>
      <c r="D29" s="13">
        <f t="shared" si="2"/>
        <v>5369.4491666666672</v>
      </c>
      <c r="F29" s="6" t="s">
        <v>52</v>
      </c>
      <c r="G29" s="7">
        <f>$C$8*G10</f>
        <v>306.82566666666668</v>
      </c>
      <c r="H29" s="7">
        <f>$C$8*H10</f>
        <v>9204.77</v>
      </c>
      <c r="I29" s="7">
        <f t="shared" si="7"/>
        <v>4755.797833333334</v>
      </c>
      <c r="K29" s="3" t="s">
        <v>32</v>
      </c>
      <c r="L29" s="19">
        <f t="shared" si="3"/>
        <v>0</v>
      </c>
      <c r="M29" s="99">
        <v>2.12</v>
      </c>
      <c r="N29" s="3">
        <f t="shared" si="4"/>
        <v>0</v>
      </c>
      <c r="O29" s="44">
        <f t="shared" si="5"/>
        <v>0</v>
      </c>
      <c r="P29" s="3">
        <v>71.599999999999994</v>
      </c>
      <c r="Q29" s="3">
        <f t="shared" si="6"/>
        <v>0</v>
      </c>
    </row>
    <row r="30" spans="1:17" x14ac:dyDescent="0.25">
      <c r="A30" s="6" t="s">
        <v>49</v>
      </c>
      <c r="B30" s="7">
        <f>$C$6*G8</f>
        <v>1534.1283333333336</v>
      </c>
      <c r="C30" s="7">
        <f>$C$6*H8</f>
        <v>9204.77</v>
      </c>
      <c r="D30" s="13">
        <f t="shared" si="2"/>
        <v>5369.4491666666672</v>
      </c>
      <c r="F30" s="6" t="s">
        <v>49</v>
      </c>
      <c r="G30" s="7">
        <f>$C$8*G8</f>
        <v>1534.1283333333336</v>
      </c>
      <c r="H30" s="7">
        <f>$C$8*H8</f>
        <v>9204.77</v>
      </c>
      <c r="I30" s="7">
        <f t="shared" si="7"/>
        <v>5369.4491666666672</v>
      </c>
      <c r="K30" s="3" t="s">
        <v>33</v>
      </c>
      <c r="L30" s="19">
        <f t="shared" si="3"/>
        <v>28070.999999999996</v>
      </c>
      <c r="M30" s="99">
        <v>3.76</v>
      </c>
      <c r="N30" s="3">
        <f t="shared" si="4"/>
        <v>95750705.336974159</v>
      </c>
      <c r="O30" s="44">
        <f t="shared" si="5"/>
        <v>105546.95999999999</v>
      </c>
      <c r="P30" s="3">
        <v>85.5</v>
      </c>
      <c r="Q30" s="3">
        <f t="shared" si="6"/>
        <v>2177309921.8913007</v>
      </c>
    </row>
    <row r="31" spans="1:17" x14ac:dyDescent="0.25">
      <c r="A31" s="6" t="s">
        <v>11</v>
      </c>
      <c r="B31" s="7">
        <f>$C$6*G16</f>
        <v>767.06416666666678</v>
      </c>
      <c r="C31" s="7">
        <f>$C$6*H16</f>
        <v>15341.283333333335</v>
      </c>
      <c r="D31" s="13">
        <f t="shared" si="2"/>
        <v>8054.1737500000008</v>
      </c>
      <c r="F31" s="6" t="s">
        <v>10</v>
      </c>
      <c r="G31" s="7">
        <f>$C$8*G7</f>
        <v>2147.7796666666668</v>
      </c>
      <c r="H31" s="7">
        <f>$C$8*H7</f>
        <v>76706.416666666672</v>
      </c>
      <c r="I31" s="7">
        <f t="shared" si="7"/>
        <v>39427.09816666667</v>
      </c>
      <c r="K31" s="3" t="s">
        <v>216</v>
      </c>
      <c r="L31" s="19">
        <f t="shared" si="3"/>
        <v>543487.00000000012</v>
      </c>
      <c r="M31" s="99">
        <v>8.34</v>
      </c>
      <c r="N31" s="3">
        <f t="shared" si="4"/>
        <v>4111984450.8350654</v>
      </c>
      <c r="O31" s="44">
        <f t="shared" si="5"/>
        <v>4532681.580000001</v>
      </c>
      <c r="P31" s="3">
        <v>120</v>
      </c>
      <c r="Q31" s="3">
        <f t="shared" si="6"/>
        <v>59165243896.907417</v>
      </c>
    </row>
    <row r="32" spans="1:17" x14ac:dyDescent="0.25">
      <c r="A32" s="6" t="s">
        <v>10</v>
      </c>
      <c r="B32" s="7">
        <f>$C$6*G7</f>
        <v>2147.7796666666668</v>
      </c>
      <c r="C32" s="7">
        <f>$C$6*H7</f>
        <v>76706.416666666672</v>
      </c>
      <c r="D32" s="13">
        <f t="shared" si="2"/>
        <v>39427.09816666667</v>
      </c>
      <c r="F32" s="6" t="s">
        <v>53</v>
      </c>
      <c r="G32" s="7">
        <f>$C$8*G8</f>
        <v>1534.1283333333336</v>
      </c>
      <c r="H32" s="7">
        <f>$C$8*H8</f>
        <v>9204.77</v>
      </c>
      <c r="I32" s="7">
        <f t="shared" si="7"/>
        <v>5369.4491666666672</v>
      </c>
      <c r="N32" s="2" t="s">
        <v>144</v>
      </c>
      <c r="O32" s="284">
        <f>SUM(O24:O31)</f>
        <v>7452168.5866666678</v>
      </c>
      <c r="Q32" s="3">
        <f>SUM(Q24:Q31)</f>
        <v>128410626744.44275</v>
      </c>
    </row>
    <row r="33" spans="1:13" x14ac:dyDescent="0.25">
      <c r="A33" s="6" t="s">
        <v>53</v>
      </c>
      <c r="B33" s="7">
        <f>$C$6*G7</f>
        <v>2147.7796666666668</v>
      </c>
      <c r="C33" s="7">
        <f>$C$6*H7</f>
        <v>76706.416666666672</v>
      </c>
      <c r="D33" s="13">
        <f t="shared" si="2"/>
        <v>39427.09816666667</v>
      </c>
      <c r="F33" s="6" t="s">
        <v>11</v>
      </c>
      <c r="G33" s="7">
        <f>$C$8*G16</f>
        <v>767.06416666666678</v>
      </c>
      <c r="H33" s="7">
        <f>$C$8*H16</f>
        <v>15341.283333333335</v>
      </c>
      <c r="I33" s="7">
        <f t="shared" si="7"/>
        <v>8054.1737500000008</v>
      </c>
      <c r="M33" s="3" t="s">
        <v>481</v>
      </c>
    </row>
    <row r="34" spans="1:13" x14ac:dyDescent="0.25">
      <c r="A34" s="6" t="s">
        <v>46</v>
      </c>
      <c r="B34" s="7">
        <f>$C$6*G17</f>
        <v>3.0682566666666671</v>
      </c>
      <c r="C34" s="7">
        <f>$C$6*H17</f>
        <v>7670.6416666666673</v>
      </c>
      <c r="D34" s="13">
        <f t="shared" si="2"/>
        <v>3836.8549616666669</v>
      </c>
      <c r="F34" s="6" t="s">
        <v>46</v>
      </c>
      <c r="G34" s="7">
        <f>$C$8*G17</f>
        <v>3.0682566666666671</v>
      </c>
      <c r="H34" s="7">
        <f>$C$8*H17</f>
        <v>7670.6416666666673</v>
      </c>
      <c r="I34" s="7">
        <f t="shared" si="7"/>
        <v>3836.8549616666669</v>
      </c>
    </row>
    <row r="35" spans="1:13" x14ac:dyDescent="0.25">
      <c r="D35" s="22"/>
    </row>
    <row r="36" spans="1:13" ht="18.75" x14ac:dyDescent="0.25">
      <c r="A36" s="323" t="s">
        <v>3</v>
      </c>
      <c r="B36" s="323"/>
      <c r="C36" s="323"/>
      <c r="D36" s="323"/>
      <c r="F36" s="323" t="s">
        <v>5</v>
      </c>
      <c r="G36" s="323"/>
      <c r="H36" s="323"/>
      <c r="I36" s="323"/>
    </row>
    <row r="37" spans="1:13" x14ac:dyDescent="0.25">
      <c r="A37" s="11" t="s">
        <v>35</v>
      </c>
      <c r="B37" s="322" t="s">
        <v>59</v>
      </c>
      <c r="C37" s="322"/>
      <c r="D37" s="322"/>
      <c r="F37" s="11" t="s">
        <v>35</v>
      </c>
      <c r="G37" s="322" t="s">
        <v>61</v>
      </c>
      <c r="H37" s="322"/>
      <c r="I37" s="322"/>
    </row>
    <row r="38" spans="1:13" x14ac:dyDescent="0.25">
      <c r="A38" s="8"/>
      <c r="B38" s="9" t="s">
        <v>37</v>
      </c>
      <c r="C38" s="9" t="s">
        <v>38</v>
      </c>
      <c r="D38" s="13" t="s">
        <v>66</v>
      </c>
      <c r="F38" s="8"/>
      <c r="G38" s="9" t="s">
        <v>37</v>
      </c>
      <c r="H38" s="9" t="s">
        <v>38</v>
      </c>
      <c r="I38" s="9" t="s">
        <v>66</v>
      </c>
    </row>
    <row r="39" spans="1:13" x14ac:dyDescent="0.25">
      <c r="A39" s="12" t="s">
        <v>47</v>
      </c>
      <c r="B39" s="9">
        <f>$C$7-SUM(B40:B46)</f>
        <v>121748.67657000003</v>
      </c>
      <c r="C39" s="9">
        <f>$C$7-SUM(C40:C46)</f>
        <v>14436.764999999999</v>
      </c>
      <c r="D39" s="13">
        <f t="shared" si="2"/>
        <v>68092.720785000012</v>
      </c>
      <c r="F39" s="12" t="s">
        <v>47</v>
      </c>
      <c r="G39" s="9">
        <f>$C$9-SUM(G40:G46)</f>
        <v>0</v>
      </c>
      <c r="H39" s="14">
        <f>$C$9-SUM(H40:H46)</f>
        <v>0</v>
      </c>
      <c r="I39" s="7">
        <f t="shared" si="7"/>
        <v>0</v>
      </c>
    </row>
    <row r="40" spans="1:13" x14ac:dyDescent="0.25">
      <c r="A40" s="12" t="s">
        <v>9</v>
      </c>
      <c r="B40" s="7">
        <f>$C$7*G6</f>
        <v>13749.300000000003</v>
      </c>
      <c r="C40" s="7">
        <f>$C$7*H6</f>
        <v>96245.10000000002</v>
      </c>
      <c r="D40" s="13">
        <f t="shared" si="2"/>
        <v>54997.200000000012</v>
      </c>
      <c r="F40" s="12" t="s">
        <v>9</v>
      </c>
      <c r="G40" s="7">
        <f>$C$9*G6</f>
        <v>0</v>
      </c>
      <c r="H40" s="7">
        <f>$C$9*H6</f>
        <v>0</v>
      </c>
      <c r="I40" s="7">
        <f t="shared" si="7"/>
        <v>0</v>
      </c>
    </row>
    <row r="41" spans="1:13" x14ac:dyDescent="0.25">
      <c r="A41" s="6" t="s">
        <v>40</v>
      </c>
      <c r="B41" s="7">
        <f>$C$7*G9</f>
        <v>687.46500000000015</v>
      </c>
      <c r="C41" s="7">
        <f>$C$7*H9</f>
        <v>4124.7900000000009</v>
      </c>
      <c r="D41" s="13">
        <f t="shared" si="2"/>
        <v>2406.1275000000005</v>
      </c>
      <c r="F41" s="6" t="s">
        <v>53</v>
      </c>
      <c r="G41" s="7">
        <f>$C$9*G8</f>
        <v>0</v>
      </c>
      <c r="H41" s="7">
        <f>$C$9*H8</f>
        <v>0</v>
      </c>
      <c r="I41" s="7">
        <f t="shared" si="7"/>
        <v>0</v>
      </c>
    </row>
    <row r="42" spans="1:13" x14ac:dyDescent="0.25">
      <c r="A42" s="6" t="s">
        <v>52</v>
      </c>
      <c r="B42" s="7">
        <f>$C$7*G10</f>
        <v>137.49300000000002</v>
      </c>
      <c r="C42" s="7">
        <f>$C$7*H10</f>
        <v>4124.7900000000009</v>
      </c>
      <c r="D42" s="13">
        <f t="shared" si="2"/>
        <v>2131.1415000000006</v>
      </c>
      <c r="F42" s="6" t="s">
        <v>14</v>
      </c>
      <c r="G42" s="7">
        <f>$C$9*G20</f>
        <v>0</v>
      </c>
      <c r="H42" s="7">
        <f>$C$9*H20</f>
        <v>0</v>
      </c>
      <c r="I42" s="7">
        <f t="shared" si="7"/>
        <v>0</v>
      </c>
    </row>
    <row r="43" spans="1:13" x14ac:dyDescent="0.25">
      <c r="A43" s="6" t="s">
        <v>53</v>
      </c>
      <c r="B43" s="7">
        <f>$C$7*G8</f>
        <v>687.46500000000015</v>
      </c>
      <c r="C43" s="7">
        <f>$C$7*H8</f>
        <v>4124.7900000000009</v>
      </c>
      <c r="D43" s="13">
        <f t="shared" si="2"/>
        <v>2406.1275000000005</v>
      </c>
      <c r="F43" s="6" t="s">
        <v>54</v>
      </c>
      <c r="G43" s="7">
        <f>$C$9*G21</f>
        <v>0</v>
      </c>
      <c r="H43" s="7">
        <f>$C$9*H21</f>
        <v>0</v>
      </c>
      <c r="I43" s="7">
        <f t="shared" si="7"/>
        <v>0</v>
      </c>
    </row>
    <row r="44" spans="1:13" x14ac:dyDescent="0.25">
      <c r="A44" s="6" t="s">
        <v>41</v>
      </c>
      <c r="B44" s="7">
        <f>$C$7*G11</f>
        <v>137.49300000000002</v>
      </c>
      <c r="C44" s="7">
        <f>$C$7*H11</f>
        <v>4124.7900000000009</v>
      </c>
      <c r="D44" s="13">
        <f t="shared" si="2"/>
        <v>2131.1415000000006</v>
      </c>
      <c r="F44" s="6" t="s">
        <v>13</v>
      </c>
      <c r="G44" s="7">
        <f>$C$9*G15</f>
        <v>0</v>
      </c>
      <c r="H44" s="7">
        <f>$C$9*H15</f>
        <v>0</v>
      </c>
      <c r="I44" s="7">
        <f t="shared" si="7"/>
        <v>0</v>
      </c>
    </row>
    <row r="45" spans="1:13" x14ac:dyDescent="0.25">
      <c r="A45" s="6" t="s">
        <v>11</v>
      </c>
      <c r="B45" s="7">
        <f>$C$7*G16</f>
        <v>343.73250000000007</v>
      </c>
      <c r="C45" s="7">
        <f>$C$7*H16</f>
        <v>6874.6500000000015</v>
      </c>
      <c r="D45" s="13">
        <f t="shared" si="2"/>
        <v>3609.1912500000008</v>
      </c>
      <c r="F45" s="6" t="s">
        <v>40</v>
      </c>
      <c r="G45" s="7">
        <f>$C$9*G9</f>
        <v>0</v>
      </c>
      <c r="H45" s="7">
        <f>$C$9*H9</f>
        <v>0</v>
      </c>
      <c r="I45" s="7">
        <f t="shared" si="7"/>
        <v>0</v>
      </c>
    </row>
    <row r="46" spans="1:13" x14ac:dyDescent="0.25">
      <c r="A46" s="6" t="s">
        <v>46</v>
      </c>
      <c r="B46" s="7">
        <f>$C$7*G17</f>
        <v>1.3749300000000004</v>
      </c>
      <c r="C46" s="7">
        <f>$C$7*H17</f>
        <v>3437.3250000000007</v>
      </c>
      <c r="D46" s="13">
        <f t="shared" si="2"/>
        <v>1719.3499650000003</v>
      </c>
      <c r="F46" s="6" t="s">
        <v>11</v>
      </c>
      <c r="G46" s="7">
        <f>$C$9*G16</f>
        <v>0</v>
      </c>
      <c r="H46" s="7">
        <f>$C$9*H16</f>
        <v>0</v>
      </c>
      <c r="I46" s="7">
        <f t="shared" si="7"/>
        <v>0</v>
      </c>
    </row>
    <row r="47" spans="1:13" x14ac:dyDescent="0.25">
      <c r="D47" s="22"/>
    </row>
    <row r="48" spans="1:13" ht="18.75" x14ac:dyDescent="0.25">
      <c r="A48" s="323" t="s">
        <v>6</v>
      </c>
      <c r="B48" s="323"/>
      <c r="C48" s="323"/>
      <c r="D48" s="323"/>
      <c r="F48" s="4" t="s">
        <v>55</v>
      </c>
    </row>
    <row r="49" spans="1:9" ht="18.75" x14ac:dyDescent="0.25">
      <c r="A49" s="11" t="s">
        <v>35</v>
      </c>
      <c r="B49" s="322" t="s">
        <v>62</v>
      </c>
      <c r="C49" s="322"/>
      <c r="D49" s="322"/>
      <c r="F49" s="323" t="s">
        <v>34</v>
      </c>
      <c r="G49" s="323"/>
      <c r="H49" s="323"/>
      <c r="I49" s="323"/>
    </row>
    <row r="50" spans="1:9" x14ac:dyDescent="0.25">
      <c r="A50" s="8"/>
      <c r="B50" s="9" t="s">
        <v>37</v>
      </c>
      <c r="C50" s="9" t="s">
        <v>38</v>
      </c>
      <c r="D50" s="13" t="s">
        <v>66</v>
      </c>
      <c r="F50" s="11" t="s">
        <v>35</v>
      </c>
      <c r="G50" s="322" t="s">
        <v>64</v>
      </c>
      <c r="H50" s="322"/>
      <c r="I50" s="322"/>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389256.2591400001</v>
      </c>
      <c r="H52" s="14">
        <f>$C$12-SUM(H53:H69)</f>
        <v>-717511.53740000061</v>
      </c>
      <c r="I52" s="7">
        <f>(G52+H52)/2</f>
        <v>-164127.63913000026</v>
      </c>
    </row>
    <row r="53" spans="1:9" x14ac:dyDescent="0.25">
      <c r="A53" s="6" t="s">
        <v>52</v>
      </c>
      <c r="B53" s="7">
        <f>$C$10*G10</f>
        <v>0</v>
      </c>
      <c r="C53" s="7">
        <f>$C$10*H10</f>
        <v>0</v>
      </c>
      <c r="D53" s="13">
        <f t="shared" si="2"/>
        <v>0</v>
      </c>
      <c r="F53" s="12" t="s">
        <v>9</v>
      </c>
      <c r="G53" s="7">
        <f>$C$12*G6</f>
        <v>54348.700000000012</v>
      </c>
      <c r="H53" s="7">
        <f>$C$12*H6</f>
        <v>380440.90000000008</v>
      </c>
      <c r="I53" s="7">
        <f t="shared" si="7"/>
        <v>217394.80000000005</v>
      </c>
    </row>
    <row r="54" spans="1:9" x14ac:dyDescent="0.25">
      <c r="A54" s="6" t="s">
        <v>49</v>
      </c>
      <c r="B54" s="7">
        <f>$C$10*G8</f>
        <v>0</v>
      </c>
      <c r="C54" s="7">
        <f>$C$10*H8</f>
        <v>0</v>
      </c>
      <c r="D54" s="13">
        <f t="shared" si="2"/>
        <v>0</v>
      </c>
      <c r="F54" s="12" t="s">
        <v>40</v>
      </c>
      <c r="G54" s="7">
        <f>$C$12*G9</f>
        <v>2717.4350000000009</v>
      </c>
      <c r="H54" s="7">
        <f>$C$12*H9</f>
        <v>16304.610000000002</v>
      </c>
      <c r="I54" s="7">
        <f t="shared" si="7"/>
        <v>9511.0225000000009</v>
      </c>
    </row>
    <row r="55" spans="1:9" x14ac:dyDescent="0.25">
      <c r="A55" s="6" t="s">
        <v>10</v>
      </c>
      <c r="B55" s="7">
        <f>$C$10*G7</f>
        <v>0</v>
      </c>
      <c r="C55" s="7">
        <f>$C$10*H7</f>
        <v>0</v>
      </c>
      <c r="D55" s="13">
        <f t="shared" si="2"/>
        <v>0</v>
      </c>
      <c r="F55" s="12" t="s">
        <v>49</v>
      </c>
      <c r="G55" s="7">
        <f>$C$12*G8</f>
        <v>2717.4350000000009</v>
      </c>
      <c r="H55" s="7">
        <f>$C$12*H8</f>
        <v>16304.610000000002</v>
      </c>
      <c r="I55" s="7">
        <f t="shared" si="7"/>
        <v>9511.0225000000009</v>
      </c>
    </row>
    <row r="56" spans="1:9" x14ac:dyDescent="0.25">
      <c r="A56" s="6" t="s">
        <v>48</v>
      </c>
      <c r="B56" s="7">
        <f>$C$10*G18</f>
        <v>0</v>
      </c>
      <c r="C56" s="7">
        <f>$C$10*H18</f>
        <v>0</v>
      </c>
      <c r="D56" s="13">
        <f t="shared" si="2"/>
        <v>0</v>
      </c>
      <c r="F56" s="12" t="s">
        <v>11</v>
      </c>
      <c r="G56" s="7">
        <f>$C$12*G16</f>
        <v>1358.7175000000004</v>
      </c>
      <c r="H56" s="7">
        <f>$C$12*H16</f>
        <v>27174.350000000006</v>
      </c>
      <c r="I56" s="7">
        <f t="shared" si="7"/>
        <v>14266.533750000002</v>
      </c>
    </row>
    <row r="57" spans="1:9" x14ac:dyDescent="0.25">
      <c r="A57" s="6" t="s">
        <v>46</v>
      </c>
      <c r="B57" s="7">
        <f>$C$10*G17</f>
        <v>0</v>
      </c>
      <c r="C57" s="7">
        <f>$C$10*H17</f>
        <v>0</v>
      </c>
      <c r="D57" s="13">
        <f t="shared" si="2"/>
        <v>0</v>
      </c>
      <c r="F57" s="6" t="s">
        <v>10</v>
      </c>
      <c r="G57" s="7">
        <f>$C$12*G7</f>
        <v>3804.409000000001</v>
      </c>
      <c r="H57" s="7">
        <f>$C$12*H7</f>
        <v>135871.75000000003</v>
      </c>
      <c r="I57" s="7">
        <f t="shared" si="7"/>
        <v>69838.079500000022</v>
      </c>
    </row>
    <row r="58" spans="1:9" x14ac:dyDescent="0.25">
      <c r="A58" s="35"/>
      <c r="B58" s="23"/>
      <c r="C58" s="23"/>
      <c r="D58" s="22"/>
      <c r="F58" s="6" t="s">
        <v>98</v>
      </c>
      <c r="G58" s="7">
        <f t="shared" ref="G58:H60" si="8">$C$12*G13</f>
        <v>543.48700000000008</v>
      </c>
      <c r="H58" s="7">
        <f t="shared" si="8"/>
        <v>10869.740000000003</v>
      </c>
      <c r="I58" s="7">
        <f t="shared" si="7"/>
        <v>5706.6135000000013</v>
      </c>
    </row>
    <row r="59" spans="1:9" x14ac:dyDescent="0.25">
      <c r="A59" s="35"/>
      <c r="B59" s="23"/>
      <c r="C59" s="23"/>
      <c r="D59" s="22"/>
      <c r="F59" s="6" t="s">
        <v>99</v>
      </c>
      <c r="G59" s="7">
        <f t="shared" si="8"/>
        <v>2717.4350000000009</v>
      </c>
      <c r="H59" s="7">
        <f t="shared" si="8"/>
        <v>111414.83500000002</v>
      </c>
      <c r="I59" s="7">
        <f t="shared" si="7"/>
        <v>57066.135000000009</v>
      </c>
    </row>
    <row r="60" spans="1:9" x14ac:dyDescent="0.25">
      <c r="A60" s="35"/>
      <c r="B60" s="23"/>
      <c r="C60" s="23"/>
      <c r="D60" s="22"/>
      <c r="F60" s="6" t="s">
        <v>45</v>
      </c>
      <c r="G60" s="7">
        <f t="shared" si="8"/>
        <v>5.4348700000000019</v>
      </c>
      <c r="H60" s="7">
        <f t="shared" si="8"/>
        <v>5434.8700000000017</v>
      </c>
      <c r="I60" s="7">
        <f t="shared" si="7"/>
        <v>2720.1524350000009</v>
      </c>
    </row>
    <row r="61" spans="1:9" x14ac:dyDescent="0.25">
      <c r="A61" s="35"/>
      <c r="B61" s="23"/>
      <c r="C61" s="23"/>
      <c r="D61" s="22"/>
      <c r="F61" s="6" t="s">
        <v>48</v>
      </c>
      <c r="G61" s="7">
        <f>$C$12*G18</f>
        <v>81.523050000000012</v>
      </c>
      <c r="H61" s="7">
        <f>$C$12*H18</f>
        <v>108.69740000000003</v>
      </c>
      <c r="I61" s="7">
        <f t="shared" si="7"/>
        <v>95.110225000000014</v>
      </c>
    </row>
    <row r="62" spans="1:9" x14ac:dyDescent="0.25">
      <c r="A62" s="35"/>
      <c r="B62" s="23"/>
      <c r="C62" s="23"/>
      <c r="D62" s="22"/>
      <c r="F62" s="6" t="s">
        <v>100</v>
      </c>
      <c r="G62" s="7">
        <f>$C$12*G19</f>
        <v>54.348700000000015</v>
      </c>
      <c r="H62" s="7">
        <f>$C$12*H19</f>
        <v>54348.700000000012</v>
      </c>
      <c r="I62" s="7">
        <f t="shared" si="7"/>
        <v>27201.524350000007</v>
      </c>
    </row>
    <row r="63" spans="1:9" x14ac:dyDescent="0.25">
      <c r="D63" s="22"/>
      <c r="F63" s="6" t="s">
        <v>53</v>
      </c>
      <c r="G63" s="7">
        <f>$C$12*G8</f>
        <v>2717.4350000000009</v>
      </c>
      <c r="H63" s="7">
        <f>$C$12*H8</f>
        <v>16304.610000000002</v>
      </c>
      <c r="I63" s="7">
        <f t="shared" si="7"/>
        <v>9511.0225000000009</v>
      </c>
    </row>
    <row r="64" spans="1:9" ht="18.75" x14ac:dyDescent="0.25">
      <c r="A64" s="323" t="s">
        <v>7</v>
      </c>
      <c r="B64" s="323"/>
      <c r="C64" s="323"/>
      <c r="D64" s="323"/>
      <c r="F64" s="6" t="s">
        <v>46</v>
      </c>
      <c r="G64" s="7">
        <f>$C$12*G17</f>
        <v>5.4348700000000019</v>
      </c>
      <c r="H64" s="7">
        <f>$C$12*H17</f>
        <v>13587.175000000003</v>
      </c>
      <c r="I64" s="7">
        <f t="shared" si="7"/>
        <v>6796.304935000001</v>
      </c>
    </row>
    <row r="65" spans="1:9" x14ac:dyDescent="0.25">
      <c r="A65" s="11" t="s">
        <v>35</v>
      </c>
      <c r="B65" s="322" t="s">
        <v>63</v>
      </c>
      <c r="C65" s="322"/>
      <c r="D65" s="322"/>
      <c r="F65" s="6" t="s">
        <v>14</v>
      </c>
      <c r="G65" s="7">
        <f>$C$12*G20</f>
        <v>5.4348700000000019</v>
      </c>
      <c r="H65" s="7">
        <f>$C$12*H20</f>
        <v>271743.50000000006</v>
      </c>
      <c r="I65" s="7">
        <f t="shared" si="7"/>
        <v>135874.46743500003</v>
      </c>
    </row>
    <row r="66" spans="1:9" x14ac:dyDescent="0.25">
      <c r="A66" s="8"/>
      <c r="B66" s="9" t="s">
        <v>37</v>
      </c>
      <c r="C66" s="9" t="s">
        <v>38</v>
      </c>
      <c r="D66" s="13" t="s">
        <v>66</v>
      </c>
      <c r="F66" s="6" t="s">
        <v>56</v>
      </c>
      <c r="G66" s="7">
        <f>$C$12*G21</f>
        <v>81523.050000000017</v>
      </c>
      <c r="H66" s="7">
        <f>$C$12*H21</f>
        <v>163046.10000000003</v>
      </c>
      <c r="I66" s="7">
        <f t="shared" si="7"/>
        <v>122284.57500000003</v>
      </c>
    </row>
    <row r="67" spans="1:9" x14ac:dyDescent="0.25">
      <c r="A67" s="12" t="s">
        <v>47</v>
      </c>
      <c r="B67" s="9">
        <f>$C$11-SUM(B68:B73)</f>
        <v>27663.689789999997</v>
      </c>
      <c r="C67" s="9">
        <f>$C$11-SUM(C68:C73)</f>
        <v>23158.574999999997</v>
      </c>
      <c r="D67" s="13">
        <f t="shared" si="2"/>
        <v>25411.132394999997</v>
      </c>
      <c r="F67" s="6" t="s">
        <v>41</v>
      </c>
      <c r="G67" s="7">
        <f>$C$12*G11</f>
        <v>543.48700000000008</v>
      </c>
      <c r="H67" s="7">
        <f>$C$12*H11</f>
        <v>16304.610000000002</v>
      </c>
      <c r="I67" s="7">
        <f t="shared" si="7"/>
        <v>8424.0485000000008</v>
      </c>
    </row>
    <row r="68" spans="1:9" x14ac:dyDescent="0.25">
      <c r="A68" s="6" t="s">
        <v>40</v>
      </c>
      <c r="B68" s="7">
        <f>$C$11*G9</f>
        <v>140.35499999999999</v>
      </c>
      <c r="C68" s="7">
        <f>$C$11*H9</f>
        <v>842.12999999999988</v>
      </c>
      <c r="D68" s="13">
        <f t="shared" si="2"/>
        <v>491.24249999999995</v>
      </c>
      <c r="F68" s="6" t="s">
        <v>52</v>
      </c>
      <c r="G68" s="7">
        <f>$C$12*G10</f>
        <v>543.48700000000008</v>
      </c>
      <c r="H68" s="7">
        <f>$C$12*H10</f>
        <v>16304.610000000002</v>
      </c>
      <c r="I68" s="7">
        <f t="shared" si="7"/>
        <v>8424.0485000000008</v>
      </c>
    </row>
    <row r="69" spans="1:9" x14ac:dyDescent="0.25">
      <c r="A69" s="6" t="s">
        <v>52</v>
      </c>
      <c r="B69" s="7">
        <f>$C$11*G10</f>
        <v>28.070999999999998</v>
      </c>
      <c r="C69" s="7">
        <f>$C$11*H10</f>
        <v>842.12999999999988</v>
      </c>
      <c r="D69" s="13">
        <f t="shared" si="2"/>
        <v>435.10049999999995</v>
      </c>
      <c r="F69" s="6" t="s">
        <v>51</v>
      </c>
      <c r="G69" s="7">
        <f>$C$12*G12</f>
        <v>543.48700000000008</v>
      </c>
      <c r="H69" s="7">
        <f>$C$12*H12</f>
        <v>5434.8700000000017</v>
      </c>
      <c r="I69" s="7">
        <f t="shared" si="7"/>
        <v>2989.1785000000009</v>
      </c>
    </row>
    <row r="70" spans="1:9" x14ac:dyDescent="0.25">
      <c r="A70" s="6" t="s">
        <v>49</v>
      </c>
      <c r="B70" s="7">
        <f>$C$11*G8</f>
        <v>140.35499999999999</v>
      </c>
      <c r="C70" s="7">
        <f>$C$11*H8</f>
        <v>842.12999999999988</v>
      </c>
      <c r="D70" s="13">
        <f t="shared" si="2"/>
        <v>491.24249999999995</v>
      </c>
      <c r="F70" s="4" t="s">
        <v>55</v>
      </c>
    </row>
    <row r="71" spans="1:9" x14ac:dyDescent="0.25">
      <c r="A71" s="6" t="s">
        <v>51</v>
      </c>
      <c r="B71" s="7">
        <f>$C$11*G12</f>
        <v>28.070999999999998</v>
      </c>
      <c r="C71" s="7">
        <f>$C$11*H12</f>
        <v>280.70999999999998</v>
      </c>
      <c r="D71" s="13">
        <f t="shared" si="2"/>
        <v>154.39049999999997</v>
      </c>
    </row>
    <row r="72" spans="1:9" x14ac:dyDescent="0.25">
      <c r="A72" s="6" t="s">
        <v>11</v>
      </c>
      <c r="B72" s="7">
        <f>$C$11*G16</f>
        <v>70.177499999999995</v>
      </c>
      <c r="C72" s="7">
        <f>$C$11*H16</f>
        <v>1403.55</v>
      </c>
      <c r="D72" s="13">
        <f t="shared" si="2"/>
        <v>736.86374999999998</v>
      </c>
    </row>
    <row r="73" spans="1:9" x14ac:dyDescent="0.25">
      <c r="A73" s="6" t="s">
        <v>46</v>
      </c>
      <c r="B73" s="7">
        <f>$C$11*G17</f>
        <v>0.28070999999999996</v>
      </c>
      <c r="C73" s="7">
        <f>$C$11*H17</f>
        <v>701.77499999999998</v>
      </c>
      <c r="D73" s="13">
        <f t="shared" si="2"/>
        <v>351.02785499999999</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hyperlinks>
    <hyperlink ref="M21" r:id="rId1" display="https://doi.org/10.1021/acssuschemeng.1c05236" xr:uid="{00000000-0004-0000-12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I75"/>
  <sheetViews>
    <sheetView zoomScale="98" zoomScaleNormal="98" workbookViewId="0">
      <pane ySplit="1" topLeftCell="A53" activePane="bottomLeft" state="frozen"/>
      <selection pane="bottomLeft" activeCell="Q75" sqref="Q75"/>
    </sheetView>
  </sheetViews>
  <sheetFormatPr defaultRowHeight="15" x14ac:dyDescent="0.25"/>
  <cols>
    <col min="1" max="1" width="41.28515625" style="64" customWidth="1"/>
    <col min="2" max="2" width="13.85546875" style="73" bestFit="1" customWidth="1"/>
    <col min="3" max="3" width="9.85546875" style="73" bestFit="1" customWidth="1"/>
    <col min="4" max="4" width="10.85546875" style="73" bestFit="1" customWidth="1"/>
    <col min="5" max="5" width="11.85546875" style="73" bestFit="1" customWidth="1"/>
    <col min="6" max="6" width="9.42578125" style="73" bestFit="1" customWidth="1"/>
    <col min="7" max="7" width="11.140625" style="73" bestFit="1" customWidth="1"/>
    <col min="8" max="8" width="15.85546875" style="73" bestFit="1" customWidth="1"/>
    <col min="9" max="9" width="11.85546875" style="73" bestFit="1" customWidth="1"/>
    <col min="10" max="10" width="9.42578125" style="73" bestFit="1" customWidth="1"/>
    <col min="11" max="11" width="13.85546875" style="73" bestFit="1" customWidth="1"/>
    <col min="12" max="12" width="11.140625" style="73" customWidth="1"/>
    <col min="13" max="13" width="11.85546875" style="73" bestFit="1" customWidth="1"/>
    <col min="14" max="14" width="11.140625" style="73" customWidth="1"/>
    <col min="15" max="15" width="11.140625" style="73" bestFit="1" customWidth="1"/>
    <col min="16" max="18" width="11.85546875" style="73" bestFit="1" customWidth="1"/>
    <col min="19" max="19" width="10.85546875" style="73" bestFit="1" customWidth="1"/>
    <col min="20" max="20" width="9.42578125" style="73" customWidth="1"/>
    <col min="21" max="21" width="12" style="73" bestFit="1" customWidth="1"/>
    <col min="22" max="22" width="12" style="73" customWidth="1"/>
    <col min="23" max="23" width="14.140625" style="73" customWidth="1"/>
    <col min="24" max="24" width="14.7109375" style="73" bestFit="1" customWidth="1"/>
    <col min="25" max="25" width="11.85546875" style="73" bestFit="1" customWidth="1"/>
    <col min="26" max="26" width="10.85546875" style="73" bestFit="1" customWidth="1"/>
    <col min="27" max="27" width="12.7109375" style="73" bestFit="1" customWidth="1"/>
    <col min="28" max="31" width="12.7109375" style="73" customWidth="1"/>
    <col min="32" max="32" width="10.28515625" style="73" bestFit="1" customWidth="1"/>
    <col min="33" max="33" width="10.85546875" style="73" bestFit="1" customWidth="1"/>
    <col min="34" max="34" width="22.85546875" style="73" customWidth="1"/>
    <col min="35" max="35" width="32.7109375" style="73" bestFit="1" customWidth="1"/>
    <col min="36" max="16384" width="9.140625" style="73"/>
  </cols>
  <sheetData>
    <row r="1" spans="1:35" s="64" customFormat="1" x14ac:dyDescent="0.25">
      <c r="A1" s="59" t="s">
        <v>0</v>
      </c>
      <c r="B1" s="60">
        <v>1</v>
      </c>
      <c r="C1" s="60">
        <v>2</v>
      </c>
      <c r="D1" s="61">
        <v>3</v>
      </c>
      <c r="E1" s="62">
        <v>4</v>
      </c>
      <c r="F1" s="61">
        <v>5</v>
      </c>
      <c r="G1" s="62">
        <f>F1+1</f>
        <v>6</v>
      </c>
      <c r="H1" s="61">
        <f t="shared" ref="H1:AA1" si="0">G1+1</f>
        <v>7</v>
      </c>
      <c r="I1" s="60">
        <f t="shared" si="0"/>
        <v>8</v>
      </c>
      <c r="J1" s="61">
        <f t="shared" si="0"/>
        <v>9</v>
      </c>
      <c r="K1" s="63">
        <f t="shared" si="0"/>
        <v>10</v>
      </c>
      <c r="L1" s="60">
        <v>11</v>
      </c>
      <c r="M1" s="60">
        <v>12</v>
      </c>
      <c r="N1" s="61">
        <v>13</v>
      </c>
      <c r="O1" s="60">
        <v>14</v>
      </c>
      <c r="P1" s="61">
        <v>15</v>
      </c>
      <c r="Q1" s="62">
        <v>16</v>
      </c>
      <c r="R1" s="61">
        <f>Q1+1</f>
        <v>17</v>
      </c>
      <c r="S1" s="61">
        <f t="shared" si="0"/>
        <v>18</v>
      </c>
      <c r="T1" s="61">
        <f t="shared" si="0"/>
        <v>19</v>
      </c>
      <c r="U1" s="64">
        <f>T1+1</f>
        <v>20</v>
      </c>
      <c r="V1" s="62" t="s">
        <v>292</v>
      </c>
      <c r="W1" s="62" t="s">
        <v>293</v>
      </c>
      <c r="X1" s="62">
        <v>23</v>
      </c>
      <c r="Y1" s="62">
        <v>24</v>
      </c>
      <c r="Z1" s="61">
        <v>25</v>
      </c>
      <c r="AA1" s="62">
        <f t="shared" si="0"/>
        <v>26</v>
      </c>
      <c r="AB1" s="62" t="s">
        <v>291</v>
      </c>
      <c r="AC1" s="64" t="s">
        <v>498</v>
      </c>
      <c r="AD1" s="62" t="s">
        <v>492</v>
      </c>
      <c r="AE1" s="62" t="s">
        <v>493</v>
      </c>
      <c r="AF1" s="61">
        <v>29</v>
      </c>
      <c r="AG1" s="61">
        <v>30</v>
      </c>
      <c r="AH1" s="65" t="s">
        <v>202</v>
      </c>
      <c r="AI1" s="65" t="s">
        <v>103</v>
      </c>
    </row>
    <row r="2" spans="1:35" s="66" customFormat="1" x14ac:dyDescent="0.25">
      <c r="B2" s="67" t="s">
        <v>16</v>
      </c>
      <c r="C2" s="67" t="s">
        <v>16</v>
      </c>
      <c r="D2" s="68" t="s">
        <v>16</v>
      </c>
      <c r="E2" s="69" t="s">
        <v>16</v>
      </c>
      <c r="F2" s="68" t="s">
        <v>16</v>
      </c>
      <c r="G2" s="69" t="s">
        <v>16</v>
      </c>
      <c r="H2" s="68" t="s">
        <v>16</v>
      </c>
      <c r="I2" s="67" t="s">
        <v>16</v>
      </c>
      <c r="J2" s="68" t="s">
        <v>16</v>
      </c>
      <c r="K2" s="70" t="s">
        <v>16</v>
      </c>
      <c r="L2" s="67" t="s">
        <v>16</v>
      </c>
      <c r="M2" s="67" t="s">
        <v>16</v>
      </c>
      <c r="N2" s="68" t="s">
        <v>16</v>
      </c>
      <c r="O2" s="67" t="s">
        <v>16</v>
      </c>
      <c r="P2" s="68" t="s">
        <v>16</v>
      </c>
      <c r="Q2" s="69" t="s">
        <v>16</v>
      </c>
      <c r="R2" s="68" t="s">
        <v>16</v>
      </c>
      <c r="S2" s="68" t="s">
        <v>16</v>
      </c>
      <c r="T2" s="68" t="s">
        <v>16</v>
      </c>
      <c r="U2" s="66" t="s">
        <v>16</v>
      </c>
      <c r="V2" s="69" t="s">
        <v>16</v>
      </c>
      <c r="W2" s="69" t="s">
        <v>16</v>
      </c>
      <c r="X2" s="69" t="s">
        <v>16</v>
      </c>
      <c r="Y2" s="69" t="s">
        <v>16</v>
      </c>
      <c r="Z2" s="68" t="s">
        <v>16</v>
      </c>
      <c r="AA2" s="69" t="s">
        <v>16</v>
      </c>
      <c r="AB2" s="69" t="s">
        <v>16</v>
      </c>
      <c r="AC2" s="66" t="s">
        <v>16</v>
      </c>
      <c r="AD2" s="69" t="s">
        <v>16</v>
      </c>
      <c r="AE2" s="69" t="s">
        <v>16</v>
      </c>
      <c r="AF2" s="68" t="s">
        <v>16</v>
      </c>
      <c r="AG2" s="68" t="s">
        <v>16</v>
      </c>
      <c r="AH2" s="71" t="s">
        <v>16</v>
      </c>
      <c r="AI2" s="71" t="s">
        <v>16</v>
      </c>
    </row>
    <row r="3" spans="1:35" x14ac:dyDescent="0.25">
      <c r="A3" s="72" t="s">
        <v>1</v>
      </c>
      <c r="B3" s="73">
        <f t="shared" ref="B3:B10" si="1">E3-U3</f>
        <v>4902612.6313511515</v>
      </c>
      <c r="C3" s="73">
        <v>0</v>
      </c>
      <c r="D3" s="73">
        <v>0</v>
      </c>
      <c r="E3" s="73">
        <f>'Stream 6 - PWaste Generated'!C5-SUM('Stream 6 - PWaste Generated'!B19:B23)</f>
        <v>5217459.0153501406</v>
      </c>
      <c r="F3" s="73">
        <f>E3*'Migration Data - Use'!$B$16</f>
        <v>24.602325972381816</v>
      </c>
      <c r="G3" s="73">
        <f>E3-F3</f>
        <v>5217434.4130241685</v>
      </c>
      <c r="H3" s="73">
        <v>0</v>
      </c>
      <c r="I3" s="73">
        <f>N3</f>
        <v>62293.653042016806</v>
      </c>
      <c r="J3" s="73">
        <f>'Stream 9 - Litter'!B18</f>
        <v>104290.7213824611</v>
      </c>
      <c r="K3" s="73">
        <f>G3-J3+I3</f>
        <v>5175437.3446837235</v>
      </c>
      <c r="L3" s="73">
        <v>0</v>
      </c>
      <c r="M3" s="73">
        <v>0</v>
      </c>
      <c r="N3" s="73">
        <f>'Stream 13-PlasticCompost'!B18</f>
        <v>62293.653042016806</v>
      </c>
      <c r="O3" s="73">
        <v>0</v>
      </c>
      <c r="P3" s="73">
        <v>0</v>
      </c>
      <c r="Q3" s="73">
        <f>'Stream 16 - MechRecyc'!B18</f>
        <v>406665.88915390725</v>
      </c>
      <c r="R3" s="73">
        <v>0</v>
      </c>
      <c r="S3" s="73">
        <v>0</v>
      </c>
      <c r="T3" s="73">
        <v>0</v>
      </c>
      <c r="U3" s="73">
        <f>Q3-R3-S3+T3+V3-W3-X3</f>
        <v>314846.38399898948</v>
      </c>
      <c r="V3" s="73">
        <f>'Stream 21 - Import'!B18</f>
        <v>45983.783479999998</v>
      </c>
      <c r="W3" s="73">
        <f>'Stream 22 - Re-Export'!B18</f>
        <v>2383.5475466666667</v>
      </c>
      <c r="X3" s="73">
        <f>Q3*(1-'US 2018 Facts - Sensitivity'!$B$6)</f>
        <v>135419.74108825109</v>
      </c>
      <c r="Y3" s="73">
        <f>'Stream 24 - Incineration'!B18</f>
        <v>37256.939206270712</v>
      </c>
      <c r="Z3" s="73">
        <f>(Y3+X3)-(Y3+X3)*'US 2018 Facts - Sensitivity'!$B$24</f>
        <v>17.267668029438937</v>
      </c>
      <c r="AA3" s="73">
        <f>'Stream 26 - Landfilled Plastic'!B18</f>
        <v>179012.42247544407</v>
      </c>
      <c r="AB3" s="73">
        <f>'Stream 27 - Export'!B18</f>
        <v>302787.84089333337</v>
      </c>
      <c r="AC3" s="73">
        <v>0</v>
      </c>
      <c r="AD3" s="73">
        <v>0</v>
      </c>
      <c r="AE3" s="73">
        <v>0</v>
      </c>
      <c r="AF3" s="73">
        <f>E3*'US 2018 Facts - Sensitivity'!$B$19</f>
        <v>521745.9015350141</v>
      </c>
      <c r="AG3" s="73">
        <v>0</v>
      </c>
      <c r="AH3" s="73">
        <f t="shared" ref="AH3:AH40" si="2">L3+Y3+X3</f>
        <v>172676.68029452179</v>
      </c>
      <c r="AI3" s="73">
        <f t="shared" ref="AI3:AI40" si="3">SUM(AA3,M3,J3,AD3)-AF3</f>
        <v>-238442.75767710892</v>
      </c>
    </row>
    <row r="4" spans="1:35" x14ac:dyDescent="0.25">
      <c r="A4" s="72" t="s">
        <v>2</v>
      </c>
      <c r="B4" s="73">
        <f t="shared" si="1"/>
        <v>5921878.1438907571</v>
      </c>
      <c r="C4" s="73">
        <v>0</v>
      </c>
      <c r="D4" s="73">
        <v>0</v>
      </c>
      <c r="E4" s="73">
        <f>'Stream 6 - PWaste Generated'!C6-SUM('Stream 6 - PWaste Generated'!B29:B34)</f>
        <v>6129551.1529411767</v>
      </c>
      <c r="F4" s="73">
        <f>E4*'Migration Data - Use'!$B$16</f>
        <v>28.903191205791856</v>
      </c>
      <c r="G4" s="73">
        <f t="shared" ref="G4:G38" si="4">E4-F4</f>
        <v>6129522.2497499706</v>
      </c>
      <c r="H4" s="73">
        <v>0</v>
      </c>
      <c r="I4" s="73">
        <f t="shared" ref="I4:I26" si="5">N4</f>
        <v>73183.542352941178</v>
      </c>
      <c r="J4" s="73">
        <f>'Stream 9 - Litter'!B28</f>
        <v>122522.34461453292</v>
      </c>
      <c r="K4" s="73">
        <f>G4-J4+I4</f>
        <v>6080183.4474883787</v>
      </c>
      <c r="L4" s="73">
        <v>0</v>
      </c>
      <c r="M4" s="73">
        <v>0</v>
      </c>
      <c r="N4" s="73">
        <f>'Stream 13-PlasticCompost'!B28</f>
        <v>73183.542352941178</v>
      </c>
      <c r="O4" s="73">
        <v>0</v>
      </c>
      <c r="P4" s="73">
        <v>0</v>
      </c>
      <c r="Q4" s="73">
        <f>'Stream 16 - MechRecyc'!B28</f>
        <v>246870.46231947019</v>
      </c>
      <c r="R4" s="73">
        <v>0</v>
      </c>
      <c r="S4" s="73">
        <v>0</v>
      </c>
      <c r="T4" s="73">
        <v>0</v>
      </c>
      <c r="U4" s="73">
        <f t="shared" ref="U4:U40" si="6">Q4-R4-S4+T4+V4-W4-X4</f>
        <v>207673.00905041996</v>
      </c>
      <c r="V4" s="73">
        <f>'Stream 21 - Import'!B28</f>
        <v>45361.713530000001</v>
      </c>
      <c r="W4" s="73">
        <f>'Stream 22 - Re-Export'!B28</f>
        <v>2351.3028466666669</v>
      </c>
      <c r="X4" s="73">
        <f>Q4*(1-'US 2018 Facts - Sensitivity'!$B$6)</f>
        <v>82207.863952383559</v>
      </c>
      <c r="Y4" s="73">
        <f>'Stream 24 - Incineration'!B28</f>
        <v>48164.793771192737</v>
      </c>
      <c r="Z4" s="73">
        <f>(Y4+X4)-(Y4+X4)*'US 2018 Facts - Sensitivity'!$B$24</f>
        <v>13.037265772349201</v>
      </c>
      <c r="AA4" s="73">
        <f>'Stream 26 - Landfilled Plastic'!B28</f>
        <v>231422.56435172234</v>
      </c>
      <c r="AB4" s="73">
        <f>'Stream 27 - Export'!B28</f>
        <v>298691.71824333334</v>
      </c>
      <c r="AC4" s="73">
        <v>0</v>
      </c>
      <c r="AD4" s="73">
        <v>0</v>
      </c>
      <c r="AE4" s="73">
        <v>0</v>
      </c>
      <c r="AF4" s="73">
        <f>E4*'US 2018 Facts - Sensitivity'!$B$19</f>
        <v>612955.11529411771</v>
      </c>
      <c r="AG4" s="73">
        <v>0</v>
      </c>
      <c r="AH4" s="73">
        <f t="shared" si="2"/>
        <v>130372.6577235763</v>
      </c>
      <c r="AI4" s="73">
        <f t="shared" si="3"/>
        <v>-259010.20632786246</v>
      </c>
    </row>
    <row r="5" spans="1:35" x14ac:dyDescent="0.25">
      <c r="A5" s="72" t="s">
        <v>3</v>
      </c>
      <c r="B5" s="73">
        <f t="shared" si="1"/>
        <v>710974.45345352951</v>
      </c>
      <c r="C5" s="73">
        <v>0</v>
      </c>
      <c r="D5" s="73">
        <v>0</v>
      </c>
      <c r="E5" s="73">
        <f>'Stream 6 - PWaste Generated'!C7-SUM('Stream 6 - PWaste Generated'!B40:B46)</f>
        <v>743394.89882352948</v>
      </c>
      <c r="F5" s="73">
        <f>E5*'Migration Data - Use'!$B$16</f>
        <v>3.5053928690678733</v>
      </c>
      <c r="G5" s="73">
        <f t="shared" si="4"/>
        <v>743391.39343066036</v>
      </c>
      <c r="H5" s="73">
        <v>0</v>
      </c>
      <c r="I5" s="73">
        <f t="shared" si="5"/>
        <v>8875.7350588235295</v>
      </c>
      <c r="J5" s="73">
        <f>'Stream 9 - Litter'!B39</f>
        <v>14859.568621861927</v>
      </c>
      <c r="K5" s="73">
        <f t="shared" ref="K5:K26" si="7">G5-J5+I5</f>
        <v>737407.55986762187</v>
      </c>
      <c r="L5" s="73">
        <v>0</v>
      </c>
      <c r="M5" s="73">
        <v>0</v>
      </c>
      <c r="N5" s="73">
        <f>'Stream 13-PlasticCompost'!B39</f>
        <v>8875.7350588235295</v>
      </c>
      <c r="O5" s="73">
        <v>0</v>
      </c>
      <c r="P5" s="73">
        <v>0</v>
      </c>
      <c r="Q5" s="73">
        <f>'Stream 16 - MechRecyc'!B39</f>
        <v>0</v>
      </c>
      <c r="R5" s="73">
        <v>0</v>
      </c>
      <c r="S5" s="73">
        <v>0</v>
      </c>
      <c r="T5" s="73">
        <v>0</v>
      </c>
      <c r="U5" s="73">
        <f t="shared" si="6"/>
        <v>32420.445369999998</v>
      </c>
      <c r="V5" s="73">
        <f>'Stream 21 - Import'!B39</f>
        <v>32450.552029999999</v>
      </c>
      <c r="W5" s="73">
        <f>'Stream 22 - Re-Export'!B39</f>
        <v>30.106660000000002</v>
      </c>
      <c r="X5" s="73">
        <f>Q5*(1-'US 2018 Facts - Sensitivity'!$B$6)</f>
        <v>0</v>
      </c>
      <c r="Y5" s="73">
        <f>'Stream 24 - Incineration'!B39</f>
        <v>6411.3467390953883</v>
      </c>
      <c r="Z5" s="73">
        <f>(Y5+X5)-(Y5+X5)*'US 2018 Facts - Sensitivity'!$B$24</f>
        <v>0.64113467390961887</v>
      </c>
      <c r="AA5" s="73">
        <f>'Stream 26 - Landfilled Plastic'!B39</f>
        <v>30805.287163856261</v>
      </c>
      <c r="AB5" s="73">
        <f>'Stream 27 - Export'!B39</f>
        <v>121748.67657000003</v>
      </c>
      <c r="AC5" s="73">
        <v>0</v>
      </c>
      <c r="AD5" s="73">
        <v>0</v>
      </c>
      <c r="AE5" s="73">
        <v>0</v>
      </c>
      <c r="AF5" s="73">
        <f>E5*'US 2018 Facts - Sensitivity'!$B$19</f>
        <v>74339.489882352951</v>
      </c>
      <c r="AG5" s="73">
        <v>0</v>
      </c>
      <c r="AH5" s="73">
        <f t="shared" si="2"/>
        <v>6411.3467390953883</v>
      </c>
      <c r="AI5" s="73">
        <f t="shared" si="3"/>
        <v>-28674.634096634763</v>
      </c>
    </row>
    <row r="6" spans="1:35" x14ac:dyDescent="0.25">
      <c r="A6" s="72" t="s">
        <v>4</v>
      </c>
      <c r="B6" s="73">
        <f t="shared" si="1"/>
        <v>8214218.256439303</v>
      </c>
      <c r="C6" s="73">
        <v>0</v>
      </c>
      <c r="D6" s="73">
        <v>0</v>
      </c>
      <c r="E6" s="73">
        <f>'Stream 6 - PWaste Generated'!C8-SUM('Stream 6 - PWaste Generated'!G28:G34)</f>
        <v>8366179.5374789927</v>
      </c>
      <c r="F6" s="73">
        <f>E6*'Migration Data - Use'!$B$16</f>
        <v>39.44975428057402</v>
      </c>
      <c r="G6" s="73">
        <f t="shared" si="4"/>
        <v>8366140.0877247117</v>
      </c>
      <c r="H6" s="73">
        <v>0</v>
      </c>
      <c r="I6" s="73">
        <f t="shared" si="5"/>
        <v>99887.681697478984</v>
      </c>
      <c r="J6" s="73">
        <f>'Stream 9 - Litter'!G27</f>
        <v>167229.85204327761</v>
      </c>
      <c r="K6" s="73">
        <f t="shared" si="7"/>
        <v>8298797.9173789136</v>
      </c>
      <c r="L6" s="73">
        <v>0</v>
      </c>
      <c r="M6" s="73">
        <v>0</v>
      </c>
      <c r="N6" s="73">
        <f>'Stream 13-PlasticCompost'!G27</f>
        <v>99887.681697478984</v>
      </c>
      <c r="O6" s="73">
        <v>0</v>
      </c>
      <c r="P6" s="73">
        <v>0</v>
      </c>
      <c r="Q6" s="73">
        <f>'Stream 16 - MechRecyc'!G27</f>
        <v>163278.39383761588</v>
      </c>
      <c r="R6" s="73">
        <v>0</v>
      </c>
      <c r="S6" s="73">
        <v>0</v>
      </c>
      <c r="T6" s="73">
        <v>0</v>
      </c>
      <c r="U6" s="73">
        <f t="shared" si="6"/>
        <v>151961.28103968978</v>
      </c>
      <c r="V6" s="73">
        <f>'Stream 21 - Import'!G27</f>
        <v>45408.310530000002</v>
      </c>
      <c r="W6" s="73">
        <f>'Stream 22 - Re-Export'!G27</f>
        <v>2353.7181800000003</v>
      </c>
      <c r="X6" s="73">
        <f>Q6*(1-'US 2018 Facts - Sensitivity'!$B$6)</f>
        <v>54371.705147926084</v>
      </c>
      <c r="Y6" s="73">
        <f>'Stream 24 - Incineration'!G27</f>
        <v>69045.522808034133</v>
      </c>
      <c r="Z6" s="73">
        <f>(Y6+X6)-(Y6+X6)*'US 2018 Facts - Sensitivity'!$B$24</f>
        <v>12.341722795594251</v>
      </c>
      <c r="AA6" s="73">
        <f>'Stream 26 - Landfilled Plastic'!G27</f>
        <v>331750.44870216824</v>
      </c>
      <c r="AB6" s="73">
        <f>'Stream 27 - Export'!G27</f>
        <v>298998.54391000001</v>
      </c>
      <c r="AC6" s="73">
        <v>0</v>
      </c>
      <c r="AD6" s="73">
        <v>0</v>
      </c>
      <c r="AE6" s="73">
        <v>0</v>
      </c>
      <c r="AF6" s="73">
        <f>E6*'US 2018 Facts - Sensitivity'!$B$19</f>
        <v>836617.95374789927</v>
      </c>
      <c r="AG6" s="73">
        <v>0</v>
      </c>
      <c r="AH6" s="73">
        <f t="shared" si="2"/>
        <v>123417.22795596022</v>
      </c>
      <c r="AI6" s="73">
        <f t="shared" si="3"/>
        <v>-337637.65300245339</v>
      </c>
    </row>
    <row r="7" spans="1:35" x14ac:dyDescent="0.25">
      <c r="A7" s="72" t="s">
        <v>5</v>
      </c>
      <c r="B7" s="73">
        <f t="shared" si="1"/>
        <v>66336.016134453777</v>
      </c>
      <c r="C7" s="73">
        <v>0</v>
      </c>
      <c r="D7" s="73">
        <v>0</v>
      </c>
      <c r="E7" s="73">
        <f>'Stream 6 - PWaste Generated'!C9-SUM('Stream 6 - PWaste Generated'!G40:G46)</f>
        <v>66336.016134453777</v>
      </c>
      <c r="F7" s="73">
        <f>E7*'Migration Data - Use'!$B$16</f>
        <v>0.31279982992630895</v>
      </c>
      <c r="G7" s="73">
        <f t="shared" si="4"/>
        <v>66335.703334623846</v>
      </c>
      <c r="H7" s="73">
        <v>0</v>
      </c>
      <c r="I7" s="73">
        <f t="shared" si="5"/>
        <v>792.01633613445392</v>
      </c>
      <c r="J7" s="73">
        <f>'Stream 9 - Litter'!G39</f>
        <v>1325.9770620040963</v>
      </c>
      <c r="K7" s="73">
        <f t="shared" si="7"/>
        <v>65801.742608754212</v>
      </c>
      <c r="L7" s="73">
        <v>0</v>
      </c>
      <c r="M7" s="73">
        <v>0</v>
      </c>
      <c r="N7" s="73">
        <f>'Stream 13-PlasticCompost'!G39</f>
        <v>792.01633613445392</v>
      </c>
      <c r="O7" s="73">
        <v>0</v>
      </c>
      <c r="P7" s="73">
        <v>0</v>
      </c>
      <c r="Q7" s="73">
        <f>'Stream 16 - MechRecyc'!G39</f>
        <v>0</v>
      </c>
      <c r="R7" s="73">
        <v>0</v>
      </c>
      <c r="S7" s="73">
        <v>0</v>
      </c>
      <c r="T7" s="73">
        <v>0</v>
      </c>
      <c r="U7" s="73">
        <f t="shared" si="6"/>
        <v>0</v>
      </c>
      <c r="V7" s="73">
        <f>'Stream 21 - Import'!G39</f>
        <v>0</v>
      </c>
      <c r="W7" s="73">
        <f>'Stream 22 - Re-Export'!G39</f>
        <v>0</v>
      </c>
      <c r="X7" s="73">
        <f>Q7*(1-'US 2018 Facts - Sensitivity'!$B$6)</f>
        <v>0</v>
      </c>
      <c r="Y7" s="73">
        <f>'Stream 24 - Incineration'!G39</f>
        <v>572.10938816136513</v>
      </c>
      <c r="Z7" s="73">
        <f>(Y7+X7)-(Y7+X7)*'US 2018 Facts - Sensitivity'!$B$24</f>
        <v>5.7210938816183443E-2</v>
      </c>
      <c r="AA7" s="73">
        <f>'Stream 26 - Landfilled Plastic'!G39</f>
        <v>2748.875502861295</v>
      </c>
      <c r="AB7" s="73">
        <f>'Stream 27 - Export'!G39</f>
        <v>0</v>
      </c>
      <c r="AC7" s="73">
        <v>0</v>
      </c>
      <c r="AD7" s="73">
        <v>0</v>
      </c>
      <c r="AE7" s="73">
        <v>0</v>
      </c>
      <c r="AF7" s="73">
        <f>E7*'US 2018 Facts - Sensitivity'!$B$19</f>
        <v>6633.6016134453785</v>
      </c>
      <c r="AG7" s="73">
        <v>0</v>
      </c>
      <c r="AH7" s="73">
        <f t="shared" si="2"/>
        <v>572.10938816136513</v>
      </c>
      <c r="AI7" s="73">
        <f t="shared" si="3"/>
        <v>-2558.7490485799872</v>
      </c>
    </row>
    <row r="8" spans="1:35" x14ac:dyDescent="0.25">
      <c r="A8" s="72" t="s">
        <v>6</v>
      </c>
      <c r="B8" s="73">
        <f t="shared" si="1"/>
        <v>7982684.9664757997</v>
      </c>
      <c r="C8" s="73">
        <v>0</v>
      </c>
      <c r="D8" s="73">
        <v>0</v>
      </c>
      <c r="E8" s="73">
        <f>'Stream 6 - PWaste Generated'!C10-SUM('Stream 6 - PWaste Generated'!B52:B57)</f>
        <v>7997513.0890756305</v>
      </c>
      <c r="F8" s="73">
        <f>E8*'Migration Data - Use'!$B$16</f>
        <v>37.71135018156432</v>
      </c>
      <c r="G8" s="73">
        <f t="shared" si="4"/>
        <v>7997475.3777254494</v>
      </c>
      <c r="H8" s="73">
        <v>0</v>
      </c>
      <c r="I8" s="73">
        <f t="shared" si="5"/>
        <v>95486.002689075627</v>
      </c>
      <c r="J8" s="73">
        <f>'Stream 9 - Litter'!B51</f>
        <v>159860.65379171909</v>
      </c>
      <c r="K8" s="73">
        <f t="shared" si="7"/>
        <v>7933100.7266228059</v>
      </c>
      <c r="L8" s="73">
        <v>0</v>
      </c>
      <c r="M8" s="73">
        <v>0</v>
      </c>
      <c r="N8" s="73">
        <f>'Stream 13-PlasticCompost'!B51</f>
        <v>95486.002689075627</v>
      </c>
      <c r="O8" s="73">
        <v>0</v>
      </c>
      <c r="P8" s="73">
        <v>0</v>
      </c>
      <c r="Q8" s="73">
        <f>'Stream 16 - MechRecyc'!B51</f>
        <v>22231.068365562915</v>
      </c>
      <c r="R8" s="73">
        <v>0</v>
      </c>
      <c r="S8" s="73">
        <v>0</v>
      </c>
      <c r="T8" s="73">
        <v>0</v>
      </c>
      <c r="U8" s="73">
        <f t="shared" si="6"/>
        <v>14828.122599830465</v>
      </c>
      <c r="V8" s="73">
        <f>'Stream 21 - Import'!B51</f>
        <v>0</v>
      </c>
      <c r="W8" s="73">
        <f>'Stream 22 - Re-Export'!B51</f>
        <v>0</v>
      </c>
      <c r="X8" s="73">
        <f>Q8*(1-'US 2018 Facts - Sensitivity'!$B$6)</f>
        <v>7402.9457657324501</v>
      </c>
      <c r="Y8" s="73">
        <f>'Stream 24 - Incineration'!B51</f>
        <v>68550.725918685159</v>
      </c>
      <c r="Z8" s="73">
        <f>(Y8+X8)-(Y8+X8)*'US 2018 Facts - Sensitivity'!$B$24</f>
        <v>7.5953671684401343</v>
      </c>
      <c r="AA8" s="73">
        <f>'Stream 26 - Landfilled Plastic'!B51</f>
        <v>329373.04487666109</v>
      </c>
      <c r="AB8" s="73">
        <f>'Stream 27 - Export'!B51</f>
        <v>0</v>
      </c>
      <c r="AC8" s="73">
        <v>0</v>
      </c>
      <c r="AD8" s="73">
        <v>0</v>
      </c>
      <c r="AE8" s="73">
        <v>0</v>
      </c>
      <c r="AF8" s="73">
        <f>E8*'US 2018 Facts - Sensitivity'!$B$19</f>
        <v>799751.3089075631</v>
      </c>
      <c r="AG8" s="73">
        <v>0</v>
      </c>
      <c r="AH8" s="73">
        <f t="shared" si="2"/>
        <v>75953.671684417612</v>
      </c>
      <c r="AI8" s="73">
        <f t="shared" si="3"/>
        <v>-310517.61023918295</v>
      </c>
    </row>
    <row r="9" spans="1:35" x14ac:dyDescent="0.25">
      <c r="A9" s="72" t="s">
        <v>7</v>
      </c>
      <c r="B9" s="73">
        <f t="shared" si="1"/>
        <v>2200479.8673844649</v>
      </c>
      <c r="C9" s="73">
        <v>0</v>
      </c>
      <c r="D9" s="73">
        <v>0</v>
      </c>
      <c r="E9" s="73">
        <f>'Stream 6 - PWaste Generated'!C11-SUM('Stream 6 - PWaste Generated'!B68:B73)</f>
        <v>2225959.6647619046</v>
      </c>
      <c r="F9" s="73">
        <f>E9*'Migration Data - Use'!$B$16</f>
        <v>10.49625595768498</v>
      </c>
      <c r="G9" s="73">
        <f t="shared" si="4"/>
        <v>2225949.1685059471</v>
      </c>
      <c r="H9" s="73">
        <v>0</v>
      </c>
      <c r="I9" s="73">
        <f t="shared" si="5"/>
        <v>26576.760571428571</v>
      </c>
      <c r="J9" s="73">
        <f>'Stream 9 - Litter'!B67</f>
        <v>44494.252570702956</v>
      </c>
      <c r="K9" s="73">
        <f t="shared" si="7"/>
        <v>2208031.6765066725</v>
      </c>
      <c r="L9" s="73">
        <v>0</v>
      </c>
      <c r="M9" s="73">
        <v>0</v>
      </c>
      <c r="N9" s="73">
        <f>'Stream 13-PlasticCompost'!B67</f>
        <v>26576.760571428571</v>
      </c>
      <c r="O9" s="73">
        <v>0</v>
      </c>
      <c r="P9" s="73">
        <v>0</v>
      </c>
      <c r="Q9" s="73">
        <f>'Stream 16 - MechRecyc'!B67</f>
        <v>8925.4850336423842</v>
      </c>
      <c r="R9" s="73">
        <v>0</v>
      </c>
      <c r="S9" s="73">
        <v>0</v>
      </c>
      <c r="T9" s="73">
        <v>0</v>
      </c>
      <c r="U9" s="73">
        <f t="shared" si="6"/>
        <v>25479.79737743947</v>
      </c>
      <c r="V9" s="73">
        <f>'Stream 21 - Import'!B67</f>
        <v>19553.107090000001</v>
      </c>
      <c r="W9" s="73">
        <f>'Stream 22 - Re-Export'!B67</f>
        <v>26.608229999999999</v>
      </c>
      <c r="X9" s="73">
        <f>Q9*(1-'US 2018 Facts - Sensitivity'!$B$6)</f>
        <v>2972.1865162029135</v>
      </c>
      <c r="Y9" s="73">
        <f>'Stream 24 - Incineration'!B67</f>
        <v>19027.711505602892</v>
      </c>
      <c r="Z9" s="73">
        <f>(Y9+X9)-(Y9+X9)*'US 2018 Facts - Sensitivity'!$B$24</f>
        <v>2.1999898021786066</v>
      </c>
      <c r="AA9" s="73">
        <f>'Stream 26 - Landfilled Plastic'!B67</f>
        <v>91424.491741623162</v>
      </c>
      <c r="AB9" s="73">
        <f>'Stream 27 - Export'!B67</f>
        <v>27663.689789999997</v>
      </c>
      <c r="AC9" s="73">
        <v>0</v>
      </c>
      <c r="AD9" s="73">
        <v>0</v>
      </c>
      <c r="AE9" s="73">
        <v>0</v>
      </c>
      <c r="AF9" s="73">
        <f>E9*'US 2018 Facts - Sensitivity'!$B$19</f>
        <v>222595.96647619049</v>
      </c>
      <c r="AG9" s="73">
        <v>0</v>
      </c>
      <c r="AH9" s="73">
        <f t="shared" si="2"/>
        <v>21999.898021805806</v>
      </c>
      <c r="AI9" s="73">
        <f t="shared" si="3"/>
        <v>-86677.222163864353</v>
      </c>
    </row>
    <row r="10" spans="1:35" x14ac:dyDescent="0.25">
      <c r="A10" s="72" t="s">
        <v>85</v>
      </c>
      <c r="B10" s="73">
        <f t="shared" si="1"/>
        <v>2180623.8891749685</v>
      </c>
      <c r="C10" s="73">
        <v>0</v>
      </c>
      <c r="D10" s="73">
        <v>0</v>
      </c>
      <c r="E10" s="73">
        <f>'Stream 6 - PWaste Generated'!C12-SUM('Stream 6 - PWaste Generated'!G53:G69)</f>
        <v>2977806.0262184879</v>
      </c>
      <c r="F10" s="73">
        <f>E10*'Migration Data - Use'!$B$16</f>
        <v>14.041500723630254</v>
      </c>
      <c r="G10" s="73">
        <f t="shared" si="4"/>
        <v>2977791.9847177644</v>
      </c>
      <c r="H10" s="73">
        <v>0</v>
      </c>
      <c r="I10" s="73">
        <f t="shared" si="5"/>
        <v>35553.401546218491</v>
      </c>
      <c r="J10" s="73">
        <f>'Stream 9 - Litter'!G52</f>
        <v>59522.755750966753</v>
      </c>
      <c r="K10" s="73">
        <f t="shared" si="7"/>
        <v>2953822.6305130161</v>
      </c>
      <c r="L10" s="73">
        <v>0</v>
      </c>
      <c r="M10" s="73">
        <v>0</v>
      </c>
      <c r="N10" s="73">
        <f>'Stream 13-PlasticCompost'!G52</f>
        <v>35553.401546218491</v>
      </c>
      <c r="O10" s="73">
        <v>0</v>
      </c>
      <c r="P10" s="73">
        <v>0</v>
      </c>
      <c r="Q10" s="73">
        <f>'Stream 16 - MechRecyc'!G52</f>
        <v>360013.7032736424</v>
      </c>
      <c r="R10" s="73">
        <v>0</v>
      </c>
      <c r="S10" s="73">
        <v>0</v>
      </c>
      <c r="T10" s="73">
        <v>0</v>
      </c>
      <c r="U10" s="73">
        <f t="shared" si="6"/>
        <v>797182.13704351941</v>
      </c>
      <c r="V10" s="73">
        <f>'Stream 21 - Import'!G52</f>
        <v>557796.43331999995</v>
      </c>
      <c r="W10" s="73">
        <f>'Stream 22 - Re-Export'!G52</f>
        <v>743.43635999999992</v>
      </c>
      <c r="X10" s="73">
        <f>Q10*(1-'US 2018 Facts - Sensitivity'!$B$6)</f>
        <v>119884.56319012291</v>
      </c>
      <c r="Y10" s="73">
        <f>'Stream 24 - Incineration'!G52</f>
        <v>18829.231787321471</v>
      </c>
      <c r="Z10" s="73">
        <f>(Y10+X10)-(Y10+X10)*'US 2018 Facts - Sensitivity'!$B$24</f>
        <v>13.871379497752059</v>
      </c>
      <c r="AA10" s="73">
        <f>'Stream 26 - Landfilled Plastic'!G52</f>
        <v>90470.834894368745</v>
      </c>
      <c r="AB10" s="73">
        <f>'Stream 27 - Export'!G52</f>
        <v>389256.2591400001</v>
      </c>
      <c r="AC10" s="73">
        <v>0</v>
      </c>
      <c r="AD10" s="73">
        <v>0</v>
      </c>
      <c r="AE10" s="73">
        <v>0</v>
      </c>
      <c r="AF10" s="73">
        <f>E10*'US 2018 Facts - Sensitivity'!$B$19</f>
        <v>297780.60262184881</v>
      </c>
      <c r="AG10" s="73">
        <v>0</v>
      </c>
      <c r="AH10" s="73">
        <f t="shared" si="2"/>
        <v>138713.79497744437</v>
      </c>
      <c r="AI10" s="73">
        <f t="shared" si="3"/>
        <v>-147787.01197651331</v>
      </c>
    </row>
    <row r="11" spans="1:35" x14ac:dyDescent="0.25">
      <c r="A11" s="61" t="s">
        <v>9</v>
      </c>
      <c r="B11" s="73">
        <v>0</v>
      </c>
      <c r="C11" s="73">
        <f>E11-U11</f>
        <v>376880.6279651412</v>
      </c>
      <c r="D11" s="73">
        <v>0</v>
      </c>
      <c r="E11" s="73">
        <f>'Stream 6 - PWaste Generated'!B40+'Stream 6 - PWaste Generated'!G40+'Stream 6 - PWaste Generated'!G53</f>
        <v>508714.84593837539</v>
      </c>
      <c r="F11" s="73">
        <f>E11*'Migration Data - Use'!$B$17</f>
        <v>10146.689799824251</v>
      </c>
      <c r="G11" s="73">
        <f>E11-F11</f>
        <v>498568.15613855113</v>
      </c>
      <c r="H11" s="73">
        <v>0</v>
      </c>
      <c r="I11" s="73">
        <f t="shared" si="5"/>
        <v>6073.7815126050427</v>
      </c>
      <c r="J11" s="73">
        <f>'Stream 9 - Litter'!L5</f>
        <v>10168.59703253851</v>
      </c>
      <c r="K11" s="73">
        <f t="shared" si="7"/>
        <v>494473.34061861766</v>
      </c>
      <c r="L11" s="73">
        <v>0</v>
      </c>
      <c r="M11" s="73">
        <v>0</v>
      </c>
      <c r="N11" s="73">
        <f>'Stream 13-PlasticCompost'!L5</f>
        <v>6073.7815126050427</v>
      </c>
      <c r="O11" s="73">
        <v>0</v>
      </c>
      <c r="P11" s="73">
        <v>0</v>
      </c>
      <c r="Q11" s="73">
        <f>'Stream 16 - MechRecyc'!L5</f>
        <v>50265.798675496691</v>
      </c>
      <c r="R11" s="73">
        <v>0</v>
      </c>
      <c r="S11" s="73">
        <f>Q11*'US 2018 Facts - Sensitivity'!$B$23</f>
        <v>1005.3159735099339</v>
      </c>
      <c r="T11" s="73">
        <f>'Stream 19 - Contamination'!D15</f>
        <v>17874.146230187838</v>
      </c>
      <c r="U11" s="73">
        <f>Q11-R11-S11+T11+V11-W11-X11</f>
        <v>131834.21797323419</v>
      </c>
      <c r="V11" s="73">
        <f>'Stream 21 - Import'!L5</f>
        <v>81545.3</v>
      </c>
      <c r="W11" s="73">
        <f>'Stream 22 - Re-Export'!L5</f>
        <v>107.20000000000002</v>
      </c>
      <c r="X11" s="73">
        <f>Q11*(1-'US 2018 Facts - Sensitivity'!$B$6)</f>
        <v>16738.510958940395</v>
      </c>
      <c r="Y11" s="73">
        <f>'Stream 24 - Incineration'!L5</f>
        <v>3430.594524419846</v>
      </c>
      <c r="Z11" s="73">
        <f>(Y11+X11)-(Y11+X11)*'US 2018 Facts - Sensitivity'!$B$24</f>
        <v>2.0169105483364547</v>
      </c>
      <c r="AA11" s="73">
        <f>'Stream 26 - Landfilled Plastic'!L5</f>
        <v>16483.346443124567</v>
      </c>
      <c r="AB11" s="73">
        <f>'Stream 27 - Export'!L5</f>
        <v>68098.000000000015</v>
      </c>
      <c r="AC11" s="73">
        <v>0</v>
      </c>
      <c r="AD11" s="73">
        <v>0</v>
      </c>
      <c r="AE11" s="73">
        <v>0</v>
      </c>
      <c r="AF11" s="73">
        <f>E11*'US 2018 Facts - Sensitivity'!$B$19+(AA11+AD11)*0.00001</f>
        <v>50871.649427301978</v>
      </c>
      <c r="AG11" s="73">
        <v>0</v>
      </c>
      <c r="AH11" s="73">
        <f t="shared" si="2"/>
        <v>20169.105483360239</v>
      </c>
      <c r="AI11" s="73">
        <f t="shared" si="3"/>
        <v>-24219.705951638902</v>
      </c>
    </row>
    <row r="12" spans="1:35" x14ac:dyDescent="0.25">
      <c r="A12" s="61" t="s">
        <v>10</v>
      </c>
      <c r="B12" s="73">
        <v>0</v>
      </c>
      <c r="C12" s="73">
        <f t="shared" ref="C12:C26" si="8">E12-U12</f>
        <v>211395.99653765524</v>
      </c>
      <c r="D12" s="73">
        <v>0</v>
      </c>
      <c r="E12" s="73">
        <f>'Stream 6 - PWaste Generated'!B20+'Stream 6 - PWaste Generated'!B32+'Stream 6 - PWaste Generated'!B55+'Stream 6 - PWaste Generated'!G31+'Stream 6 - PWaste Generated'!G57</f>
        <v>227302.58823529416</v>
      </c>
      <c r="F12" s="73">
        <f>E12*'Migration Data - Use'!$B$17</f>
        <v>4533.7164266680347</v>
      </c>
      <c r="G12" s="73">
        <f t="shared" si="4"/>
        <v>222768.87180862611</v>
      </c>
      <c r="H12" s="73">
        <v>0</v>
      </c>
      <c r="I12" s="73">
        <f t="shared" si="5"/>
        <v>2713.8705882352942</v>
      </c>
      <c r="J12" s="73">
        <f>'Stream 9 - Litter'!L6</f>
        <v>4543.5049569945641</v>
      </c>
      <c r="K12" s="73">
        <f t="shared" si="7"/>
        <v>220939.23743986685</v>
      </c>
      <c r="L12" s="73">
        <v>0</v>
      </c>
      <c r="M12" s="73">
        <v>0</v>
      </c>
      <c r="N12" s="73">
        <f>'Stream 13-PlasticCompost'!L6</f>
        <v>2713.8705882352942</v>
      </c>
      <c r="O12" s="73">
        <v>0</v>
      </c>
      <c r="P12" s="73">
        <v>0</v>
      </c>
      <c r="Q12" s="73">
        <f>'Stream 16 - MechRecyc'!L6</f>
        <v>9509.7456953642395</v>
      </c>
      <c r="R12" s="73">
        <v>0</v>
      </c>
      <c r="S12" s="73">
        <f>Q12*'US 2018 Facts - Sensitivity'!$B$23</f>
        <v>190.19491390728479</v>
      </c>
      <c r="T12" s="73">
        <f>'Stream 19 - Contamination'!D16</f>
        <v>3381.5952327382397</v>
      </c>
      <c r="U12" s="73">
        <f t="shared" si="6"/>
        <v>15906.591697638902</v>
      </c>
      <c r="V12" s="73">
        <f>'Stream 21 - Import'!L6</f>
        <v>6430.1790000000001</v>
      </c>
      <c r="W12" s="73">
        <f>'Stream 22 - Re-Export'!L6</f>
        <v>57.988</v>
      </c>
      <c r="X12" s="73">
        <f>Q12*(1-'US 2018 Facts - Sensitivity'!$B$6)</f>
        <v>3166.7453165562915</v>
      </c>
      <c r="Y12" s="73">
        <f>'Stream 24 - Incineration'!L6</f>
        <v>1779.3407730552483</v>
      </c>
      <c r="Z12" s="73">
        <f>(Y12+X12)-(Y12+X12)*'US 2018 Facts - Sensitivity'!$B$24</f>
        <v>0.49460860896124359</v>
      </c>
      <c r="AA12" s="73">
        <f>'Stream 26 - Landfilled Plastic'!L6</f>
        <v>8549.389965462824</v>
      </c>
      <c r="AB12" s="73">
        <f>'Stream 27 - Export'!L6</f>
        <v>10247.748000000001</v>
      </c>
      <c r="AC12" s="73">
        <v>0</v>
      </c>
      <c r="AD12" s="73">
        <v>0</v>
      </c>
      <c r="AE12" s="73">
        <v>0</v>
      </c>
      <c r="AF12" s="73">
        <f>E12*'US 2018 Facts - Sensitivity'!$B$19+(AA12+AD12)*0.00001</f>
        <v>22730.344317429073</v>
      </c>
      <c r="AG12" s="73">
        <v>0</v>
      </c>
      <c r="AH12" s="73">
        <f t="shared" si="2"/>
        <v>4946.08608961154</v>
      </c>
      <c r="AI12" s="73">
        <f t="shared" si="3"/>
        <v>-9637.4493949716853</v>
      </c>
    </row>
    <row r="13" spans="1:35" x14ac:dyDescent="0.25">
      <c r="A13" s="61" t="s">
        <v>39</v>
      </c>
      <c r="B13" s="73">
        <v>0</v>
      </c>
      <c r="C13" s="73">
        <f t="shared" si="8"/>
        <v>264841.73173855036</v>
      </c>
      <c r="D13" s="73">
        <v>0</v>
      </c>
      <c r="E13" s="73">
        <f>'Stream 6 - PWaste Generated'!B19+'Stream 6 - PWaste Generated'!B30+'Stream 6 - PWaste Generated'!B33+'Stream 6 - PWaste Generated'!B43+'Stream 6 - PWaste Generated'!B54+'Stream 6 - PWaste Generated'!B70+'Stream 6 - PWaste Generated'!G30+'Stream 6 - PWaste Generated'!G32+'Stream 6 - PWaste Generated'!G41+'Stream 6 - PWaste Generated'!G55+'Stream 6 - PWaste Generated'!G63</f>
        <v>286089.63585434179</v>
      </c>
      <c r="F13" s="73">
        <f>E13*'Migration Data - Use'!$B$17</f>
        <v>5706.2671025534228</v>
      </c>
      <c r="G13" s="73">
        <f t="shared" si="4"/>
        <v>280383.36875178834</v>
      </c>
      <c r="H13" s="73">
        <v>0</v>
      </c>
      <c r="I13" s="73">
        <f t="shared" si="5"/>
        <v>3415.7563025210093</v>
      </c>
      <c r="J13" s="73">
        <f>'Stream 9 - Litter'!L7</f>
        <v>5718.587230970822</v>
      </c>
      <c r="K13" s="73">
        <f t="shared" si="7"/>
        <v>278080.53782333847</v>
      </c>
      <c r="L13" s="73">
        <v>0</v>
      </c>
      <c r="M13" s="73">
        <v>0</v>
      </c>
      <c r="N13" s="73">
        <f>'Stream 13-PlasticCompost'!L7</f>
        <v>3415.7563025210093</v>
      </c>
      <c r="O13" s="73">
        <v>0</v>
      </c>
      <c r="P13" s="73">
        <v>0</v>
      </c>
      <c r="Q13" s="73">
        <f>'Stream 16 - MechRecyc'!L7</f>
        <v>11964.165774834437</v>
      </c>
      <c r="R13" s="73">
        <v>0</v>
      </c>
      <c r="S13" s="73">
        <f>Q13*'US 2018 Facts - Sensitivity'!$B$23</f>
        <v>239.28331549668874</v>
      </c>
      <c r="T13" s="73">
        <f>'Stream 19 - Contamination'!D17</f>
        <v>4254.3688594735377</v>
      </c>
      <c r="U13" s="73">
        <f t="shared" si="6"/>
        <v>21247.904115791418</v>
      </c>
      <c r="V13" s="73">
        <f>'Stream 21 - Import'!L7</f>
        <v>9328.6190000000006</v>
      </c>
      <c r="W13" s="73">
        <f>'Stream 22 - Re-Export'!L7</f>
        <v>75.899000000000001</v>
      </c>
      <c r="X13" s="73">
        <f>Q13*(1-'US 2018 Facts - Sensitivity'!$B$6)</f>
        <v>3984.0672030198671</v>
      </c>
      <c r="Y13" s="73">
        <f>'Stream 24 - Incineration'!L7</f>
        <v>2239.6265710552975</v>
      </c>
      <c r="Z13" s="73">
        <f>(Y13+X13)-(Y13+X13)*'US 2018 Facts - Sensitivity'!$B$24</f>
        <v>0.62236937740726717</v>
      </c>
      <c r="AA13" s="73">
        <f>'Stream 26 - Landfilled Plastic'!L7</f>
        <v>10760.974638987578</v>
      </c>
      <c r="AB13" s="73">
        <f>'Stream 27 - Export'!L7</f>
        <v>14546.983000000004</v>
      </c>
      <c r="AC13" s="73">
        <v>0</v>
      </c>
      <c r="AD13" s="73">
        <v>0</v>
      </c>
      <c r="AE13" s="73">
        <v>0</v>
      </c>
      <c r="AF13" s="73">
        <f>E13*'US 2018 Facts - Sensitivity'!$B$19+(AA13+AD13)*0.00001</f>
        <v>28609.071195180568</v>
      </c>
      <c r="AG13" s="73">
        <v>0</v>
      </c>
      <c r="AH13" s="73">
        <f t="shared" si="2"/>
        <v>6223.6937740751646</v>
      </c>
      <c r="AI13" s="73">
        <f t="shared" si="3"/>
        <v>-12129.509325222167</v>
      </c>
    </row>
    <row r="14" spans="1:35" x14ac:dyDescent="0.25">
      <c r="A14" s="61" t="s">
        <v>40</v>
      </c>
      <c r="B14" s="73">
        <v>0</v>
      </c>
      <c r="C14" s="73">
        <f t="shared" si="8"/>
        <v>142462.18098005172</v>
      </c>
      <c r="D14" s="73">
        <v>0</v>
      </c>
      <c r="E14" s="73">
        <f>'Stream 6 - PWaste Generated'!B29+'Stream 6 - PWaste Generated'!B41+'Stream 6 - PWaste Generated'!B52+'Stream 6 - PWaste Generated'!B68+'Stream 6 - PWaste Generated'!G28+'Stream 6 - PWaste Generated'!G45+'Stream 6 - PWaste Generated'!G54</f>
        <v>151864.87394957984</v>
      </c>
      <c r="F14" s="73">
        <f>E14*'Migration Data - Use'!$B$17</f>
        <v>3029.0560217746461</v>
      </c>
      <c r="G14" s="73">
        <f t="shared" si="4"/>
        <v>148835.81792780518</v>
      </c>
      <c r="H14" s="73">
        <v>0</v>
      </c>
      <c r="I14" s="73">
        <f t="shared" si="5"/>
        <v>1813.1848739495799</v>
      </c>
      <c r="J14" s="73">
        <f>'Stream 9 - Litter'!L8</f>
        <v>3035.5959117764769</v>
      </c>
      <c r="K14" s="73">
        <f t="shared" si="7"/>
        <v>147613.4068899783</v>
      </c>
      <c r="L14" s="73">
        <v>0</v>
      </c>
      <c r="M14" s="73">
        <v>0</v>
      </c>
      <c r="N14" s="73">
        <f>'Stream 13-PlasticCompost'!L8</f>
        <v>1813.1848739495799</v>
      </c>
      <c r="O14" s="73">
        <v>0</v>
      </c>
      <c r="P14" s="73">
        <v>0</v>
      </c>
      <c r="Q14" s="73">
        <f>'Stream 16 - MechRecyc'!L8</f>
        <v>4777.5150993377483</v>
      </c>
      <c r="R14" s="73">
        <v>0</v>
      </c>
      <c r="S14" s="73">
        <f>Q14*'US 2018 Facts - Sensitivity'!$B$23</f>
        <v>95.550301986754974</v>
      </c>
      <c r="T14" s="73">
        <f>'Stream 19 - Contamination'!D18</f>
        <v>1698.8490335899251</v>
      </c>
      <c r="U14" s="73">
        <f t="shared" si="6"/>
        <v>9402.6929695281142</v>
      </c>
      <c r="V14" s="73">
        <f>'Stream 21 - Import'!L8</f>
        <v>4642.4399999999996</v>
      </c>
      <c r="W14" s="73">
        <f>'Stream 22 - Re-Export'!L8</f>
        <v>29.648333333333337</v>
      </c>
      <c r="X14" s="73">
        <f>Q14*(1-'US 2018 Facts - Sensitivity'!$B$6)</f>
        <v>1590.9125280794701</v>
      </c>
      <c r="Y14" s="73">
        <f>'Stream 24 - Incineration'!L8</f>
        <v>1218.8092104345885</v>
      </c>
      <c r="Z14" s="73">
        <f>(Y14+X14)-(Y14+X14)*'US 2018 Facts - Sensitivity'!$B$24</f>
        <v>0.28097217385129625</v>
      </c>
      <c r="AA14" s="73">
        <f>'Stream 26 - Landfilled Plastic'!L8</f>
        <v>5856.1436860749091</v>
      </c>
      <c r="AB14" s="73">
        <f>'Stream 27 - Export'!L8</f>
        <v>6613.5116666666672</v>
      </c>
      <c r="AC14" s="73">
        <v>0</v>
      </c>
      <c r="AD14" s="73">
        <v>0</v>
      </c>
      <c r="AE14" s="73">
        <v>0</v>
      </c>
      <c r="AF14" s="73">
        <f>E14*'US 2018 Facts - Sensitivity'!$B$19+(AA14+AD14)*0.00001</f>
        <v>15186.545956394846</v>
      </c>
      <c r="AG14" s="73">
        <v>0</v>
      </c>
      <c r="AH14" s="73">
        <f t="shared" si="2"/>
        <v>2809.7217385140584</v>
      </c>
      <c r="AI14" s="73">
        <f t="shared" si="3"/>
        <v>-6294.8063585434611</v>
      </c>
    </row>
    <row r="15" spans="1:35" x14ac:dyDescent="0.25">
      <c r="A15" s="61" t="s">
        <v>12</v>
      </c>
      <c r="B15" s="73">
        <v>0</v>
      </c>
      <c r="C15" s="73">
        <f t="shared" si="8"/>
        <v>22404.448379880152</v>
      </c>
      <c r="D15" s="73">
        <v>0</v>
      </c>
      <c r="E15" s="73">
        <f>'Stream 6 - PWaste Generated'!B42+'Stream 6 - PWaste Generated'!B53+'Stream 6 - PWaste Generated'!B69+'Stream 6 - PWaste Generated'!G29+'Stream 6 - PWaste Generated'!G68</f>
        <v>23986.554621848736</v>
      </c>
      <c r="F15" s="73">
        <f>E15*'Migration Data - Use'!$B$17</f>
        <v>478.42938152412961</v>
      </c>
      <c r="G15" s="73">
        <f t="shared" si="4"/>
        <v>23508.125240324607</v>
      </c>
      <c r="H15" s="73">
        <v>0</v>
      </c>
      <c r="I15" s="73">
        <f t="shared" si="5"/>
        <v>286.38655462184875</v>
      </c>
      <c r="J15" s="73">
        <f>'Stream 9 - Litter'!L9</f>
        <v>479.46233552244445</v>
      </c>
      <c r="K15" s="73">
        <f t="shared" si="7"/>
        <v>23315.049459424012</v>
      </c>
      <c r="L15" s="73">
        <v>0</v>
      </c>
      <c r="M15" s="73">
        <v>0</v>
      </c>
      <c r="N15" s="73">
        <f>'Stream 13-PlasticCompost'!L9</f>
        <v>286.38655462184875</v>
      </c>
      <c r="O15" s="73">
        <v>0</v>
      </c>
      <c r="P15" s="73">
        <v>0</v>
      </c>
      <c r="Q15" s="73">
        <f>'Stream 16 - MechRecyc'!L9</f>
        <v>701.90980132450329</v>
      </c>
      <c r="R15" s="73">
        <v>0</v>
      </c>
      <c r="S15" s="73">
        <f>Q15*'US 2018 Facts - Sensitivity'!$B$23</f>
        <v>14.038196026490066</v>
      </c>
      <c r="T15" s="73">
        <f>'Stream 19 - Contamination'!D19</f>
        <v>249.59393384496531</v>
      </c>
      <c r="U15" s="73">
        <f t="shared" si="6"/>
        <v>1582.1062419685857</v>
      </c>
      <c r="V15" s="73">
        <f>'Stream 21 - Import'!L9</f>
        <v>881.89100000000008</v>
      </c>
      <c r="W15" s="73">
        <f>'Stream 22 - Re-Export'!L9</f>
        <v>3.5143333333333331</v>
      </c>
      <c r="X15" s="73">
        <f>Q15*(1-'US 2018 Facts - Sensitivity'!$B$6)</f>
        <v>233.73596384105957</v>
      </c>
      <c r="Y15" s="73">
        <f>'Stream 24 - Incineration'!L9</f>
        <v>193.5096660131295</v>
      </c>
      <c r="Z15" s="73">
        <f>(Y15+X15)-(Y15+X15)*'US 2018 Facts - Sensitivity'!$B$24</f>
        <v>4.2724562985426928E-2</v>
      </c>
      <c r="AA15" s="73">
        <f>'Stream 26 - Landfilled Plastic'!L9</f>
        <v>929.77670263353389</v>
      </c>
      <c r="AB15" s="73">
        <f>'Stream 27 - Export'!L9</f>
        <v>1015.8766666666668</v>
      </c>
      <c r="AC15" s="73">
        <v>0</v>
      </c>
      <c r="AD15" s="73">
        <v>0</v>
      </c>
      <c r="AE15" s="73">
        <v>0</v>
      </c>
      <c r="AF15" s="73">
        <f>E15*'US 2018 Facts - Sensitivity'!$B$19+(AA15+AD15)*0.00001</f>
        <v>2398.6647599519001</v>
      </c>
      <c r="AG15" s="73">
        <v>0</v>
      </c>
      <c r="AH15" s="73">
        <f t="shared" si="2"/>
        <v>427.24562985418908</v>
      </c>
      <c r="AI15" s="73">
        <f t="shared" si="3"/>
        <v>-989.42572179592185</v>
      </c>
    </row>
    <row r="16" spans="1:35" x14ac:dyDescent="0.25">
      <c r="A16" s="61" t="s">
        <v>41</v>
      </c>
      <c r="B16" s="73">
        <v>0</v>
      </c>
      <c r="C16" s="73">
        <f t="shared" si="8"/>
        <v>3678.8566998194788</v>
      </c>
      <c r="D16" s="73">
        <v>0</v>
      </c>
      <c r="E16" s="73">
        <f>'Stream 6 - PWaste Generated'!B44+'Stream 6 - PWaste Generated'!G67</f>
        <v>4997.1988795518209</v>
      </c>
      <c r="F16" s="73">
        <f>E16*'Migration Data - Use'!$B$17</f>
        <v>99.672787817527023</v>
      </c>
      <c r="G16" s="73">
        <f t="shared" si="4"/>
        <v>4897.5260917342939</v>
      </c>
      <c r="H16" s="73">
        <v>0</v>
      </c>
      <c r="I16" s="73">
        <f t="shared" si="5"/>
        <v>59.663865546218489</v>
      </c>
      <c r="J16" s="73">
        <f>'Stream 9 - Litter'!L10</f>
        <v>99.887986567175929</v>
      </c>
      <c r="K16" s="73">
        <f t="shared" si="7"/>
        <v>4857.3019707133362</v>
      </c>
      <c r="L16" s="73">
        <v>0</v>
      </c>
      <c r="M16" s="73">
        <v>0</v>
      </c>
      <c r="N16" s="73">
        <f>'Stream 13-PlasticCompost'!L10</f>
        <v>59.663865546218489</v>
      </c>
      <c r="O16" s="73">
        <v>0</v>
      </c>
      <c r="P16" s="73">
        <v>0</v>
      </c>
      <c r="Q16" s="73">
        <f>'Stream 16 - MechRecyc'!L10</f>
        <v>502.65798675496688</v>
      </c>
      <c r="R16" s="73">
        <v>0</v>
      </c>
      <c r="S16" s="73">
        <f>Q16*'US 2018 Facts - Sensitivity'!$B$23</f>
        <v>10.053159735099339</v>
      </c>
      <c r="T16" s="73">
        <f>'Stream 19 - Contamination'!D20</f>
        <v>178.74146230187839</v>
      </c>
      <c r="U16" s="73">
        <f t="shared" si="6"/>
        <v>1318.3421797323422</v>
      </c>
      <c r="V16" s="73">
        <f>'Stream 21 - Import'!L10</f>
        <v>815.45300000000009</v>
      </c>
      <c r="W16" s="73">
        <f>'Stream 22 - Re-Export'!L10</f>
        <v>1.0720000000000001</v>
      </c>
      <c r="X16" s="73">
        <f>Q16*(1-'US 2018 Facts - Sensitivity'!$B$6)</f>
        <v>167.38510958940395</v>
      </c>
      <c r="Y16" s="73">
        <f>'Stream 24 - Incineration'!L10</f>
        <v>33.530182663299499</v>
      </c>
      <c r="Z16" s="73">
        <f>(Y16+X16)-(Y16+X16)*'US 2018 Facts - Sensitivity'!$B$24</f>
        <v>2.009152922525459E-2</v>
      </c>
      <c r="AA16" s="73">
        <f>'Stream 26 - Landfilled Plastic'!L10</f>
        <v>161.10607453204665</v>
      </c>
      <c r="AB16" s="73">
        <f>'Stream 27 - Export'!L10</f>
        <v>680.98000000000013</v>
      </c>
      <c r="AC16" s="73">
        <v>0</v>
      </c>
      <c r="AD16" s="73">
        <v>0</v>
      </c>
      <c r="AE16" s="73">
        <v>0</v>
      </c>
      <c r="AF16" s="73">
        <f>E16*'US 2018 Facts - Sensitivity'!$B$19+(AA16+AD16)*0.00001</f>
        <v>499.72149901592746</v>
      </c>
      <c r="AG16" s="73">
        <v>0</v>
      </c>
      <c r="AH16" s="73">
        <f t="shared" si="2"/>
        <v>200.91529225270347</v>
      </c>
      <c r="AI16" s="73">
        <f t="shared" si="3"/>
        <v>-238.7274379167049</v>
      </c>
    </row>
    <row r="17" spans="1:35" x14ac:dyDescent="0.25">
      <c r="A17" s="61" t="s">
        <v>42</v>
      </c>
      <c r="B17" s="73">
        <v>0</v>
      </c>
      <c r="C17" s="73">
        <f t="shared" si="8"/>
        <v>9935.4771843302042</v>
      </c>
      <c r="D17" s="73">
        <v>0</v>
      </c>
      <c r="E17" s="73">
        <f>'Stream 6 - PWaste Generated'!B21+'Stream 6 - PWaste Generated'!B71+'Stream 6 - PWaste Generated'!G69</f>
        <v>11703.439775910365</v>
      </c>
      <c r="F17" s="73">
        <f>E17*'Migration Data - Use'!$B$17</f>
        <v>233.4336690686483</v>
      </c>
      <c r="G17" s="73">
        <f t="shared" si="4"/>
        <v>11470.006106841716</v>
      </c>
      <c r="H17" s="73">
        <v>0</v>
      </c>
      <c r="I17" s="73">
        <f t="shared" si="5"/>
        <v>139.73277310924371</v>
      </c>
      <c r="J17" s="73">
        <f>'Stream 9 - Litter'!L11</f>
        <v>233.93766454032601</v>
      </c>
      <c r="K17" s="73">
        <f t="shared" si="7"/>
        <v>11375.801215410635</v>
      </c>
      <c r="L17" s="73">
        <v>0</v>
      </c>
      <c r="M17" s="73">
        <v>0</v>
      </c>
      <c r="N17" s="73">
        <f>'Stream 13-PlasticCompost'!L11</f>
        <v>139.73277310924371</v>
      </c>
      <c r="O17" s="73">
        <v>0</v>
      </c>
      <c r="P17" s="73">
        <v>0</v>
      </c>
      <c r="Q17" s="73">
        <f>'Stream 16 - MechRecyc'!L11</f>
        <v>923.80386754966889</v>
      </c>
      <c r="R17" s="73">
        <v>0</v>
      </c>
      <c r="S17" s="73">
        <f>Q17*'US 2018 Facts - Sensitivity'!$B$23</f>
        <v>18.476077350993378</v>
      </c>
      <c r="T17" s="73">
        <f>'Stream 19 - Contamination'!D21</f>
        <v>328.49782260885758</v>
      </c>
      <c r="U17" s="73">
        <f t="shared" si="6"/>
        <v>1767.9625915801603</v>
      </c>
      <c r="V17" s="73">
        <f>'Stream 21 - Import'!L11</f>
        <v>845.24400000000003</v>
      </c>
      <c r="W17" s="73">
        <f>'Stream 22 - Re-Export'!L11</f>
        <v>3.4803333333333333</v>
      </c>
      <c r="X17" s="73">
        <f>Q17*(1-'US 2018 Facts - Sensitivity'!$B$6)</f>
        <v>307.62668789403972</v>
      </c>
      <c r="Y17" s="73">
        <f>'Stream 24 - Incineration'!L11</f>
        <v>83.351379525477142</v>
      </c>
      <c r="Z17" s="73">
        <f>(Y17+X17)-(Y17+X17)*'US 2018 Facts - Sensitivity'!$B$24</f>
        <v>3.9097806741949626E-2</v>
      </c>
      <c r="AA17" s="73">
        <f>'Stream 26 - Landfilled Plastic'!L11</f>
        <v>400.48733694727275</v>
      </c>
      <c r="AB17" s="73">
        <f>'Stream 27 - Export'!L11</f>
        <v>878.38366666666673</v>
      </c>
      <c r="AC17" s="73">
        <v>0</v>
      </c>
      <c r="AD17" s="73">
        <v>0</v>
      </c>
      <c r="AE17" s="73">
        <v>0</v>
      </c>
      <c r="AF17" s="73">
        <f>E17*'US 2018 Facts - Sensitivity'!$B$19+(AA17+AD17)*0.00001</f>
        <v>1170.347982464406</v>
      </c>
      <c r="AG17" s="73">
        <v>0</v>
      </c>
      <c r="AH17" s="73">
        <f t="shared" si="2"/>
        <v>390.97806741951683</v>
      </c>
      <c r="AI17" s="73">
        <f t="shared" si="3"/>
        <v>-535.92298097680714</v>
      </c>
    </row>
    <row r="18" spans="1:35" x14ac:dyDescent="0.25">
      <c r="A18" s="61" t="s">
        <v>43</v>
      </c>
      <c r="B18" s="73">
        <v>0</v>
      </c>
      <c r="C18" s="73">
        <f t="shared" si="8"/>
        <v>2875.9402880547723</v>
      </c>
      <c r="D18" s="73">
        <v>0</v>
      </c>
      <c r="E18" s="73">
        <f>'Stream 6 - PWaste Generated'!G58</f>
        <v>4157.6694677871146</v>
      </c>
      <c r="F18" s="73">
        <f>E18*'Migration Data - Use'!$B$17</f>
        <v>82.927759464182472</v>
      </c>
      <c r="G18" s="73">
        <f t="shared" si="4"/>
        <v>4074.741708322932</v>
      </c>
      <c r="H18" s="73">
        <v>0</v>
      </c>
      <c r="I18" s="73">
        <f t="shared" si="5"/>
        <v>49.640336134453783</v>
      </c>
      <c r="J18" s="73">
        <f>'Stream 9 - Litter'!L12</f>
        <v>83.106804823890371</v>
      </c>
      <c r="K18" s="73">
        <f t="shared" si="7"/>
        <v>4041.2752396334954</v>
      </c>
      <c r="L18" s="73">
        <v>0</v>
      </c>
      <c r="M18" s="73">
        <v>0</v>
      </c>
      <c r="N18" s="73">
        <f>'Stream 13-PlasticCompost'!L12</f>
        <v>49.640336134453783</v>
      </c>
      <c r="O18" s="73">
        <v>0</v>
      </c>
      <c r="P18" s="73">
        <v>0</v>
      </c>
      <c r="Q18" s="73">
        <f>'Stream 16 - MechRecyc'!L12</f>
        <v>502.65798675496688</v>
      </c>
      <c r="R18" s="73">
        <v>0</v>
      </c>
      <c r="S18" s="73">
        <f>Q18*'US 2018 Facts - Sensitivity'!$B$23</f>
        <v>10.053159735099339</v>
      </c>
      <c r="T18" s="73">
        <f>'Stream 19 - Contamination'!D22</f>
        <v>178.74146230187839</v>
      </c>
      <c r="U18" s="73">
        <f t="shared" si="6"/>
        <v>1281.7291797323421</v>
      </c>
      <c r="V18" s="73">
        <f>'Stream 21 - Import'!L12</f>
        <v>778.80600000000004</v>
      </c>
      <c r="W18" s="73">
        <f>'Stream 22 - Re-Export'!L12</f>
        <v>1.038</v>
      </c>
      <c r="X18" s="73">
        <f>Q18*(1-'US 2018 Facts - Sensitivity'!$B$6)</f>
        <v>167.38510958940395</v>
      </c>
      <c r="Y18" s="73">
        <f>'Stream 24 - Incineration'!L12</f>
        <v>26.289731908242537</v>
      </c>
      <c r="Z18" s="73">
        <f>(Y18+X18)-(Y18+X18)*'US 2018 Facts - Sensitivity'!$B$24</f>
        <v>1.9367484149768188E-2</v>
      </c>
      <c r="AA18" s="73">
        <f>'Stream 26 - Landfilled Plastic'!L12</f>
        <v>126.31710213952243</v>
      </c>
      <c r="AB18" s="73">
        <f>'Stream 27 - Export'!L12</f>
        <v>543.48700000000008</v>
      </c>
      <c r="AC18" s="73">
        <v>0</v>
      </c>
      <c r="AD18" s="73">
        <v>0</v>
      </c>
      <c r="AE18" s="73">
        <v>0</v>
      </c>
      <c r="AF18" s="73">
        <f>E18*'US 2018 Facts - Sensitivity'!$B$19+(AA18+AD18)*0.00001</f>
        <v>415.76820994973286</v>
      </c>
      <c r="AG18" s="73">
        <v>0</v>
      </c>
      <c r="AH18" s="73">
        <f t="shared" si="2"/>
        <v>193.6748414976465</v>
      </c>
      <c r="AI18" s="73">
        <f t="shared" si="3"/>
        <v>-206.34430298632006</v>
      </c>
    </row>
    <row r="19" spans="1:35" x14ac:dyDescent="0.25">
      <c r="A19" s="61" t="s">
        <v>44</v>
      </c>
      <c r="B19" s="73">
        <v>0</v>
      </c>
      <c r="C19" s="73">
        <f t="shared" si="8"/>
        <v>14379.701440273864</v>
      </c>
      <c r="D19" s="73">
        <v>0</v>
      </c>
      <c r="E19" s="73">
        <f>'Stream 6 - PWaste Generated'!G59</f>
        <v>20788.347338935575</v>
      </c>
      <c r="F19" s="73">
        <f>E19*'Migration Data - Use'!$B$17</f>
        <v>414.63879732091237</v>
      </c>
      <c r="G19" s="73">
        <f t="shared" si="4"/>
        <v>20373.708541614662</v>
      </c>
      <c r="H19" s="73">
        <v>0</v>
      </c>
      <c r="I19" s="73">
        <f t="shared" si="5"/>
        <v>248.20168067226894</v>
      </c>
      <c r="J19" s="73">
        <f>'Stream 9 - Litter'!L13</f>
        <v>415.53402411945189</v>
      </c>
      <c r="K19" s="73">
        <f t="shared" si="7"/>
        <v>20206.376198167476</v>
      </c>
      <c r="L19" s="73">
        <v>0</v>
      </c>
      <c r="M19" s="73">
        <v>0</v>
      </c>
      <c r="N19" s="73">
        <f>'Stream 13-PlasticCompost'!L13</f>
        <v>248.20168067226894</v>
      </c>
      <c r="O19" s="73">
        <v>0</v>
      </c>
      <c r="P19" s="73">
        <v>0</v>
      </c>
      <c r="Q19" s="73">
        <f>'Stream 16 - MechRecyc'!L13</f>
        <v>2513.2899337748345</v>
      </c>
      <c r="R19" s="73">
        <v>0</v>
      </c>
      <c r="S19" s="73">
        <f>Q19*'US 2018 Facts - Sensitivity'!$B$23</f>
        <v>50.26579867549669</v>
      </c>
      <c r="T19" s="73">
        <f>'Stream 19 - Contamination'!D23</f>
        <v>893.70731150939184</v>
      </c>
      <c r="U19" s="73">
        <f t="shared" si="6"/>
        <v>6408.6458986617108</v>
      </c>
      <c r="V19" s="73">
        <f>'Stream 21 - Import'!L13</f>
        <v>3894.03</v>
      </c>
      <c r="W19" s="73">
        <f>'Stream 22 - Re-Export'!L13</f>
        <v>5.19</v>
      </c>
      <c r="X19" s="73">
        <f>Q19*(1-'US 2018 Facts - Sensitivity'!$B$6)</f>
        <v>836.92554794701982</v>
      </c>
      <c r="Y19" s="73">
        <f>'Stream 24 - Incineration'!L13</f>
        <v>131.44865954121266</v>
      </c>
      <c r="Z19" s="73">
        <f>(Y19+X19)-(Y19+X19)*'US 2018 Facts - Sensitivity'!$B$24</f>
        <v>9.6837420748784098E-2</v>
      </c>
      <c r="AA19" s="73">
        <f>'Stream 26 - Landfilled Plastic'!L13</f>
        <v>631.58551069761211</v>
      </c>
      <c r="AB19" s="73">
        <f>'Stream 27 - Export'!L13</f>
        <v>2717.4350000000009</v>
      </c>
      <c r="AC19" s="73">
        <v>0</v>
      </c>
      <c r="AD19" s="73">
        <v>0</v>
      </c>
      <c r="AE19" s="73">
        <v>0</v>
      </c>
      <c r="AF19" s="73">
        <f>E19*'US 2018 Facts - Sensitivity'!$B$19+(AA19+AD19)*0.00001</f>
        <v>2078.8410497486648</v>
      </c>
      <c r="AG19" s="73">
        <v>0</v>
      </c>
      <c r="AH19" s="73">
        <f t="shared" si="2"/>
        <v>968.37420748823251</v>
      </c>
      <c r="AI19" s="73">
        <f t="shared" si="3"/>
        <v>-1031.7215149316007</v>
      </c>
    </row>
    <row r="20" spans="1:35" x14ac:dyDescent="0.25">
      <c r="A20" s="61" t="s">
        <v>45</v>
      </c>
      <c r="B20" s="73">
        <v>0</v>
      </c>
      <c r="C20" s="73">
        <f t="shared" si="8"/>
        <v>29.658898678867061</v>
      </c>
      <c r="D20" s="73">
        <v>0</v>
      </c>
      <c r="E20" s="73">
        <f>'Stream 6 - PWaste Generated'!G44+'Stream 6 - PWaste Generated'!G60</f>
        <v>42.476190476190482</v>
      </c>
      <c r="F20" s="73">
        <f>E20*'Migration Data - Use'!$B$17</f>
        <v>0.84721869644897974</v>
      </c>
      <c r="G20" s="73">
        <f t="shared" si="4"/>
        <v>41.628971779741505</v>
      </c>
      <c r="H20" s="73">
        <v>0</v>
      </c>
      <c r="I20" s="73">
        <f t="shared" si="5"/>
        <v>0.50714285714285723</v>
      </c>
      <c r="J20" s="73">
        <f>'Stream 9 - Litter'!L14</f>
        <v>0.84904788582099544</v>
      </c>
      <c r="K20" s="73">
        <f t="shared" si="7"/>
        <v>41.287066751063371</v>
      </c>
      <c r="L20" s="73">
        <v>0</v>
      </c>
      <c r="M20" s="73">
        <v>0</v>
      </c>
      <c r="N20" s="73">
        <f>'Stream 13-PlasticCompost'!L14</f>
        <v>0.50714285714285723</v>
      </c>
      <c r="O20" s="73">
        <v>0</v>
      </c>
      <c r="P20" s="73">
        <v>0</v>
      </c>
      <c r="Q20" s="73">
        <f>'Stream 16 - MechRecyc'!L14</f>
        <v>5.0265798675496693</v>
      </c>
      <c r="R20" s="73">
        <v>0</v>
      </c>
      <c r="S20" s="73">
        <f>Q20*'US 2018 Facts - Sensitivity'!$B$23</f>
        <v>0.10053159735099339</v>
      </c>
      <c r="T20" s="73">
        <f>'Stream 19 - Contamination'!D24</f>
        <v>1.7874146230187837</v>
      </c>
      <c r="U20" s="73">
        <f t="shared" si="6"/>
        <v>12.817291797323419</v>
      </c>
      <c r="V20" s="73">
        <f>'Stream 21 - Import'!L14</f>
        <v>7.7880600000000006</v>
      </c>
      <c r="W20" s="73">
        <f>'Stream 22 - Re-Export'!L14</f>
        <v>1.038E-2</v>
      </c>
      <c r="X20" s="73">
        <f>Q20*(1-'US 2018 Facts - Sensitivity'!$B$6)</f>
        <v>1.6738510958940398</v>
      </c>
      <c r="Y20" s="73">
        <f>'Stream 24 - Incineration'!L14</f>
        <v>0.27065494489141495</v>
      </c>
      <c r="Z20" s="73">
        <f>(Y20+X20)-(Y20+X20)*'US 2018 Facts - Sensitivity'!$B$24</f>
        <v>1.944506040785221E-4</v>
      </c>
      <c r="AA20" s="73">
        <f>'Stream 26 - Landfilled Plastic'!L14</f>
        <v>1.3004449203872146</v>
      </c>
      <c r="AB20" s="73">
        <f>'Stream 27 - Export'!L14</f>
        <v>5.4348700000000019</v>
      </c>
      <c r="AC20" s="73">
        <v>0</v>
      </c>
      <c r="AD20" s="73">
        <v>0</v>
      </c>
      <c r="AE20" s="73">
        <v>0</v>
      </c>
      <c r="AF20" s="73">
        <f>E20*'US 2018 Facts - Sensitivity'!$B$19+(AA20+AD20)*0.00001</f>
        <v>4.2476320520682522</v>
      </c>
      <c r="AG20" s="73">
        <v>0</v>
      </c>
      <c r="AH20" s="73">
        <f t="shared" si="2"/>
        <v>1.9445060407854546</v>
      </c>
      <c r="AI20" s="73">
        <f t="shared" si="3"/>
        <v>-2.0981392458600423</v>
      </c>
    </row>
    <row r="21" spans="1:35" x14ac:dyDescent="0.25">
      <c r="A21" s="61" t="s">
        <v>11</v>
      </c>
      <c r="B21" s="73">
        <v>0</v>
      </c>
      <c r="C21" s="73">
        <f t="shared" si="8"/>
        <v>50924.257440957183</v>
      </c>
      <c r="D21" s="73">
        <v>0</v>
      </c>
      <c r="E21" s="73">
        <f>'Stream 6 - PWaste Generated'!B31+'Stream 6 - PWaste Generated'!B45+'Stream 6 - PWaste Generated'!G56+'Stream 6 - PWaste Generated'!G46+'Stream 6 - PWaste Generated'!G33+'Stream 6 - PWaste Generated'!B72</f>
        <v>55568.851540616248</v>
      </c>
      <c r="F21" s="73">
        <f>E21*'Migration Data - Use'!$B$17</f>
        <v>1108.3614005309005</v>
      </c>
      <c r="G21" s="73">
        <f t="shared" si="4"/>
        <v>54460.490140085349</v>
      </c>
      <c r="H21" s="73">
        <v>0</v>
      </c>
      <c r="I21" s="73">
        <f t="shared" si="5"/>
        <v>663.46218487394958</v>
      </c>
      <c r="J21" s="73">
        <f>'Stream 9 - Litter'!L15</f>
        <v>1110.7544106269963</v>
      </c>
      <c r="K21" s="73">
        <f t="shared" si="7"/>
        <v>54013.197914332297</v>
      </c>
      <c r="L21" s="73">
        <v>0</v>
      </c>
      <c r="M21" s="73">
        <v>0</v>
      </c>
      <c r="N21" s="73">
        <f>'Stream 13-PlasticCompost'!L15</f>
        <v>663.46218487394958</v>
      </c>
      <c r="O21" s="73">
        <v>0</v>
      </c>
      <c r="P21" s="73">
        <v>0</v>
      </c>
      <c r="Q21" s="73">
        <f>'Stream 16 - MechRecyc'!L15</f>
        <v>2332.1519205298014</v>
      </c>
      <c r="R21" s="73">
        <v>0</v>
      </c>
      <c r="S21" s="73">
        <f>Q21*'US 2018 Facts - Sensitivity'!$B$23</f>
        <v>46.643038410596027</v>
      </c>
      <c r="T21" s="73">
        <f>'Stream 19 - Contamination'!D25</f>
        <v>829.29597374294917</v>
      </c>
      <c r="U21" s="73">
        <f t="shared" si="6"/>
        <v>4644.5940996590653</v>
      </c>
      <c r="V21" s="73">
        <f>'Stream 21 - Import'!L15</f>
        <v>2321.2200000000003</v>
      </c>
      <c r="W21" s="73">
        <f>'Stream 22 - Re-Export'!L15</f>
        <v>14.824166666666668</v>
      </c>
      <c r="X21" s="73">
        <f>Q21*(1-'US 2018 Facts - Sensitivity'!$B$6)</f>
        <v>776.60658953642383</v>
      </c>
      <c r="Y21" s="73">
        <f>'Stream 24 - Incineration'!L15</f>
        <v>434.85802451502821</v>
      </c>
      <c r="Z21" s="73">
        <f>(Y21+X21)-(Y21+X21)*'US 2018 Facts - Sensitivity'!$B$24</f>
        <v>0.12114646140503282</v>
      </c>
      <c r="AA21" s="73">
        <f>'Stream 26 - Landfilled Plastic'!L15</f>
        <v>2089.409115717674</v>
      </c>
      <c r="AB21" s="73">
        <f>'Stream 27 - Export'!L15</f>
        <v>3306.7558333333341</v>
      </c>
      <c r="AC21" s="73">
        <v>0</v>
      </c>
      <c r="AD21" s="73">
        <v>0</v>
      </c>
      <c r="AE21" s="73">
        <v>0</v>
      </c>
      <c r="AF21" s="73">
        <f>E21*'US 2018 Facts - Sensitivity'!$B$19+(AA21+AD21)*0.00001</f>
        <v>5556.9060481527822</v>
      </c>
      <c r="AG21" s="73">
        <v>0</v>
      </c>
      <c r="AH21" s="73">
        <f t="shared" si="2"/>
        <v>1211.4646140514519</v>
      </c>
      <c r="AI21" s="73">
        <f t="shared" si="3"/>
        <v>-2356.7425218081116</v>
      </c>
    </row>
    <row r="22" spans="1:35" x14ac:dyDescent="0.25">
      <c r="A22" s="61" t="s">
        <v>46</v>
      </c>
      <c r="B22" s="73">
        <v>0</v>
      </c>
      <c r="C22" s="73">
        <f t="shared" si="8"/>
        <v>332.32184000513217</v>
      </c>
      <c r="D22" s="73">
        <v>0</v>
      </c>
      <c r="E22" s="73">
        <f>'Stream 6 - PWaste Generated'!B23+'Stream 6 - PWaste Generated'!B34+'Stream 6 - PWaste Generated'!B46+'Stream 6 - PWaste Generated'!B57+'Stream 6 - PWaste Generated'!B73+'Stream 6 - PWaste Generated'!G34+'Stream 6 - PWaste Generated'!G64</f>
        <v>355.70061624649861</v>
      </c>
      <c r="F22" s="73">
        <f>E22*'Migration Data - Use'!$B$17</f>
        <v>7.0947090368515733</v>
      </c>
      <c r="G22" s="73">
        <f t="shared" si="4"/>
        <v>348.60590720964706</v>
      </c>
      <c r="H22" s="73">
        <v>0</v>
      </c>
      <c r="I22" s="73">
        <f t="shared" si="5"/>
        <v>4.2468739495798324</v>
      </c>
      <c r="J22" s="73">
        <f>'Stream 9 - Litter'!L16</f>
        <v>7.1100268838515843</v>
      </c>
      <c r="K22" s="73">
        <f t="shared" si="7"/>
        <v>345.74275427537532</v>
      </c>
      <c r="L22" s="73">
        <v>0</v>
      </c>
      <c r="M22" s="73">
        <v>0</v>
      </c>
      <c r="N22" s="73">
        <f>'Stream 13-PlasticCompost'!L16</f>
        <v>4.2468739495798324</v>
      </c>
      <c r="O22" s="73">
        <v>0</v>
      </c>
      <c r="P22" s="73">
        <v>0</v>
      </c>
      <c r="Q22" s="73">
        <f>'Stream 16 - MechRecyc'!L16</f>
        <v>13.67592</v>
      </c>
      <c r="R22" s="73">
        <v>0</v>
      </c>
      <c r="S22" s="73">
        <f>Q22*'US 2018 Facts - Sensitivity'!$B$23</f>
        <v>0.27351839999999999</v>
      </c>
      <c r="T22" s="73">
        <f>'Stream 19 - Contamination'!D26</f>
        <v>4.863056001366421</v>
      </c>
      <c r="U22" s="73">
        <f t="shared" si="6"/>
        <v>23.378776241366424</v>
      </c>
      <c r="V22" s="73">
        <f>'Stream 21 - Import'!L16</f>
        <v>9.7508500000000016</v>
      </c>
      <c r="W22" s="73">
        <f>'Stream 22 - Re-Export'!L16</f>
        <v>8.345000000000001E-2</v>
      </c>
      <c r="X22" s="73">
        <f>Q22*(1-'US 2018 Facts - Sensitivity'!$B$6)</f>
        <v>4.5540813599999996</v>
      </c>
      <c r="Y22" s="73">
        <f>'Stream 24 - Incineration'!L16</f>
        <v>2.8073985844310152</v>
      </c>
      <c r="Z22" s="73">
        <f>(Y22+X22)-(Y22+X22)*'US 2018 Facts - Sensitivity'!$B$24</f>
        <v>7.3614799444321477E-4</v>
      </c>
      <c r="AA22" s="73">
        <f>'Stream 26 - Landfilled Plastic'!L16</f>
        <v>13.489009890768019</v>
      </c>
      <c r="AB22" s="73">
        <f>'Stream 27 - Export'!L16</f>
        <v>16.295280000000005</v>
      </c>
      <c r="AC22" s="73">
        <v>0</v>
      </c>
      <c r="AD22" s="73">
        <v>0</v>
      </c>
      <c r="AE22" s="73">
        <v>0</v>
      </c>
      <c r="AF22" s="73">
        <f>E22*'US 2018 Facts - Sensitivity'!$B$19+(AA22+AD22)*0.00001</f>
        <v>35.570196514748766</v>
      </c>
      <c r="AG22" s="73">
        <v>0</v>
      </c>
      <c r="AH22" s="73">
        <f t="shared" si="2"/>
        <v>7.3614799444310144</v>
      </c>
      <c r="AI22" s="73">
        <f t="shared" si="3"/>
        <v>-14.971159740129163</v>
      </c>
    </row>
    <row r="23" spans="1:35" x14ac:dyDescent="0.25">
      <c r="A23" s="61" t="s">
        <v>48</v>
      </c>
      <c r="B23" s="73">
        <v>0</v>
      </c>
      <c r="C23" s="73">
        <f t="shared" si="8"/>
        <v>2374.2556338025574</v>
      </c>
      <c r="D23" s="73">
        <v>0</v>
      </c>
      <c r="E23" s="73">
        <f>'Stream 6 - PWaste Generated'!B22+'Stream 6 - PWaste Generated'!B56+'Stream 6 - PWaste Generated'!G61</f>
        <v>2638.5210084033611</v>
      </c>
      <c r="F23" s="73">
        <f>E23*'Migration Data - Use'!$B$17</f>
        <v>52.627231967654261</v>
      </c>
      <c r="G23" s="73">
        <f t="shared" si="4"/>
        <v>2585.893776435707</v>
      </c>
      <c r="H23" s="73">
        <v>0</v>
      </c>
      <c r="I23" s="73">
        <f t="shared" si="5"/>
        <v>31.50252100840336</v>
      </c>
      <c r="J23" s="73">
        <f>'Stream 9 - Litter'!L17</f>
        <v>52.740856907468881</v>
      </c>
      <c r="K23" s="73">
        <f t="shared" si="7"/>
        <v>2564.6554405366414</v>
      </c>
      <c r="L23" s="73">
        <v>0</v>
      </c>
      <c r="M23" s="73">
        <v>0</v>
      </c>
      <c r="N23" s="73">
        <f>'Stream 13-PlasticCompost'!L17</f>
        <v>31.50252100840336</v>
      </c>
      <c r="O23" s="73">
        <v>0</v>
      </c>
      <c r="P23" s="73">
        <v>0</v>
      </c>
      <c r="Q23" s="73">
        <f>'Stream 16 - MechRecyc'!L17</f>
        <v>140.60838278145692</v>
      </c>
      <c r="R23" s="73">
        <v>0</v>
      </c>
      <c r="S23" s="73">
        <f>Q23*'US 2018 Facts - Sensitivity'!$B$23</f>
        <v>2.8121676556291386</v>
      </c>
      <c r="T23" s="73">
        <f>'Stream 19 - Contamination'!D27</f>
        <v>49.999300941201106</v>
      </c>
      <c r="U23" s="73">
        <f t="shared" si="6"/>
        <v>264.26537460080374</v>
      </c>
      <c r="V23" s="73">
        <f>'Stream 21 - Import'!L17</f>
        <v>123.81044999999999</v>
      </c>
      <c r="W23" s="73">
        <f>'Stream 22 - Re-Export'!L17</f>
        <v>0.51800000000000002</v>
      </c>
      <c r="X23" s="73">
        <f>Q23*(1-'US 2018 Facts - Sensitivity'!$B$6)</f>
        <v>46.822591466225148</v>
      </c>
      <c r="Y23" s="73">
        <f>'Stream 24 - Incineration'!L17</f>
        <v>20.079321468934751</v>
      </c>
      <c r="Z23" s="73">
        <f>(Y23+X23)-(Y23+X23)*'US 2018 Facts - Sensitivity'!$B$24</f>
        <v>6.6901912935151131E-3</v>
      </c>
      <c r="AA23" s="73">
        <f>'Stream 26 - Landfilled Plastic'!L17</f>
        <v>96.477275224268013</v>
      </c>
      <c r="AB23" s="73">
        <f>'Stream 27 - Export'!L17</f>
        <v>127.54690000000001</v>
      </c>
      <c r="AC23" s="73">
        <v>0</v>
      </c>
      <c r="AD23" s="73">
        <v>0</v>
      </c>
      <c r="AE23" s="73">
        <v>0</v>
      </c>
      <c r="AF23" s="73">
        <f>E23*'US 2018 Facts - Sensitivity'!$B$19+(AA23+AD23)*0.00001</f>
        <v>263.85306561308835</v>
      </c>
      <c r="AG23" s="73">
        <v>0</v>
      </c>
      <c r="AH23" s="73">
        <f t="shared" si="2"/>
        <v>66.901912935159899</v>
      </c>
      <c r="AI23" s="73">
        <f t="shared" si="3"/>
        <v>-114.63493348135145</v>
      </c>
    </row>
    <row r="24" spans="1:35" x14ac:dyDescent="0.25">
      <c r="A24" s="61" t="s">
        <v>50</v>
      </c>
      <c r="B24" s="73">
        <v>0</v>
      </c>
      <c r="C24" s="73">
        <f t="shared" si="8"/>
        <v>287.59402880547731</v>
      </c>
      <c r="D24" s="73">
        <v>0</v>
      </c>
      <c r="E24" s="73">
        <f>'Stream 6 - PWaste Generated'!G62</f>
        <v>415.76694677871149</v>
      </c>
      <c r="F24" s="73">
        <f>E24*'Migration Data - Use'!$B$17</f>
        <v>8.2927759464182476</v>
      </c>
      <c r="G24" s="73">
        <f t="shared" si="4"/>
        <v>407.47417083229323</v>
      </c>
      <c r="H24" s="73">
        <v>0</v>
      </c>
      <c r="I24" s="73">
        <f t="shared" si="5"/>
        <v>4.9640336134453786</v>
      </c>
      <c r="J24" s="73">
        <f>'Stream 9 - Litter'!L18</f>
        <v>8.3106804823890368</v>
      </c>
      <c r="K24" s="73">
        <f t="shared" si="7"/>
        <v>404.12752396334957</v>
      </c>
      <c r="L24" s="73">
        <v>0</v>
      </c>
      <c r="M24" s="73">
        <v>0</v>
      </c>
      <c r="N24" s="73">
        <f>'Stream 13-PlasticCompost'!L18</f>
        <v>4.9640336134453786</v>
      </c>
      <c r="O24" s="73">
        <v>0</v>
      </c>
      <c r="P24" s="73">
        <v>0</v>
      </c>
      <c r="Q24" s="73">
        <f>'Stream 16 - MechRecyc'!L18</f>
        <v>50.26579867549669</v>
      </c>
      <c r="R24" s="73">
        <v>0</v>
      </c>
      <c r="S24" s="73">
        <f>Q24*'US 2018 Facts - Sensitivity'!$B$23</f>
        <v>1.0053159735099337</v>
      </c>
      <c r="T24" s="73">
        <f>'Stream 19 - Contamination'!D28</f>
        <v>17.874146230187836</v>
      </c>
      <c r="U24" s="73">
        <f t="shared" si="6"/>
        <v>128.17291797323418</v>
      </c>
      <c r="V24" s="73">
        <f>'Stream 21 - Import'!L18</f>
        <v>77.880600000000001</v>
      </c>
      <c r="W24" s="73">
        <f>'Stream 22 - Re-Export'!L18</f>
        <v>0.1038</v>
      </c>
      <c r="X24" s="73">
        <f>Q24*(1-'US 2018 Facts - Sensitivity'!$B$6)</f>
        <v>16.738510958940395</v>
      </c>
      <c r="Y24" s="73">
        <f>'Stream 24 - Incineration'!L18</f>
        <v>2.6289731908242535</v>
      </c>
      <c r="Z24" s="73">
        <f>(Y24+X24)-(Y24+X24)*'US 2018 Facts - Sensitivity'!$B$24</f>
        <v>1.9367484149768188E-3</v>
      </c>
      <c r="AA24" s="73">
        <f>'Stream 26 - Landfilled Plastic'!L18</f>
        <v>12.631710213952243</v>
      </c>
      <c r="AB24" s="73">
        <f>'Stream 27 - Export'!L18</f>
        <v>54.348700000000015</v>
      </c>
      <c r="AC24" s="73">
        <v>0</v>
      </c>
      <c r="AD24" s="73">
        <v>0</v>
      </c>
      <c r="AE24" s="73">
        <v>0</v>
      </c>
      <c r="AF24" s="73">
        <f>E24*'US 2018 Facts - Sensitivity'!$B$19+(AA24+AD24)*0.00001</f>
        <v>41.576820994973289</v>
      </c>
      <c r="AG24" s="73">
        <v>0</v>
      </c>
      <c r="AH24" s="73">
        <f t="shared" si="2"/>
        <v>19.36748414976465</v>
      </c>
      <c r="AI24" s="73">
        <f t="shared" si="3"/>
        <v>-20.634430298632012</v>
      </c>
    </row>
    <row r="25" spans="1:35" x14ac:dyDescent="0.25">
      <c r="A25" s="61" t="s">
        <v>14</v>
      </c>
      <c r="B25" s="73">
        <v>0</v>
      </c>
      <c r="C25" s="73">
        <f t="shared" si="8"/>
        <v>29.658898678867061</v>
      </c>
      <c r="D25" s="73">
        <v>0</v>
      </c>
      <c r="E25" s="73">
        <f>'Stream 6 - PWaste Generated'!G42+'Stream 6 - PWaste Generated'!G65</f>
        <v>42.476190476190482</v>
      </c>
      <c r="F25" s="73">
        <f>E25*'Migration Data - Use'!$B$17</f>
        <v>0.84721869644897974</v>
      </c>
      <c r="G25" s="73">
        <f t="shared" si="4"/>
        <v>41.628971779741505</v>
      </c>
      <c r="H25" s="73">
        <v>0</v>
      </c>
      <c r="I25" s="73">
        <f t="shared" si="5"/>
        <v>0.50714285714285723</v>
      </c>
      <c r="J25" s="73">
        <f>'Stream 9 - Litter'!L19</f>
        <v>0.84904788582099544</v>
      </c>
      <c r="K25" s="73">
        <f t="shared" si="7"/>
        <v>41.287066751063371</v>
      </c>
      <c r="L25" s="73">
        <v>0</v>
      </c>
      <c r="M25" s="73">
        <v>0</v>
      </c>
      <c r="N25" s="73">
        <f>'Stream 13-PlasticCompost'!L19</f>
        <v>0.50714285714285723</v>
      </c>
      <c r="O25" s="73">
        <v>0</v>
      </c>
      <c r="P25" s="73">
        <v>0</v>
      </c>
      <c r="Q25" s="73">
        <f>'Stream 16 - MechRecyc'!L19</f>
        <v>5.0265798675496693</v>
      </c>
      <c r="R25" s="73">
        <v>0</v>
      </c>
      <c r="S25" s="73">
        <f>Q25*'US 2018 Facts - Sensitivity'!$B$23</f>
        <v>0.10053159735099339</v>
      </c>
      <c r="T25" s="73">
        <f>'Stream 19 - Contamination'!D29</f>
        <v>1.7874146230187837</v>
      </c>
      <c r="U25" s="73">
        <f t="shared" si="6"/>
        <v>12.817291797323419</v>
      </c>
      <c r="V25" s="73">
        <f>'Stream 21 - Import'!L19</f>
        <v>7.7880600000000006</v>
      </c>
      <c r="W25" s="73">
        <f>'Stream 22 - Re-Export'!L19</f>
        <v>1.038E-2</v>
      </c>
      <c r="X25" s="73">
        <f>Q25*(1-'US 2018 Facts - Sensitivity'!$B$6)</f>
        <v>1.6738510958940398</v>
      </c>
      <c r="Y25" s="73">
        <f>'Stream 24 - Incineration'!L19</f>
        <v>0.27065494489141495</v>
      </c>
      <c r="Z25" s="73">
        <f>(Y25+X25)-(Y25+X25)*'US 2018 Facts - Sensitivity'!$B$24</f>
        <v>1.944506040785221E-4</v>
      </c>
      <c r="AA25" s="73">
        <f>'Stream 26 - Landfilled Plastic'!L19</f>
        <v>1.3004449203872146</v>
      </c>
      <c r="AB25" s="73">
        <f>'Stream 27 - Export'!L19</f>
        <v>5.4348700000000019</v>
      </c>
      <c r="AC25" s="73">
        <v>0</v>
      </c>
      <c r="AD25" s="73">
        <v>0</v>
      </c>
      <c r="AE25" s="73">
        <v>0</v>
      </c>
      <c r="AF25" s="73">
        <f>E25*'US 2018 Facts - Sensitivity'!$B$19+(AA25+AD25)*0.00001</f>
        <v>4.2476320520682522</v>
      </c>
      <c r="AG25" s="73">
        <v>0</v>
      </c>
      <c r="AH25" s="73">
        <f t="shared" si="2"/>
        <v>1.9445060407854546</v>
      </c>
      <c r="AI25" s="73">
        <f t="shared" si="3"/>
        <v>-2.0981392458600423</v>
      </c>
    </row>
    <row r="26" spans="1:35" x14ac:dyDescent="0.25">
      <c r="A26" s="61" t="s">
        <v>15</v>
      </c>
      <c r="B26" s="73">
        <v>0</v>
      </c>
      <c r="C26" s="73">
        <f t="shared" si="8"/>
        <v>444883.48018300592</v>
      </c>
      <c r="D26" s="73">
        <v>0</v>
      </c>
      <c r="E26" s="73">
        <f>'Stream 6 - PWaste Generated'!G43+'Stream 6 - PWaste Generated'!G66</f>
        <v>637142.85714285716</v>
      </c>
      <c r="F26" s="73">
        <f>E26*'Migration Data - Use'!$B$17</f>
        <v>12708.280446734694</v>
      </c>
      <c r="G26" s="73">
        <f t="shared" si="4"/>
        <v>624434.57669612241</v>
      </c>
      <c r="H26" s="73">
        <v>0</v>
      </c>
      <c r="I26" s="73">
        <f t="shared" si="5"/>
        <v>7607.1428571428569</v>
      </c>
      <c r="J26" s="73">
        <f>'Stream 9 - Litter'!L20</f>
        <v>12735.71828731493</v>
      </c>
      <c r="K26" s="73">
        <f t="shared" si="7"/>
        <v>619306.00126595027</v>
      </c>
      <c r="L26" s="73">
        <v>0</v>
      </c>
      <c r="M26" s="73">
        <v>0</v>
      </c>
      <c r="N26" s="73">
        <f>'Stream 13-PlasticCompost'!L20</f>
        <v>7607.1428571428569</v>
      </c>
      <c r="O26" s="73">
        <v>0</v>
      </c>
      <c r="P26" s="73">
        <v>0</v>
      </c>
      <c r="Q26" s="73">
        <f>'Stream 16 - MechRecyc'!L20</f>
        <v>75398.698013245026</v>
      </c>
      <c r="R26" s="73">
        <v>0</v>
      </c>
      <c r="S26" s="73">
        <f>Q26*'US 2018 Facts - Sensitivity'!$B$23</f>
        <v>1507.9739602649006</v>
      </c>
      <c r="T26" s="73">
        <f>'Stream 19 - Contamination'!D30</f>
        <v>26811.219345281752</v>
      </c>
      <c r="U26" s="73">
        <f t="shared" si="6"/>
        <v>192259.37695985127</v>
      </c>
      <c r="V26" s="73">
        <f>'Stream 21 - Import'!L20</f>
        <v>116820.9</v>
      </c>
      <c r="W26" s="73">
        <f>'Stream 22 - Re-Export'!L20</f>
        <v>155.69999999999999</v>
      </c>
      <c r="X26" s="73">
        <f>Q26*(1-'US 2018 Facts - Sensitivity'!$B$6)</f>
        <v>25107.766438410592</v>
      </c>
      <c r="Y26" s="73">
        <f>'Stream 24 - Incineration'!L20</f>
        <v>4059.8241733712239</v>
      </c>
      <c r="Z26" s="73">
        <f>(Y26+X26)-(Y26+X26)*'US 2018 Facts - Sensitivity'!$B$24</f>
        <v>2.9167590611796186</v>
      </c>
      <c r="AA26" s="73">
        <f>'Stream 26 - Landfilled Plastic'!L20</f>
        <v>19506.673805808216</v>
      </c>
      <c r="AB26" s="73">
        <f>'Stream 27 - Export'!L20</f>
        <v>81523.050000000017</v>
      </c>
      <c r="AC26" s="73">
        <v>0</v>
      </c>
      <c r="AD26" s="73">
        <v>0</v>
      </c>
      <c r="AE26" s="73">
        <v>0</v>
      </c>
      <c r="AF26" s="73">
        <f>E26*'US 2018 Facts - Sensitivity'!$B$19+(AA26+AD26)*0.00001</f>
        <v>63714.480781023776</v>
      </c>
      <c r="AG26" s="73">
        <v>0</v>
      </c>
      <c r="AH26" s="73">
        <f t="shared" si="2"/>
        <v>29167.590611781816</v>
      </c>
      <c r="AI26" s="73">
        <f t="shared" si="3"/>
        <v>-31472.088687900628</v>
      </c>
    </row>
    <row r="27" spans="1:35" x14ac:dyDescent="0.25">
      <c r="A27" s="74" t="s">
        <v>83</v>
      </c>
      <c r="B27" s="73">
        <v>0</v>
      </c>
      <c r="C27" s="73">
        <v>0</v>
      </c>
      <c r="D27" s="73">
        <v>0</v>
      </c>
      <c r="E27" s="73">
        <v>0</v>
      </c>
      <c r="F27" s="73">
        <v>0</v>
      </c>
      <c r="G27" s="73">
        <v>0</v>
      </c>
      <c r="H27" s="73">
        <v>0</v>
      </c>
      <c r="I27" s="73">
        <f>'US 2018 Facts - Sensitivity'!$B$26*'US 2018 Facts - Sensitivity'!B27</f>
        <v>4063803.9999999995</v>
      </c>
      <c r="J27" s="73">
        <v>0</v>
      </c>
      <c r="K27" s="73">
        <f t="shared" ref="K27:K38" si="9">G27-J27+I27</f>
        <v>4063803.9999999995</v>
      </c>
      <c r="L27" s="73">
        <f>'US 2018 Facts - Sensitivity'!$B$50*'US 2018 Facts - Sensitivity'!B51</f>
        <v>794880</v>
      </c>
      <c r="M27" s="73">
        <f>'US 2018 Facts - Sensitivity'!$B$62*'US 2018 Facts - Sensitivity'!B63</f>
        <v>3215960</v>
      </c>
      <c r="N27" s="73">
        <f>'US 2018 Facts - Sensitivity'!$B$74*'US 2018 Facts - Sensitivity'!B75</f>
        <v>0</v>
      </c>
      <c r="O27" s="73">
        <f>'US 2018 Facts - Sensitivity'!$B$38*'US 2018 Facts - Sensitivity'!B39</f>
        <v>0</v>
      </c>
      <c r="P27" s="73">
        <v>0</v>
      </c>
      <c r="Q27" s="73">
        <v>0</v>
      </c>
      <c r="R27" s="73">
        <v>0</v>
      </c>
      <c r="S27" s="73">
        <f>Q27*'US 2018 Facts - Sensitivity'!$B$23</f>
        <v>0</v>
      </c>
      <c r="T27" s="73">
        <v>0</v>
      </c>
      <c r="U27" s="73">
        <f t="shared" si="6"/>
        <v>0</v>
      </c>
      <c r="V27" s="73">
        <v>0</v>
      </c>
      <c r="W27" s="73">
        <v>0</v>
      </c>
      <c r="X27" s="73">
        <f>Q27*(1-'US 2018 Facts - Sensitivity'!$B$6)</f>
        <v>0</v>
      </c>
      <c r="Y27" s="73">
        <v>0</v>
      </c>
      <c r="Z27" s="73">
        <f>L27-L27*'US 2018 Facts - Sensitivity'!$B$24</f>
        <v>79.488000000012107</v>
      </c>
      <c r="AA27" s="73">
        <v>0</v>
      </c>
      <c r="AB27" s="73">
        <v>0</v>
      </c>
      <c r="AC27" s="73">
        <v>0</v>
      </c>
      <c r="AD27" s="73">
        <v>0</v>
      </c>
      <c r="AE27" s="73">
        <v>0</v>
      </c>
      <c r="AF27" s="73">
        <f>E27*'US 2018 Facts - Sensitivity'!$B$19</f>
        <v>0</v>
      </c>
      <c r="AG27" s="73">
        <v>0</v>
      </c>
      <c r="AH27" s="73">
        <f t="shared" si="2"/>
        <v>794880</v>
      </c>
      <c r="AI27" s="73">
        <f t="shared" si="3"/>
        <v>3215960</v>
      </c>
    </row>
    <row r="28" spans="1:35" x14ac:dyDescent="0.25">
      <c r="A28" s="74" t="s">
        <v>8</v>
      </c>
      <c r="B28" s="73">
        <v>0</v>
      </c>
      <c r="C28" s="73">
        <v>0</v>
      </c>
      <c r="D28" s="73">
        <v>0</v>
      </c>
      <c r="E28" s="73">
        <v>0</v>
      </c>
      <c r="F28" s="73">
        <v>0</v>
      </c>
      <c r="G28" s="73">
        <v>0</v>
      </c>
      <c r="H28" s="73">
        <v>0</v>
      </c>
      <c r="I28" s="73">
        <f>'US 2018 Facts - Sensitivity'!$B$26*'US 2018 Facts - Sensitivity'!B28</f>
        <v>4560816</v>
      </c>
      <c r="J28" s="73">
        <v>0</v>
      </c>
      <c r="K28" s="73">
        <f t="shared" si="9"/>
        <v>4560816</v>
      </c>
      <c r="L28" s="73">
        <f>'US 2018 Facts - Sensitivity'!$B$50*'US 2018 Facts - Sensitivity'!B52</f>
        <v>656640</v>
      </c>
      <c r="M28" s="73">
        <f>'US 2018 Facts - Sensitivity'!$B$62*'US 2018 Facts - Sensitivity'!B64</f>
        <v>2923600</v>
      </c>
      <c r="N28" s="73">
        <f>'US 2018 Facts - Sensitivity'!$B$74*'US 2018 Facts - Sensitivity'!B76</f>
        <v>0</v>
      </c>
      <c r="O28" s="73">
        <f>'US 2018 Facts - Sensitivity'!$B$38*'US 2018 Facts - Sensitivity'!B40</f>
        <v>966000</v>
      </c>
      <c r="P28" s="73">
        <v>0</v>
      </c>
      <c r="Q28" s="73">
        <v>0</v>
      </c>
      <c r="R28" s="73">
        <v>0</v>
      </c>
      <c r="S28" s="73">
        <f>Q28*'US 2018 Facts - Sensitivity'!$B$23</f>
        <v>0</v>
      </c>
      <c r="T28" s="73">
        <v>0</v>
      </c>
      <c r="U28" s="73">
        <f t="shared" si="6"/>
        <v>0</v>
      </c>
      <c r="V28" s="73">
        <v>0</v>
      </c>
      <c r="W28" s="73">
        <v>0</v>
      </c>
      <c r="X28" s="73">
        <f>Q28*(1-'US 2018 Facts - Sensitivity'!$B$6)</f>
        <v>0</v>
      </c>
      <c r="Y28" s="73">
        <v>0</v>
      </c>
      <c r="Z28" s="73">
        <f>L28-L28*'US 2018 Facts - Sensitivity'!$B$24</f>
        <v>65.663999999989755</v>
      </c>
      <c r="AA28" s="73">
        <v>0</v>
      </c>
      <c r="AB28" s="73">
        <v>0</v>
      </c>
      <c r="AC28" s="73">
        <v>0</v>
      </c>
      <c r="AD28" s="73">
        <v>0</v>
      </c>
      <c r="AE28" s="73">
        <v>0</v>
      </c>
      <c r="AF28" s="73">
        <f>E28*'US 2018 Facts - Sensitivity'!$B$19</f>
        <v>0</v>
      </c>
      <c r="AG28" s="73">
        <v>0</v>
      </c>
      <c r="AH28" s="73">
        <f t="shared" si="2"/>
        <v>656640</v>
      </c>
      <c r="AI28" s="73">
        <f t="shared" si="3"/>
        <v>2923600</v>
      </c>
    </row>
    <row r="29" spans="1:35" x14ac:dyDescent="0.25">
      <c r="A29" s="74" t="s">
        <v>187</v>
      </c>
      <c r="B29" s="73">
        <v>0</v>
      </c>
      <c r="C29" s="73">
        <v>0</v>
      </c>
      <c r="D29" s="73">
        <v>0</v>
      </c>
      <c r="E29" s="73">
        <v>0</v>
      </c>
      <c r="F29" s="73">
        <v>0</v>
      </c>
      <c r="G29" s="73">
        <v>0</v>
      </c>
      <c r="H29" s="73">
        <v>0</v>
      </c>
      <c r="I29" s="73">
        <f>'US 2018 Facts - Sensitivity'!$B$26*'US 2018 Facts - Sensitivity'!B29</f>
        <v>35375560</v>
      </c>
      <c r="J29" s="73">
        <v>0</v>
      </c>
      <c r="K29" s="73">
        <f t="shared" si="9"/>
        <v>35375560</v>
      </c>
      <c r="L29" s="73">
        <f>'US 2018 Facts - Sensitivity'!$B$50*'US 2018 Facts - Sensitivity'!B53</f>
        <v>2557440</v>
      </c>
      <c r="M29" s="73">
        <f>'US 2018 Facts - Sensitivity'!$B$62*'US 2018 Facts - Sensitivity'!B65</f>
        <v>10524960</v>
      </c>
      <c r="N29" s="73">
        <f>'US 2018 Facts - Sensitivity'!$B$74*'US 2018 Facts - Sensitivity'!B77</f>
        <v>22279800</v>
      </c>
      <c r="O29" s="73">
        <f>'US 2018 Facts - Sensitivity'!$B$38*'US 2018 Facts - Sensitivity'!B41</f>
        <v>0</v>
      </c>
      <c r="P29" s="73">
        <v>0</v>
      </c>
      <c r="Q29" s="73">
        <v>0</v>
      </c>
      <c r="R29" s="73">
        <v>0</v>
      </c>
      <c r="S29" s="73">
        <f>Q29*'US 2018 Facts - Sensitivity'!$B$23</f>
        <v>0</v>
      </c>
      <c r="T29" s="73">
        <v>0</v>
      </c>
      <c r="U29" s="73">
        <f t="shared" si="6"/>
        <v>0</v>
      </c>
      <c r="V29" s="73">
        <v>0</v>
      </c>
      <c r="W29" s="73">
        <v>0</v>
      </c>
      <c r="X29" s="73">
        <f>Q29*(1-'US 2018 Facts - Sensitivity'!$B$6)</f>
        <v>0</v>
      </c>
      <c r="Y29" s="73">
        <v>0</v>
      </c>
      <c r="Z29" s="73">
        <f>L29-L29*'US 2018 Facts - Sensitivity'!$B$24</f>
        <v>255.74399999994785</v>
      </c>
      <c r="AA29" s="73">
        <v>0</v>
      </c>
      <c r="AB29" s="73">
        <v>0</v>
      </c>
      <c r="AC29" s="73">
        <v>0</v>
      </c>
      <c r="AD29" s="73">
        <v>0</v>
      </c>
      <c r="AE29" s="73">
        <v>0</v>
      </c>
      <c r="AF29" s="73">
        <f>E29*'US 2018 Facts - Sensitivity'!$B$19</f>
        <v>0</v>
      </c>
      <c r="AG29" s="73">
        <v>0</v>
      </c>
      <c r="AH29" s="73">
        <f t="shared" si="2"/>
        <v>2557440</v>
      </c>
      <c r="AI29" s="73">
        <f t="shared" si="3"/>
        <v>10524960</v>
      </c>
    </row>
    <row r="30" spans="1:35" x14ac:dyDescent="0.25">
      <c r="A30" s="74" t="s">
        <v>84</v>
      </c>
      <c r="B30" s="73">
        <v>0</v>
      </c>
      <c r="C30" s="73">
        <v>0</v>
      </c>
      <c r="D30" s="73">
        <v>0</v>
      </c>
      <c r="E30" s="73">
        <v>0</v>
      </c>
      <c r="F30" s="73">
        <v>0</v>
      </c>
      <c r="G30" s="73">
        <v>0</v>
      </c>
      <c r="H30" s="73">
        <v>0</v>
      </c>
      <c r="I30" s="73">
        <f>'US 2018 Facts - Sensitivity'!$B$26*'US 2018 Facts - Sensitivity'!B30</f>
        <v>63120524</v>
      </c>
      <c r="J30" s="73">
        <v>0</v>
      </c>
      <c r="K30" s="73">
        <f t="shared" si="9"/>
        <v>63120524</v>
      </c>
      <c r="L30" s="73">
        <f>'US 2018 Facts - Sensitivity'!$B$50*'US 2018 Facts - Sensitivity'!B54</f>
        <v>7534080</v>
      </c>
      <c r="M30" s="73">
        <f>'US 2018 Facts - Sensitivity'!$B$62*'US 2018 Facts - Sensitivity'!B66</f>
        <v>35229380</v>
      </c>
      <c r="N30" s="73">
        <f>'US 2018 Facts - Sensitivity'!$B$74*'US 2018 Facts - Sensitivity'!B78</f>
        <v>20320200</v>
      </c>
      <c r="O30" s="73">
        <f>'US 2018 Facts - Sensitivity'!$B$38*'US 2018 Facts - Sensitivity'!B42</f>
        <v>0</v>
      </c>
      <c r="P30" s="73">
        <v>0</v>
      </c>
      <c r="Q30" s="73">
        <v>0</v>
      </c>
      <c r="R30" s="73">
        <v>0</v>
      </c>
      <c r="S30" s="73">
        <f>Q30*'US 2018 Facts - Sensitivity'!$B$23</f>
        <v>0</v>
      </c>
      <c r="T30" s="73">
        <v>0</v>
      </c>
      <c r="U30" s="73">
        <f t="shared" si="6"/>
        <v>0</v>
      </c>
      <c r="V30" s="73">
        <v>0</v>
      </c>
      <c r="W30" s="73">
        <v>0</v>
      </c>
      <c r="X30" s="73">
        <f>Q30*(1-'US 2018 Facts - Sensitivity'!$B$6)</f>
        <v>0</v>
      </c>
      <c r="Y30" s="73">
        <v>0</v>
      </c>
      <c r="Z30" s="73">
        <f>L30-L30*'US 2018 Facts - Sensitivity'!$B$24</f>
        <v>753.40799999982119</v>
      </c>
      <c r="AA30" s="73">
        <v>0</v>
      </c>
      <c r="AB30" s="73">
        <v>0</v>
      </c>
      <c r="AC30" s="73">
        <v>0</v>
      </c>
      <c r="AD30" s="73">
        <v>0</v>
      </c>
      <c r="AE30" s="73">
        <v>0</v>
      </c>
      <c r="AF30" s="73">
        <f>E30*'US 2018 Facts - Sensitivity'!$B$19</f>
        <v>0</v>
      </c>
      <c r="AG30" s="73">
        <v>0</v>
      </c>
      <c r="AH30" s="73">
        <f t="shared" si="2"/>
        <v>7534080</v>
      </c>
      <c r="AI30" s="73">
        <f t="shared" si="3"/>
        <v>35229380</v>
      </c>
    </row>
    <row r="31" spans="1:35" ht="14.25" customHeight="1" x14ac:dyDescent="0.25">
      <c r="A31" s="74" t="s">
        <v>71</v>
      </c>
      <c r="B31" s="75">
        <v>0</v>
      </c>
      <c r="C31" s="73">
        <f>E31-U31</f>
        <v>0</v>
      </c>
      <c r="D31" s="73">
        <v>0</v>
      </c>
      <c r="E31" s="73">
        <v>0</v>
      </c>
      <c r="F31" s="73">
        <v>0</v>
      </c>
      <c r="G31" s="73">
        <f t="shared" si="4"/>
        <v>0</v>
      </c>
      <c r="H31" s="73">
        <v>0</v>
      </c>
      <c r="I31" s="73">
        <f>'US 2018 Facts - Sensitivity'!$B$26*'US 2018 Facts - Sensitivity'!B31</f>
        <v>26195456</v>
      </c>
      <c r="J31" s="73">
        <v>0</v>
      </c>
      <c r="K31" s="73">
        <f t="shared" si="9"/>
        <v>26195456</v>
      </c>
      <c r="L31" s="73">
        <f>'US 2018 Facts - Sensitivity'!$B$50*'US 2018 Facts - Sensitivity'!B55</f>
        <v>5736960</v>
      </c>
      <c r="M31" s="73">
        <f>'US 2018 Facts - Sensitivity'!$B$62*'US 2018 Facts - Sensitivity'!B67</f>
        <v>16225980</v>
      </c>
      <c r="N31" s="73">
        <f>'US 2018 Facts - Sensitivity'!$B$74*'US 2018 Facts - Sensitivity'!B79</f>
        <v>0</v>
      </c>
      <c r="O31" s="73">
        <f>'US 2018 Facts - Sensitivity'!$B$38*'US 2018 Facts - Sensitivity'!B43</f>
        <v>4181400</v>
      </c>
      <c r="P31" s="73">
        <v>0</v>
      </c>
      <c r="Q31" s="73">
        <v>0</v>
      </c>
      <c r="R31" s="73">
        <v>0</v>
      </c>
      <c r="S31" s="73">
        <f>Q31*'US 2018 Facts - Sensitivity'!$B$23</f>
        <v>0</v>
      </c>
      <c r="T31" s="73">
        <v>0</v>
      </c>
      <c r="U31" s="73">
        <f t="shared" si="6"/>
        <v>0</v>
      </c>
      <c r="V31" s="73">
        <v>0</v>
      </c>
      <c r="W31" s="73">
        <v>0</v>
      </c>
      <c r="X31" s="73">
        <f>Q31*(1-'US 2018 Facts - Sensitivity'!$B$6)</f>
        <v>0</v>
      </c>
      <c r="Y31" s="73">
        <v>0</v>
      </c>
      <c r="Z31" s="73">
        <f>L31-L31*'US 2018 Facts - Sensitivity'!$B$24</f>
        <v>573.69599999953061</v>
      </c>
      <c r="AA31" s="73">
        <v>0</v>
      </c>
      <c r="AB31" s="73">
        <v>0</v>
      </c>
      <c r="AC31" s="73">
        <v>0</v>
      </c>
      <c r="AD31" s="73">
        <v>0</v>
      </c>
      <c r="AE31" s="73">
        <v>0</v>
      </c>
      <c r="AF31" s="73">
        <f>E31*'US 2018 Facts - Sensitivity'!$B$19</f>
        <v>0</v>
      </c>
      <c r="AG31" s="73">
        <v>0</v>
      </c>
      <c r="AH31" s="73">
        <f t="shared" si="2"/>
        <v>5736960</v>
      </c>
      <c r="AI31" s="73">
        <f t="shared" si="3"/>
        <v>16225980</v>
      </c>
    </row>
    <row r="32" spans="1:35" x14ac:dyDescent="0.25">
      <c r="A32" s="74" t="s">
        <v>72</v>
      </c>
      <c r="B32" s="75">
        <v>0</v>
      </c>
      <c r="C32" s="73">
        <f>E32-U32</f>
        <v>0</v>
      </c>
      <c r="D32" s="73">
        <v>0</v>
      </c>
      <c r="E32" s="73">
        <v>0</v>
      </c>
      <c r="F32" s="73">
        <v>0</v>
      </c>
      <c r="G32" s="73">
        <f t="shared" si="4"/>
        <v>0</v>
      </c>
      <c r="H32" s="73">
        <v>0</v>
      </c>
      <c r="I32" s="73">
        <f>'US 2018 Facts - Sensitivity'!$B$26*'US 2018 Facts - Sensitivity'!B32</f>
        <v>18097084</v>
      </c>
      <c r="J32" s="73">
        <v>0</v>
      </c>
      <c r="K32" s="73">
        <f t="shared" si="9"/>
        <v>18097084</v>
      </c>
      <c r="L32" s="73">
        <f>'US 2018 Facts - Sensitivity'!$B$50*'US 2018 Facts - Sensitivity'!B56</f>
        <v>2833920</v>
      </c>
      <c r="M32" s="73">
        <f>'US 2018 Facts - Sensitivity'!$B$62*'US 2018 Facts - Sensitivity'!B68</f>
        <v>12132940</v>
      </c>
      <c r="N32" s="73">
        <f>'US 2018 Facts - Sensitivity'!$B$74*'US 2018 Facts - Sensitivity'!B80</f>
        <v>0</v>
      </c>
      <c r="O32" s="73">
        <f>'US 2018 Facts - Sensitivity'!$B$38*'US 2018 Facts - Sensitivity'!B44</f>
        <v>3098100</v>
      </c>
      <c r="P32" s="73">
        <v>0</v>
      </c>
      <c r="Q32" s="73">
        <v>0</v>
      </c>
      <c r="R32" s="73">
        <v>0</v>
      </c>
      <c r="S32" s="73">
        <f>Q32*'US 2018 Facts - Sensitivity'!$B$23</f>
        <v>0</v>
      </c>
      <c r="T32" s="73">
        <v>0</v>
      </c>
      <c r="U32" s="73">
        <f t="shared" si="6"/>
        <v>0</v>
      </c>
      <c r="V32" s="73">
        <v>0</v>
      </c>
      <c r="W32" s="73">
        <v>0</v>
      </c>
      <c r="X32" s="73">
        <f>Q32*(1-'US 2018 Facts - Sensitivity'!$B$6)</f>
        <v>0</v>
      </c>
      <c r="Y32" s="73">
        <v>0</v>
      </c>
      <c r="Z32" s="73">
        <f>L32-L32*'US 2018 Facts - Sensitivity'!$B$24</f>
        <v>283.39199999999255</v>
      </c>
      <c r="AA32" s="73">
        <v>0</v>
      </c>
      <c r="AB32" s="73">
        <v>0</v>
      </c>
      <c r="AC32" s="73">
        <v>0</v>
      </c>
      <c r="AD32" s="73">
        <v>0</v>
      </c>
      <c r="AE32" s="73">
        <v>0</v>
      </c>
      <c r="AF32" s="73">
        <f>E32*'US 2018 Facts - Sensitivity'!$B$19</f>
        <v>0</v>
      </c>
      <c r="AG32" s="73">
        <v>0</v>
      </c>
      <c r="AH32" s="73">
        <f t="shared" si="2"/>
        <v>2833920</v>
      </c>
      <c r="AI32" s="73">
        <f t="shared" si="3"/>
        <v>12132940</v>
      </c>
    </row>
    <row r="33" spans="1:35" x14ac:dyDescent="0.25">
      <c r="A33" s="74" t="s">
        <v>73</v>
      </c>
      <c r="B33" s="75">
        <v>0</v>
      </c>
      <c r="C33" s="73">
        <f>E33-U33</f>
        <v>0</v>
      </c>
      <c r="D33" s="73">
        <v>0</v>
      </c>
      <c r="E33" s="73">
        <v>0</v>
      </c>
      <c r="F33" s="73">
        <v>0</v>
      </c>
      <c r="G33" s="73">
        <f t="shared" si="4"/>
        <v>0</v>
      </c>
      <c r="H33" s="73">
        <v>0</v>
      </c>
      <c r="I33" s="73">
        <f>'US 2018 Facts - Sensitivity'!$B$26*'US 2018 Facts - Sensitivity'!B33</f>
        <v>25610736</v>
      </c>
      <c r="J33" s="73">
        <v>0</v>
      </c>
      <c r="K33" s="73">
        <f t="shared" si="9"/>
        <v>25610736</v>
      </c>
      <c r="L33" s="73">
        <f>'US 2018 Facts - Sensitivity'!$B$50*'US 2018 Facts - Sensitivity'!B57</f>
        <v>2937600</v>
      </c>
      <c r="M33" s="73">
        <f>'US 2018 Facts - Sensitivity'!$B$62*'US 2018 Facts - Sensitivity'!B69</f>
        <v>13887100</v>
      </c>
      <c r="N33" s="73">
        <f>'US 2018 Facts - Sensitivity'!$B$74*'US 2018 Facts - Sensitivity'!B81</f>
        <v>0</v>
      </c>
      <c r="O33" s="73">
        <f>'US 2018 Facts - Sensitivity'!$B$38*'US 2018 Facts - Sensitivity'!B45</f>
        <v>8714700</v>
      </c>
      <c r="P33" s="73">
        <v>0</v>
      </c>
      <c r="Q33" s="73">
        <v>0</v>
      </c>
      <c r="R33" s="73">
        <v>0</v>
      </c>
      <c r="S33" s="73">
        <f>Q33*'US 2018 Facts - Sensitivity'!$B$23</f>
        <v>0</v>
      </c>
      <c r="T33" s="73">
        <v>0</v>
      </c>
      <c r="U33" s="73">
        <f t="shared" si="6"/>
        <v>0</v>
      </c>
      <c r="V33" s="73">
        <v>0</v>
      </c>
      <c r="W33" s="73">
        <v>0</v>
      </c>
      <c r="X33" s="73">
        <f>Q33*(1-'US 2018 Facts - Sensitivity'!$B$6)</f>
        <v>0</v>
      </c>
      <c r="Y33" s="73">
        <v>0</v>
      </c>
      <c r="Z33" s="73">
        <f>L33-L33*'US 2018 Facts - Sensitivity'!$B$24</f>
        <v>293.75999999977648</v>
      </c>
      <c r="AA33" s="73">
        <v>0</v>
      </c>
      <c r="AB33" s="73">
        <v>0</v>
      </c>
      <c r="AC33" s="73">
        <v>0</v>
      </c>
      <c r="AD33" s="73">
        <v>0</v>
      </c>
      <c r="AE33" s="73">
        <v>0</v>
      </c>
      <c r="AF33" s="73">
        <f>E33*'US 2018 Facts - Sensitivity'!$B$19</f>
        <v>0</v>
      </c>
      <c r="AG33" s="73">
        <v>0</v>
      </c>
      <c r="AH33" s="73">
        <f t="shared" si="2"/>
        <v>2937600</v>
      </c>
      <c r="AI33" s="73">
        <f t="shared" si="3"/>
        <v>13887100</v>
      </c>
    </row>
    <row r="34" spans="1:35" x14ac:dyDescent="0.25">
      <c r="A34" s="74" t="s">
        <v>19</v>
      </c>
      <c r="B34" s="73">
        <v>0</v>
      </c>
      <c r="C34" s="73">
        <f>E34-U34</f>
        <v>0</v>
      </c>
      <c r="D34" s="73">
        <v>0</v>
      </c>
      <c r="E34" s="73">
        <v>0</v>
      </c>
      <c r="F34" s="73">
        <v>0</v>
      </c>
      <c r="G34" s="73">
        <f t="shared" si="4"/>
        <v>0</v>
      </c>
      <c r="H34" s="73">
        <v>0</v>
      </c>
      <c r="I34" s="73">
        <f>'US 2018 Facts - Sensitivity'!$B$26*'US 2018 Facts - Sensitivity'!B34</f>
        <v>12249884</v>
      </c>
      <c r="J34" s="73">
        <v>0</v>
      </c>
      <c r="K34" s="73">
        <f t="shared" si="9"/>
        <v>12249884</v>
      </c>
      <c r="L34" s="73">
        <f>'US 2018 Facts - Sensitivity'!$B$50*'US 2018 Facts - Sensitivity'!B58</f>
        <v>1624320</v>
      </c>
      <c r="M34" s="73">
        <f>'US 2018 Facts - Sensitivity'!$B$62*'US 2018 Facts - Sensitivity'!B70</f>
        <v>7601360</v>
      </c>
      <c r="N34" s="73">
        <f>'US 2018 Facts - Sensitivity'!$B$74*'US 2018 Facts - Sensitivity'!B82</f>
        <v>0</v>
      </c>
      <c r="O34" s="73">
        <f>'US 2018 Facts - Sensitivity'!$B$38*'US 2018 Facts - Sensitivity'!B46</f>
        <v>3056700</v>
      </c>
      <c r="P34" s="73">
        <v>0</v>
      </c>
      <c r="Q34" s="73">
        <v>0</v>
      </c>
      <c r="R34" s="73">
        <v>0</v>
      </c>
      <c r="S34" s="73">
        <f>Q34*'US 2018 Facts - Sensitivity'!$B$23</f>
        <v>0</v>
      </c>
      <c r="T34" s="73">
        <v>0</v>
      </c>
      <c r="U34" s="73">
        <f t="shared" si="6"/>
        <v>0</v>
      </c>
      <c r="V34" s="73">
        <v>0</v>
      </c>
      <c r="W34" s="73">
        <v>0</v>
      </c>
      <c r="X34" s="73">
        <f>Q34*(1-'US 2018 Facts - Sensitivity'!$B$6)</f>
        <v>0</v>
      </c>
      <c r="Y34" s="73">
        <v>0</v>
      </c>
      <c r="Z34" s="73">
        <f>L34-L34*'US 2018 Facts - Sensitivity'!$B$24</f>
        <v>162.4320000000298</v>
      </c>
      <c r="AA34" s="73">
        <v>0</v>
      </c>
      <c r="AB34" s="73">
        <v>0</v>
      </c>
      <c r="AC34" s="73">
        <v>0</v>
      </c>
      <c r="AD34" s="73">
        <v>0</v>
      </c>
      <c r="AE34" s="73">
        <v>0</v>
      </c>
      <c r="AF34" s="73">
        <f>E34*'US 2018 Facts - Sensitivity'!$B$19</f>
        <v>0</v>
      </c>
      <c r="AG34" s="73">
        <v>0</v>
      </c>
      <c r="AH34" s="73">
        <f t="shared" si="2"/>
        <v>1624320</v>
      </c>
      <c r="AI34" s="73">
        <f t="shared" si="3"/>
        <v>7601360</v>
      </c>
    </row>
    <row r="35" spans="1:35" x14ac:dyDescent="0.25">
      <c r="A35" s="74" t="s">
        <v>74</v>
      </c>
      <c r="B35" s="73">
        <v>0</v>
      </c>
      <c r="C35" s="73">
        <f>E35-U35</f>
        <v>0</v>
      </c>
      <c r="D35" s="73">
        <v>0</v>
      </c>
      <c r="E35" s="73">
        <v>0</v>
      </c>
      <c r="F35" s="73">
        <v>0</v>
      </c>
      <c r="G35" s="73">
        <f t="shared" si="4"/>
        <v>0</v>
      </c>
      <c r="H35" s="73">
        <v>0</v>
      </c>
      <c r="I35" s="73">
        <f>'US 2018 Facts - Sensitivity'!$B$26*'US 2018 Facts - Sensitivity'!B35</f>
        <v>67388980</v>
      </c>
      <c r="J35" s="73">
        <v>0</v>
      </c>
      <c r="K35" s="73">
        <f t="shared" si="9"/>
        <v>67388980</v>
      </c>
      <c r="L35" s="73">
        <f>'US 2018 Facts - Sensitivity'!$B$50*'US 2018 Facts - Sensitivity'!B59</f>
        <v>4216320</v>
      </c>
      <c r="M35" s="73">
        <f>'US 2018 Facts - Sensitivity'!$B$62*'US 2018 Facts - Sensitivity'!B71</f>
        <v>17249240</v>
      </c>
      <c r="N35" s="73">
        <f>'US 2018 Facts - Sensitivity'!$B$74*'US 2018 Facts - Sensitivity'!B83</f>
        <v>0</v>
      </c>
      <c r="O35" s="73">
        <f>'US 2018 Facts - Sensitivity'!$B$38*'US 2018 Facts - Sensitivity'!B47</f>
        <v>45954000</v>
      </c>
      <c r="P35" s="73">
        <v>0</v>
      </c>
      <c r="Q35" s="73">
        <v>0</v>
      </c>
      <c r="R35" s="73">
        <v>0</v>
      </c>
      <c r="S35" s="73">
        <f>Q35*'US 2018 Facts - Sensitivity'!$B$23</f>
        <v>0</v>
      </c>
      <c r="T35" s="73">
        <v>0</v>
      </c>
      <c r="U35" s="73">
        <f t="shared" si="6"/>
        <v>0</v>
      </c>
      <c r="V35" s="73">
        <v>0</v>
      </c>
      <c r="W35" s="73">
        <v>0</v>
      </c>
      <c r="X35" s="73">
        <f>Q35*(1-'US 2018 Facts - Sensitivity'!$B$6)</f>
        <v>0</v>
      </c>
      <c r="Y35" s="73">
        <v>0</v>
      </c>
      <c r="Z35" s="73">
        <f>L35-L35*'US 2018 Facts - Sensitivity'!$B$24</f>
        <v>421.63200000021607</v>
      </c>
      <c r="AA35" s="73">
        <v>0</v>
      </c>
      <c r="AB35" s="73">
        <v>0</v>
      </c>
      <c r="AC35" s="73">
        <v>0</v>
      </c>
      <c r="AD35" s="73">
        <v>0</v>
      </c>
      <c r="AE35" s="73">
        <v>0</v>
      </c>
      <c r="AF35" s="73">
        <f>E35*'US 2018 Facts - Sensitivity'!$B$19</f>
        <v>0</v>
      </c>
      <c r="AG35" s="73">
        <v>0</v>
      </c>
      <c r="AH35" s="73">
        <f t="shared" si="2"/>
        <v>4216320</v>
      </c>
      <c r="AI35" s="73">
        <f t="shared" si="3"/>
        <v>17249240</v>
      </c>
    </row>
    <row r="36" spans="1:35" x14ac:dyDescent="0.25">
      <c r="A36" s="72" t="s">
        <v>245</v>
      </c>
      <c r="B36" s="73">
        <v>0</v>
      </c>
      <c r="C36" s="73">
        <v>0</v>
      </c>
      <c r="D36" s="73">
        <v>0</v>
      </c>
      <c r="E36" s="73">
        <v>0</v>
      </c>
      <c r="F36" s="73">
        <v>0</v>
      </c>
      <c r="G36" s="73">
        <v>0</v>
      </c>
      <c r="H36" s="73">
        <v>0</v>
      </c>
      <c r="I36" s="73">
        <v>0</v>
      </c>
      <c r="J36" s="73">
        <v>0</v>
      </c>
      <c r="K36" s="73">
        <v>0</v>
      </c>
      <c r="L36" s="73">
        <v>0</v>
      </c>
      <c r="M36" s="73">
        <v>0</v>
      </c>
      <c r="N36" s="73">
        <v>0</v>
      </c>
      <c r="O36" s="73">
        <v>0</v>
      </c>
      <c r="P36" s="73">
        <v>0</v>
      </c>
      <c r="Q36" s="73">
        <v>0</v>
      </c>
      <c r="R36" s="73">
        <v>0</v>
      </c>
      <c r="S36" s="73">
        <f>Q36*'US 2018 Facts - Sensitivity'!$B$23</f>
        <v>0</v>
      </c>
      <c r="T36" s="73">
        <f>Q41*'Stream 19 - Contamination'!C8</f>
        <v>8889.348</v>
      </c>
      <c r="U36" s="73">
        <f t="shared" si="6"/>
        <v>8889.348</v>
      </c>
      <c r="V36" s="73">
        <v>0</v>
      </c>
      <c r="W36" s="73">
        <v>0</v>
      </c>
      <c r="X36" s="73">
        <f>Q36*(1-'US 2018 Facts - Sensitivity'!$B$6)</f>
        <v>0</v>
      </c>
      <c r="Y36" s="73">
        <v>0</v>
      </c>
      <c r="Z36" s="73">
        <f>L36-L36*'US 2018 Facts - Sensitivity'!$B$24</f>
        <v>0</v>
      </c>
      <c r="AA36" s="73">
        <v>0</v>
      </c>
      <c r="AB36" s="73">
        <v>0</v>
      </c>
      <c r="AC36" s="73">
        <v>0</v>
      </c>
      <c r="AD36" s="73">
        <v>0</v>
      </c>
      <c r="AE36" s="73">
        <v>0</v>
      </c>
      <c r="AF36" s="73">
        <v>0</v>
      </c>
      <c r="AG36" s="73">
        <v>0</v>
      </c>
      <c r="AH36" s="73">
        <f t="shared" si="2"/>
        <v>0</v>
      </c>
      <c r="AI36" s="73">
        <f t="shared" si="3"/>
        <v>0</v>
      </c>
    </row>
    <row r="37" spans="1:35" x14ac:dyDescent="0.25">
      <c r="A37" s="72" t="s">
        <v>256</v>
      </c>
      <c r="B37" s="73">
        <v>0</v>
      </c>
      <c r="C37" s="73">
        <v>0</v>
      </c>
      <c r="D37" s="73">
        <v>0</v>
      </c>
      <c r="E37" s="73">
        <v>0</v>
      </c>
      <c r="F37" s="73">
        <v>0</v>
      </c>
      <c r="G37" s="73">
        <v>0</v>
      </c>
      <c r="H37" s="73">
        <v>0</v>
      </c>
      <c r="I37" s="73">
        <v>0</v>
      </c>
      <c r="J37" s="73">
        <v>0</v>
      </c>
      <c r="K37" s="73">
        <v>0</v>
      </c>
      <c r="L37" s="73">
        <v>0</v>
      </c>
      <c r="M37" s="73">
        <v>0</v>
      </c>
      <c r="N37" s="73">
        <v>0</v>
      </c>
      <c r="O37" s="73">
        <v>0</v>
      </c>
      <c r="P37" s="73">
        <v>0</v>
      </c>
      <c r="Q37" s="73">
        <v>0</v>
      </c>
      <c r="R37" s="73">
        <v>0</v>
      </c>
      <c r="S37" s="73">
        <f>Q37*'US 2018 Facts - Sensitivity'!$B$23</f>
        <v>0</v>
      </c>
      <c r="T37" s="73">
        <f>Q41*'Stream 19 - Contamination'!C10</f>
        <v>70430.988000000012</v>
      </c>
      <c r="U37" s="73">
        <f t="shared" si="6"/>
        <v>70430.988000000012</v>
      </c>
      <c r="V37" s="73">
        <v>0</v>
      </c>
      <c r="W37" s="73">
        <v>0</v>
      </c>
      <c r="X37" s="73">
        <f>Q37*(1-'US 2018 Facts - Sensitivity'!$B$6)</f>
        <v>0</v>
      </c>
      <c r="Y37" s="73">
        <v>0</v>
      </c>
      <c r="Z37" s="73">
        <f>L37-L37*'US 2018 Facts - Sensitivity'!$B$24</f>
        <v>0</v>
      </c>
      <c r="AA37" s="73">
        <v>0</v>
      </c>
      <c r="AB37" s="73">
        <v>0</v>
      </c>
      <c r="AC37" s="73">
        <v>0</v>
      </c>
      <c r="AD37" s="73">
        <v>0</v>
      </c>
      <c r="AE37" s="73">
        <v>0</v>
      </c>
      <c r="AF37" s="73">
        <v>0</v>
      </c>
      <c r="AG37" s="73">
        <v>0</v>
      </c>
      <c r="AH37" s="73">
        <f t="shared" si="2"/>
        <v>0</v>
      </c>
      <c r="AI37" s="73">
        <f t="shared" si="3"/>
        <v>0</v>
      </c>
    </row>
    <row r="38" spans="1:35" x14ac:dyDescent="0.25">
      <c r="A38" s="76" t="s">
        <v>119</v>
      </c>
      <c r="B38" s="73">
        <v>0</v>
      </c>
      <c r="C38" s="73">
        <v>0</v>
      </c>
      <c r="D38" s="73">
        <v>0</v>
      </c>
      <c r="E38" s="73">
        <v>0</v>
      </c>
      <c r="F38" s="73">
        <v>0</v>
      </c>
      <c r="G38" s="73">
        <f t="shared" si="4"/>
        <v>0</v>
      </c>
      <c r="H38" s="73">
        <v>0</v>
      </c>
      <c r="I38" s="73">
        <v>0</v>
      </c>
      <c r="J38" s="73">
        <v>0</v>
      </c>
      <c r="K38" s="73">
        <f t="shared" si="9"/>
        <v>0</v>
      </c>
      <c r="L38" s="73">
        <v>0</v>
      </c>
      <c r="M38" s="73">
        <v>0</v>
      </c>
      <c r="N38" s="73">
        <v>0</v>
      </c>
      <c r="O38" s="73">
        <v>0</v>
      </c>
      <c r="P38" s="73">
        <v>0</v>
      </c>
      <c r="Q38" s="73">
        <v>0</v>
      </c>
      <c r="R38" s="73">
        <v>0</v>
      </c>
      <c r="S38" s="73">
        <f>Q38*'US 2018 Facts - Sensitivity'!$B$23</f>
        <v>0</v>
      </c>
      <c r="T38" s="73">
        <v>0</v>
      </c>
      <c r="U38" s="73">
        <f t="shared" si="6"/>
        <v>0</v>
      </c>
      <c r="V38" s="73">
        <v>0</v>
      </c>
      <c r="W38" s="73">
        <v>0</v>
      </c>
      <c r="X38" s="73">
        <f>Q38*(1-'US 2018 Facts - Sensitivity'!$B$6)</f>
        <v>0</v>
      </c>
      <c r="Y38" s="73">
        <v>0</v>
      </c>
      <c r="Z38" s="73">
        <f>'US 2018 Facts - Sensitivity'!B107</f>
        <v>15.374161417214669</v>
      </c>
      <c r="AA38" s="73">
        <v>0</v>
      </c>
      <c r="AB38" s="73">
        <v>0</v>
      </c>
      <c r="AC38" s="73">
        <v>0</v>
      </c>
      <c r="AD38" s="73">
        <v>0</v>
      </c>
      <c r="AE38" s="73">
        <v>0</v>
      </c>
      <c r="AF38" s="73">
        <f>E38*'US 2018 Facts - Sensitivity'!$B$19</f>
        <v>0</v>
      </c>
      <c r="AG38" s="73">
        <v>0</v>
      </c>
      <c r="AH38" s="73">
        <f t="shared" si="2"/>
        <v>0</v>
      </c>
      <c r="AI38" s="73">
        <f t="shared" si="3"/>
        <v>0</v>
      </c>
    </row>
    <row r="39" spans="1:35" x14ac:dyDescent="0.25">
      <c r="A39" s="76" t="s">
        <v>501</v>
      </c>
      <c r="B39" s="73">
        <v>0</v>
      </c>
      <c r="C39" s="73">
        <v>0</v>
      </c>
      <c r="D39" s="73">
        <v>0</v>
      </c>
      <c r="E39" s="73">
        <v>0</v>
      </c>
      <c r="F39" s="73">
        <v>0</v>
      </c>
      <c r="G39" s="73">
        <v>0</v>
      </c>
      <c r="H39" s="73">
        <v>0</v>
      </c>
      <c r="I39" s="73">
        <v>0</v>
      </c>
      <c r="J39" s="73">
        <v>0</v>
      </c>
      <c r="K39" s="73">
        <v>0</v>
      </c>
      <c r="L39" s="73">
        <v>0</v>
      </c>
      <c r="M39" s="73">
        <v>0</v>
      </c>
      <c r="N39" s="73">
        <v>0</v>
      </c>
      <c r="O39" s="73">
        <v>0</v>
      </c>
      <c r="P39" s="73">
        <v>0</v>
      </c>
      <c r="Q39" s="73">
        <v>0</v>
      </c>
      <c r="R39" s="73">
        <v>0</v>
      </c>
      <c r="S39" s="73">
        <v>0</v>
      </c>
      <c r="T39" s="73">
        <v>0</v>
      </c>
      <c r="U39" s="73">
        <f t="shared" si="6"/>
        <v>0</v>
      </c>
      <c r="V39" s="73">
        <v>0</v>
      </c>
      <c r="W39" s="73">
        <v>0</v>
      </c>
      <c r="X39" s="73">
        <v>0</v>
      </c>
      <c r="Y39" s="73">
        <v>0</v>
      </c>
      <c r="Z39" s="73">
        <v>0</v>
      </c>
      <c r="AA39" s="73">
        <v>0</v>
      </c>
      <c r="AB39" s="73">
        <v>0</v>
      </c>
      <c r="AC39" s="73">
        <v>0</v>
      </c>
      <c r="AD39" s="73">
        <f>X41*(1-'US 2018 Facts - Sensitivity'!$B$7)*0.172271</f>
        <v>3922.6807498428034</v>
      </c>
      <c r="AE39" s="73">
        <f>X41*(1-'US 2018 Facts - Sensitivity'!$B$7)*(1-0.172271)</f>
        <v>18847.726050157213</v>
      </c>
      <c r="AF39" s="73">
        <f>E39*'US 2018 Facts - Sensitivity'!$B$19</f>
        <v>0</v>
      </c>
      <c r="AG39" s="73">
        <v>0</v>
      </c>
      <c r="AH39" s="73">
        <f t="shared" si="2"/>
        <v>0</v>
      </c>
      <c r="AI39" s="73">
        <f t="shared" si="3"/>
        <v>3922.6807498428034</v>
      </c>
    </row>
    <row r="40" spans="1:35" x14ac:dyDescent="0.25">
      <c r="A40" s="76" t="s">
        <v>500</v>
      </c>
      <c r="B40" s="73">
        <v>0</v>
      </c>
      <c r="C40" s="73">
        <v>0</v>
      </c>
      <c r="D40" s="73">
        <v>0</v>
      </c>
      <c r="E40" s="73">
        <v>0</v>
      </c>
      <c r="F40" s="73">
        <v>0</v>
      </c>
      <c r="G40" s="73">
        <v>0</v>
      </c>
      <c r="H40" s="73">
        <v>0</v>
      </c>
      <c r="I40" s="73">
        <v>0</v>
      </c>
      <c r="J40" s="73">
        <v>0</v>
      </c>
      <c r="K40" s="73">
        <v>0</v>
      </c>
      <c r="L40" s="73">
        <v>0</v>
      </c>
      <c r="M40" s="73">
        <v>0</v>
      </c>
      <c r="N40" s="73">
        <v>0</v>
      </c>
      <c r="O40" s="73">
        <v>0</v>
      </c>
      <c r="P40" s="73">
        <v>0</v>
      </c>
      <c r="Q40" s="73">
        <v>0</v>
      </c>
      <c r="R40" s="73">
        <v>0</v>
      </c>
      <c r="S40" s="73">
        <v>0</v>
      </c>
      <c r="T40" s="73">
        <v>0</v>
      </c>
      <c r="U40" s="73">
        <f t="shared" si="6"/>
        <v>0</v>
      </c>
      <c r="V40" s="73">
        <v>0</v>
      </c>
      <c r="W40" s="73">
        <v>0</v>
      </c>
      <c r="X40" s="73">
        <v>0</v>
      </c>
      <c r="Y40" s="73">
        <v>0</v>
      </c>
      <c r="Z40" s="73">
        <v>0</v>
      </c>
      <c r="AA40" s="73">
        <v>0</v>
      </c>
      <c r="AB40" s="73">
        <v>0</v>
      </c>
      <c r="AC40" s="73">
        <f>X41*'US 2018 Facts - Sensitivity'!B7</f>
        <v>432637.72919999994</v>
      </c>
      <c r="AD40" s="73">
        <f>X40*'US 2018 Facts - Sensitivity'!$B$13</f>
        <v>0</v>
      </c>
      <c r="AE40" s="73">
        <f>X40*'US 2018 Facts - Sensitivity'!$B$15</f>
        <v>0</v>
      </c>
      <c r="AF40" s="73">
        <f>E40*'US 2018 Facts - Sensitivity'!$B$19</f>
        <v>0</v>
      </c>
      <c r="AG40" s="73">
        <v>0</v>
      </c>
      <c r="AH40" s="73">
        <f t="shared" si="2"/>
        <v>0</v>
      </c>
      <c r="AI40" s="73">
        <f t="shared" si="3"/>
        <v>0</v>
      </c>
    </row>
    <row r="41" spans="1:35" s="78" customFormat="1" x14ac:dyDescent="0.25">
      <c r="A41" s="77" t="s">
        <v>105</v>
      </c>
      <c r="B41" s="78">
        <f>SUM(B3:B40)</f>
        <v>32179808.224304423</v>
      </c>
      <c r="C41" s="78">
        <f t="shared" ref="C41:I41" si="10">SUM(C3:C40)</f>
        <v>1547716.188137691</v>
      </c>
      <c r="D41" s="78">
        <f t="shared" si="10"/>
        <v>0</v>
      </c>
      <c r="E41" s="78">
        <f t="shared" si="10"/>
        <v>35660011.204481803</v>
      </c>
      <c r="F41" s="78">
        <f t="shared" si="10"/>
        <v>38770.205318645792</v>
      </c>
      <c r="G41" s="78">
        <f t="shared" si="10"/>
        <v>35621240.999163151</v>
      </c>
      <c r="H41" s="78">
        <f t="shared" si="10"/>
        <v>0</v>
      </c>
      <c r="I41" s="78">
        <f t="shared" si="10"/>
        <v>257088605.34453782</v>
      </c>
      <c r="J41" s="78">
        <f>'US 2018 Facts - Sensitivity'!B18*E41</f>
        <v>713200.22408963612</v>
      </c>
      <c r="K41" s="78">
        <f>SUM(K3:K40)</f>
        <v>291997045.67155761</v>
      </c>
      <c r="L41" s="78">
        <f t="shared" ref="L41:N41" si="11">SUM(L3:L40)</f>
        <v>28892160</v>
      </c>
      <c r="M41" s="78">
        <f t="shared" si="11"/>
        <v>118990520</v>
      </c>
      <c r="N41" s="78">
        <f t="shared" si="11"/>
        <v>43025761.344537817</v>
      </c>
      <c r="O41" s="78">
        <f>SUM(O3:O40)</f>
        <v>65970900</v>
      </c>
      <c r="P41" s="78">
        <f t="shared" ref="P41:V41" si="12">SUM(P3:P40)</f>
        <v>0</v>
      </c>
      <c r="Q41" s="78">
        <f t="shared" si="12"/>
        <v>1367592.0000000002</v>
      </c>
      <c r="R41" s="78">
        <f t="shared" si="12"/>
        <v>0</v>
      </c>
      <c r="S41" s="78">
        <f t="shared" si="12"/>
        <v>3192.1399603231789</v>
      </c>
      <c r="T41" s="78">
        <f t="shared" si="12"/>
        <v>136075.40400000004</v>
      </c>
      <c r="U41" s="78">
        <f t="shared" si="12"/>
        <v>2011807.1280396767</v>
      </c>
      <c r="V41" s="78">
        <f t="shared" si="12"/>
        <v>975084.99999999988</v>
      </c>
      <c r="W41" s="78">
        <f>SUM(W3:W40)</f>
        <v>8345</v>
      </c>
      <c r="X41" s="78">
        <f t="shared" ref="X41:AD41" si="13">SUM(X3:X40)</f>
        <v>455408.13599999994</v>
      </c>
      <c r="Y41" s="78">
        <f t="shared" si="13"/>
        <v>281515.62102400052</v>
      </c>
      <c r="Z41" s="78">
        <f t="shared" si="13"/>
        <v>2978.2825371189133</v>
      </c>
      <c r="AA41" s="78">
        <f t="shared" si="13"/>
        <v>1352628.3789760007</v>
      </c>
      <c r="AB41" s="78">
        <f t="shared" si="13"/>
        <v>1629528.0000000002</v>
      </c>
      <c r="AC41" s="78">
        <f t="shared" si="13"/>
        <v>432637.72919999994</v>
      </c>
      <c r="AD41" s="78">
        <f t="shared" si="13"/>
        <v>3922.6807498428034</v>
      </c>
      <c r="AE41" s="78">
        <f t="shared" ref="AE41" si="14">SUM(AE3:AE40)</f>
        <v>18847.726050157213</v>
      </c>
      <c r="AF41" s="78">
        <f t="shared" ref="AF41" si="15">SUM(AF3:AF40)</f>
        <v>3566001.7766522733</v>
      </c>
      <c r="AG41" s="78">
        <f t="shared" ref="AG41" si="16">SUM(AG3:AG40)</f>
        <v>0</v>
      </c>
      <c r="AH41" s="78">
        <f t="shared" ref="AH41" si="17">SUM(AH3:AH40)</f>
        <v>29629083.757024001</v>
      </c>
      <c r="AI41" s="78">
        <f>SUM(AI3:AI35)</f>
        <v>117489947.2744671</v>
      </c>
    </row>
    <row r="42" spans="1:35" s="79" customFormat="1" x14ac:dyDescent="0.25">
      <c r="A42" s="64" t="s">
        <v>107</v>
      </c>
      <c r="B42" s="79">
        <f t="shared" ref="B42:S42" si="18">SUM(B3:B10)</f>
        <v>32179808.224304423</v>
      </c>
      <c r="C42" s="79">
        <f t="shared" si="18"/>
        <v>0</v>
      </c>
      <c r="D42" s="79">
        <f t="shared" si="18"/>
        <v>0</v>
      </c>
      <c r="E42" s="79">
        <f t="shared" si="18"/>
        <v>33724199.400784314</v>
      </c>
      <c r="F42" s="79">
        <f t="shared" si="18"/>
        <v>159.02257102062146</v>
      </c>
      <c r="G42" s="79">
        <f t="shared" si="18"/>
        <v>33724040.378213294</v>
      </c>
      <c r="H42" s="79">
        <f t="shared" ref="H42" si="19">SUM(H3:H10)</f>
        <v>0</v>
      </c>
      <c r="I42" s="79">
        <f t="shared" si="18"/>
        <v>402648.79329411767</v>
      </c>
      <c r="J42" s="79">
        <f t="shared" si="18"/>
        <v>674106.1258375264</v>
      </c>
      <c r="K42" s="79">
        <f t="shared" si="18"/>
        <v>33452583.045669887</v>
      </c>
      <c r="L42" s="79">
        <f t="shared" si="18"/>
        <v>0</v>
      </c>
      <c r="M42" s="79">
        <f t="shared" si="18"/>
        <v>0</v>
      </c>
      <c r="N42" s="79">
        <f t="shared" si="18"/>
        <v>402648.79329411767</v>
      </c>
      <c r="O42" s="79">
        <f t="shared" si="18"/>
        <v>0</v>
      </c>
      <c r="P42" s="79">
        <f t="shared" si="18"/>
        <v>0</v>
      </c>
      <c r="Q42" s="79">
        <f t="shared" si="18"/>
        <v>1207985.0019838409</v>
      </c>
      <c r="R42" s="79">
        <f t="shared" si="18"/>
        <v>0</v>
      </c>
      <c r="S42" s="79">
        <f t="shared" si="18"/>
        <v>0</v>
      </c>
      <c r="T42" s="79">
        <v>0</v>
      </c>
      <c r="U42" s="79">
        <f t="shared" ref="U42:AI42" si="20">SUM(U3:U10)</f>
        <v>1544391.1764798886</v>
      </c>
      <c r="V42" s="79">
        <f t="shared" ref="V42:W42" si="21">SUM(V3:V10)</f>
        <v>746553.89997999999</v>
      </c>
      <c r="W42" s="79">
        <f t="shared" si="21"/>
        <v>7888.7198233333347</v>
      </c>
      <c r="X42" s="79">
        <f t="shared" ref="X42" si="22">SUM(X3:X10)</f>
        <v>402259.005660619</v>
      </c>
      <c r="Y42" s="79">
        <f t="shared" si="20"/>
        <v>267858.38112436386</v>
      </c>
      <c r="Z42" s="79">
        <f t="shared" si="20"/>
        <v>67.011738678478991</v>
      </c>
      <c r="AA42" s="79">
        <f t="shared" si="20"/>
        <v>1287007.9697087053</v>
      </c>
      <c r="AB42" s="79">
        <f t="shared" ref="AB42:AE42" si="23">SUM(AB3:AB10)</f>
        <v>1439146.7285466669</v>
      </c>
      <c r="AC42" s="79">
        <f t="shared" si="23"/>
        <v>0</v>
      </c>
      <c r="AD42" s="79">
        <f t="shared" si="23"/>
        <v>0</v>
      </c>
      <c r="AE42" s="79">
        <f t="shared" si="23"/>
        <v>0</v>
      </c>
      <c r="AF42" s="79">
        <f t="shared" si="20"/>
        <v>3372419.9400784317</v>
      </c>
      <c r="AG42" s="79">
        <f t="shared" si="20"/>
        <v>0</v>
      </c>
      <c r="AH42" s="79">
        <f t="shared" si="20"/>
        <v>670117.38678498287</v>
      </c>
      <c r="AI42" s="79">
        <f t="shared" si="20"/>
        <v>-1411305.8445322001</v>
      </c>
    </row>
    <row r="43" spans="1:35" s="79" customFormat="1" x14ac:dyDescent="0.25">
      <c r="A43" s="64" t="s">
        <v>106</v>
      </c>
      <c r="B43" s="79">
        <f t="shared" ref="B43:AI43" si="24">SUM(B11:B26)</f>
        <v>0</v>
      </c>
      <c r="C43" s="79">
        <f t="shared" si="24"/>
        <v>1547716.188137691</v>
      </c>
      <c r="D43" s="79">
        <f t="shared" si="24"/>
        <v>0</v>
      </c>
      <c r="E43" s="79">
        <f t="shared" si="24"/>
        <v>1935811.803697479</v>
      </c>
      <c r="F43" s="79">
        <f t="shared" si="24"/>
        <v>38611.182747625164</v>
      </c>
      <c r="G43" s="79">
        <f t="shared" si="24"/>
        <v>1897200.6209498532</v>
      </c>
      <c r="H43" s="79">
        <f t="shared" ref="H43" si="25">SUM(H11:H26)</f>
        <v>0</v>
      </c>
      <c r="I43" s="79">
        <f t="shared" si="24"/>
        <v>23112.551243697482</v>
      </c>
      <c r="J43" s="79">
        <f t="shared" si="24"/>
        <v>38694.546305840944</v>
      </c>
      <c r="K43" s="79">
        <f>SUM(K11:K26)</f>
        <v>1881618.6258877106</v>
      </c>
      <c r="L43" s="79">
        <f t="shared" si="24"/>
        <v>0</v>
      </c>
      <c r="M43" s="79">
        <f t="shared" si="24"/>
        <v>0</v>
      </c>
      <c r="N43" s="79">
        <f t="shared" si="24"/>
        <v>23112.551243697482</v>
      </c>
      <c r="O43" s="79">
        <f t="shared" si="24"/>
        <v>0</v>
      </c>
      <c r="P43" s="79">
        <f t="shared" si="24"/>
        <v>0</v>
      </c>
      <c r="Q43" s="79">
        <f t="shared" si="24"/>
        <v>159606.99801615893</v>
      </c>
      <c r="R43" s="79">
        <f t="shared" si="24"/>
        <v>0</v>
      </c>
      <c r="S43" s="79">
        <f t="shared" si="24"/>
        <v>3192.1399603231789</v>
      </c>
      <c r="T43" s="79">
        <f t="shared" si="24"/>
        <v>56755.068000000014</v>
      </c>
      <c r="U43" s="79">
        <f t="shared" si="24"/>
        <v>388095.61555978819</v>
      </c>
      <c r="V43" s="79">
        <f t="shared" ref="V43:W43" si="26">SUM(V11:V26)</f>
        <v>228531.10002000001</v>
      </c>
      <c r="W43" s="79">
        <f t="shared" si="26"/>
        <v>456.28017666666665</v>
      </c>
      <c r="X43" s="79">
        <f t="shared" ref="X43" si="27">SUM(X11:X26)</f>
        <v>53149.130339380907</v>
      </c>
      <c r="Y43" s="79">
        <f t="shared" si="24"/>
        <v>13657.239899636568</v>
      </c>
      <c r="Z43" s="79">
        <f t="shared" si="24"/>
        <v>6.6806370239031887</v>
      </c>
      <c r="AA43" s="79">
        <f t="shared" si="24"/>
        <v>65620.40926729553</v>
      </c>
      <c r="AB43" s="79">
        <f t="shared" ref="AB43:AE43" si="28">SUM(AB11:AB26)</f>
        <v>190381.27145333338</v>
      </c>
      <c r="AC43" s="79">
        <f t="shared" si="28"/>
        <v>0</v>
      </c>
      <c r="AD43" s="79">
        <f t="shared" si="28"/>
        <v>0</v>
      </c>
      <c r="AE43" s="79">
        <f t="shared" si="28"/>
        <v>0</v>
      </c>
      <c r="AF43" s="79">
        <f t="shared" si="24"/>
        <v>193581.83657384058</v>
      </c>
      <c r="AG43" s="79">
        <f t="shared" si="24"/>
        <v>0</v>
      </c>
      <c r="AH43" s="79">
        <f t="shared" si="24"/>
        <v>66806.370239017488</v>
      </c>
      <c r="AI43" s="79">
        <f t="shared" si="24"/>
        <v>-89266.881000704147</v>
      </c>
    </row>
    <row r="44" spans="1:35" s="79" customFormat="1" x14ac:dyDescent="0.25">
      <c r="A44" s="64" t="s">
        <v>139</v>
      </c>
      <c r="B44" s="79">
        <v>0</v>
      </c>
      <c r="C44" s="79">
        <v>0</v>
      </c>
      <c r="D44" s="79" t="s">
        <v>145</v>
      </c>
      <c r="E44" s="79">
        <v>0</v>
      </c>
      <c r="F44" s="79">
        <v>0</v>
      </c>
      <c r="G44" s="79">
        <v>0</v>
      </c>
      <c r="H44" s="79" t="s">
        <v>145</v>
      </c>
      <c r="I44" s="79">
        <v>0</v>
      </c>
      <c r="J44" s="79">
        <v>0</v>
      </c>
      <c r="K44" s="79">
        <v>0</v>
      </c>
      <c r="L44" s="79">
        <v>0</v>
      </c>
      <c r="M44" s="79">
        <v>0</v>
      </c>
      <c r="N44" s="79">
        <v>0</v>
      </c>
      <c r="O44" s="79">
        <v>0</v>
      </c>
      <c r="P44" s="79" t="s">
        <v>145</v>
      </c>
      <c r="Q44" s="79">
        <v>0</v>
      </c>
      <c r="R44" s="79">
        <v>0</v>
      </c>
      <c r="S44" s="79">
        <v>0</v>
      </c>
      <c r="T44" s="79">
        <v>0</v>
      </c>
      <c r="U44" s="79">
        <v>0</v>
      </c>
      <c r="V44" s="79">
        <v>0</v>
      </c>
      <c r="W44" s="79">
        <v>0</v>
      </c>
      <c r="X44" s="79">
        <v>0</v>
      </c>
      <c r="Y44" s="79">
        <v>0</v>
      </c>
      <c r="Z44" s="79">
        <f>Y41-Z38</f>
        <v>281500.24686258333</v>
      </c>
      <c r="AA44" s="79">
        <v>0</v>
      </c>
      <c r="AB44" s="79">
        <v>0</v>
      </c>
      <c r="AC44" s="79">
        <v>0</v>
      </c>
      <c r="AD44" s="79">
        <v>0</v>
      </c>
      <c r="AE44" s="79">
        <v>0</v>
      </c>
      <c r="AF44" s="79">
        <v>0</v>
      </c>
      <c r="AG44" s="79">
        <v>0</v>
      </c>
      <c r="AH44" s="79">
        <v>0</v>
      </c>
      <c r="AI44" s="79">
        <v>0</v>
      </c>
    </row>
    <row r="45" spans="1:35" s="80" customFormat="1" x14ac:dyDescent="0.25">
      <c r="A45" s="50" t="s">
        <v>104</v>
      </c>
      <c r="B45" s="80">
        <v>0</v>
      </c>
      <c r="C45" s="80">
        <v>0</v>
      </c>
      <c r="D45" s="80">
        <f>'US 2018 Facts - Sensitivity'!B94+'Stream 3 - Emissions'!O32</f>
        <v>63984903.995334648</v>
      </c>
      <c r="E45" s="80">
        <v>0</v>
      </c>
      <c r="G45" s="80">
        <v>0</v>
      </c>
      <c r="H45" s="80">
        <f>'US 2018 Facts - Sensitivity'!B88</f>
        <v>74030390.585269377</v>
      </c>
      <c r="I45" s="80">
        <v>0</v>
      </c>
      <c r="K45" s="80">
        <v>0</v>
      </c>
      <c r="O45" s="80">
        <v>0</v>
      </c>
      <c r="P45" s="80">
        <f>'US 2018 Facts - Sensitivity'!B110</f>
        <v>120151789.99999999</v>
      </c>
      <c r="Q45" s="80">
        <v>0</v>
      </c>
      <c r="R45" s="80">
        <f>'Stream 16 - MechRecyc'!O32</f>
        <v>-1330003.4911550621</v>
      </c>
      <c r="S45" s="80">
        <v>0</v>
      </c>
      <c r="T45" s="80">
        <v>0</v>
      </c>
      <c r="U45" s="80">
        <f>'Stream 20 - Domestic Recyc'!O32</f>
        <v>-1939365.3543368173</v>
      </c>
      <c r="V45" s="80">
        <v>0</v>
      </c>
      <c r="W45" s="80">
        <v>0</v>
      </c>
      <c r="X45" s="80">
        <f>'Stream 23 - MechRec-ChemRec'!O32</f>
        <v>20080.037695766394</v>
      </c>
      <c r="Y45" s="80">
        <v>0</v>
      </c>
      <c r="Z45" s="80">
        <f>'Stream 24 - Incineration'!O32+L41*1.05</f>
        <v>30763409.883956771</v>
      </c>
      <c r="AA45" s="80">
        <v>0</v>
      </c>
      <c r="AB45" s="80">
        <f>'Stream 27 - Export'!O32</f>
        <v>7452168.5866666678</v>
      </c>
      <c r="AD45" s="80">
        <f>'Stream 28-I (To Incineration)'!O32</f>
        <v>10074.943806446983</v>
      </c>
      <c r="AE45" s="80">
        <f>'Stream 28-L (To Landfill)'!O32</f>
        <v>172.96040869436882</v>
      </c>
      <c r="AF45" s="80">
        <f>'Stream 29 - Plastic Release'!O32</f>
        <v>157233.57673686263</v>
      </c>
      <c r="AG45" s="80">
        <f>AG46+'US 2018 Facts - Sensitivity'!B114</f>
        <v>94559640.631537154</v>
      </c>
    </row>
    <row r="46" spans="1:35" s="105" customFormat="1" x14ac:dyDescent="0.25">
      <c r="A46" s="104" t="s">
        <v>227</v>
      </c>
      <c r="B46" s="105">
        <f>B45</f>
        <v>0</v>
      </c>
      <c r="C46" s="105">
        <f t="shared" ref="C46:AI46" si="29">C45</f>
        <v>0</v>
      </c>
      <c r="D46" s="105">
        <f t="shared" si="29"/>
        <v>63984903.995334648</v>
      </c>
      <c r="E46" s="105">
        <f t="shared" si="29"/>
        <v>0</v>
      </c>
      <c r="F46" s="105">
        <f t="shared" si="29"/>
        <v>0</v>
      </c>
      <c r="G46" s="105">
        <f t="shared" si="29"/>
        <v>0</v>
      </c>
      <c r="H46" s="105">
        <f t="shared" si="29"/>
        <v>74030390.585269377</v>
      </c>
      <c r="I46" s="105">
        <f t="shared" si="29"/>
        <v>0</v>
      </c>
      <c r="J46" s="105">
        <f t="shared" si="29"/>
        <v>0</v>
      </c>
      <c r="K46" s="105">
        <f t="shared" si="29"/>
        <v>0</v>
      </c>
      <c r="L46" s="105">
        <f t="shared" si="29"/>
        <v>0</v>
      </c>
      <c r="M46" s="105">
        <f t="shared" si="29"/>
        <v>0</v>
      </c>
      <c r="N46" s="105">
        <f t="shared" si="29"/>
        <v>0</v>
      </c>
      <c r="O46" s="105">
        <f t="shared" si="29"/>
        <v>0</v>
      </c>
      <c r="P46" s="105">
        <f t="shared" si="29"/>
        <v>120151789.99999999</v>
      </c>
      <c r="Q46" s="105">
        <f t="shared" si="29"/>
        <v>0</v>
      </c>
      <c r="R46" s="105">
        <f t="shared" si="29"/>
        <v>-1330003.4911550621</v>
      </c>
      <c r="S46" s="105">
        <f>S45</f>
        <v>0</v>
      </c>
      <c r="T46" s="105">
        <f t="shared" si="29"/>
        <v>0</v>
      </c>
      <c r="U46" s="105">
        <f t="shared" si="29"/>
        <v>-1939365.3543368173</v>
      </c>
      <c r="V46" s="105">
        <f t="shared" ref="V46:W46" si="30">V45</f>
        <v>0</v>
      </c>
      <c r="W46" s="105">
        <f t="shared" si="30"/>
        <v>0</v>
      </c>
      <c r="X46" s="105">
        <f t="shared" ref="X46" si="31">X45</f>
        <v>20080.037695766394</v>
      </c>
      <c r="Y46" s="105">
        <f t="shared" si="29"/>
        <v>0</v>
      </c>
      <c r="Z46" s="105">
        <f>'Stream 24 - Incineration'!O32</f>
        <v>426641.88395677158</v>
      </c>
      <c r="AA46" s="105">
        <f t="shared" si="29"/>
        <v>0</v>
      </c>
      <c r="AB46" s="105">
        <f t="shared" ref="AB46" si="32">AB45</f>
        <v>7452168.5866666678</v>
      </c>
      <c r="AC46" s="105">
        <f>AC41*0.262</f>
        <v>113351.08505039998</v>
      </c>
      <c r="AD46" s="105">
        <f>AD45</f>
        <v>10074.943806446983</v>
      </c>
      <c r="AE46" s="105">
        <f>AE45</f>
        <v>172.96040869436882</v>
      </c>
      <c r="AF46" s="105">
        <f t="shared" si="29"/>
        <v>157233.57673686263</v>
      </c>
      <c r="AG46" s="105">
        <f>'Stream 26 - Landfilled Plastic'!O32</f>
        <v>59640.631537161418</v>
      </c>
      <c r="AH46" s="105">
        <f t="shared" si="29"/>
        <v>0</v>
      </c>
      <c r="AI46" s="105">
        <f t="shared" si="29"/>
        <v>0</v>
      </c>
    </row>
    <row r="47" spans="1:35" s="291" customFormat="1" x14ac:dyDescent="0.25">
      <c r="A47" s="65" t="s">
        <v>508</v>
      </c>
      <c r="AC47" s="291">
        <f>AC41*3260</f>
        <v>1410398997.1919999</v>
      </c>
    </row>
    <row r="51" spans="2:34" x14ac:dyDescent="0.25">
      <c r="B51" s="81"/>
      <c r="Z51" s="82"/>
      <c r="AA51" s="82"/>
      <c r="AB51" s="82"/>
      <c r="AC51" s="82"/>
      <c r="AD51" s="82"/>
      <c r="AE51" s="82"/>
      <c r="AF51" s="82"/>
      <c r="AG51" s="82"/>
      <c r="AH51" s="82"/>
    </row>
    <row r="52" spans="2:34" x14ac:dyDescent="0.25">
      <c r="B52" s="83"/>
    </row>
    <row r="53" spans="2:34" x14ac:dyDescent="0.25">
      <c r="B53" s="83"/>
    </row>
    <row r="54" spans="2:34" x14ac:dyDescent="0.25">
      <c r="B54" s="84"/>
    </row>
    <row r="55" spans="2:34" x14ac:dyDescent="0.25">
      <c r="B55" s="84"/>
    </row>
    <row r="56" spans="2:34" x14ac:dyDescent="0.25">
      <c r="B56" s="84"/>
    </row>
    <row r="57" spans="2:34" x14ac:dyDescent="0.25">
      <c r="B57" s="84"/>
    </row>
    <row r="58" spans="2:34" x14ac:dyDescent="0.25">
      <c r="B58" s="83"/>
    </row>
    <row r="59" spans="2:34" x14ac:dyDescent="0.25">
      <c r="B59" s="84"/>
    </row>
    <row r="60" spans="2:34" x14ac:dyDescent="0.25">
      <c r="B60" s="84"/>
    </row>
    <row r="61" spans="2:34" x14ac:dyDescent="0.25">
      <c r="B61" s="84"/>
    </row>
    <row r="62" spans="2:34" x14ac:dyDescent="0.25">
      <c r="B62" s="84"/>
    </row>
    <row r="63" spans="2:34" x14ac:dyDescent="0.25">
      <c r="B63" s="84"/>
    </row>
    <row r="64" spans="2:34" x14ac:dyDescent="0.25">
      <c r="B64" s="84"/>
    </row>
    <row r="75" spans="17:17" x14ac:dyDescent="0.25">
      <c r="Q75"/>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5" r:id="rId4">
          <objectPr defaultSize="0" autoPict="0" r:id="rId5">
            <anchor moveWithCells="1" sizeWithCells="1">
              <from>
                <xdr:col>1</xdr:col>
                <xdr:colOff>495300</xdr:colOff>
                <xdr:row>48</xdr:row>
                <xdr:rowOff>123825</xdr:rowOff>
              </from>
              <to>
                <xdr:col>14</xdr:col>
                <xdr:colOff>171450</xdr:colOff>
                <xdr:row>85</xdr:row>
                <xdr:rowOff>47625</xdr:rowOff>
              </to>
            </anchor>
          </objectPr>
        </oleObject>
      </mc:Choice>
      <mc:Fallback>
        <oleObject progId="Visio.Drawing.15" shapeId="1025"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73"/>
  <sheetViews>
    <sheetView topLeftCell="C1" workbookViewId="0">
      <selection sqref="A1:XFD1048576"/>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1.7109375" style="3" bestFit="1" customWidth="1"/>
    <col min="16" max="16384" width="9.140625" style="3"/>
  </cols>
  <sheetData>
    <row r="1" spans="1:15" x14ac:dyDescent="0.25">
      <c r="A1" s="2"/>
    </row>
    <row r="2" spans="1:15" x14ac:dyDescent="0.25">
      <c r="A2" s="2" t="s">
        <v>23</v>
      </c>
      <c r="B2" s="37">
        <f>'US Mat Flow Analysis 2018'!AD41</f>
        <v>3922.6807498428034</v>
      </c>
      <c r="C2" s="3" t="s">
        <v>24</v>
      </c>
    </row>
    <row r="3" spans="1:15" x14ac:dyDescent="0.25">
      <c r="A3" s="2"/>
    </row>
    <row r="4" spans="1:15" x14ac:dyDescent="0.25">
      <c r="A4" s="292"/>
      <c r="B4" s="292"/>
      <c r="C4" s="292"/>
      <c r="D4" s="293"/>
      <c r="E4" s="160"/>
      <c r="F4" s="292"/>
      <c r="G4" s="332"/>
      <c r="H4" s="333"/>
      <c r="I4" s="160"/>
      <c r="J4" s="160"/>
      <c r="K4" s="160"/>
      <c r="L4" s="301" t="s">
        <v>101</v>
      </c>
      <c r="M4" s="103"/>
      <c r="N4" s="103"/>
      <c r="O4" s="103"/>
    </row>
    <row r="5" spans="1:15" x14ac:dyDescent="0.25">
      <c r="A5" s="292"/>
      <c r="B5" s="294"/>
      <c r="C5" s="295"/>
      <c r="D5" s="296"/>
      <c r="E5" s="160"/>
      <c r="F5" s="8"/>
      <c r="G5" s="297"/>
      <c r="H5" s="297"/>
      <c r="I5" s="297"/>
      <c r="J5" s="160"/>
      <c r="K5" s="292" t="s">
        <v>9</v>
      </c>
      <c r="L5" s="160">
        <f>SUM(B40,G40,G53)</f>
        <v>0</v>
      </c>
      <c r="M5" s="15"/>
      <c r="N5" s="37"/>
      <c r="O5" s="37"/>
    </row>
    <row r="6" spans="1:15" x14ac:dyDescent="0.25">
      <c r="A6" s="292"/>
      <c r="B6" s="294"/>
      <c r="C6" s="295"/>
      <c r="D6" s="296"/>
      <c r="E6" s="160"/>
      <c r="F6" s="292"/>
      <c r="G6" s="8"/>
      <c r="H6" s="8"/>
      <c r="I6" s="8"/>
      <c r="J6" s="160"/>
      <c r="K6" s="292" t="s">
        <v>10</v>
      </c>
      <c r="L6" s="160">
        <f>SUM(B20,B32,B55,G31,G57)</f>
        <v>0</v>
      </c>
      <c r="M6" s="15"/>
      <c r="N6" s="37"/>
      <c r="O6" s="37"/>
    </row>
    <row r="7" spans="1:15" x14ac:dyDescent="0.25">
      <c r="A7" s="292"/>
      <c r="B7" s="294"/>
      <c r="C7" s="295"/>
      <c r="D7" s="296"/>
      <c r="E7" s="160"/>
      <c r="F7" s="292"/>
      <c r="G7" s="8"/>
      <c r="H7" s="8"/>
      <c r="I7" s="8"/>
      <c r="J7" s="160"/>
      <c r="K7" s="292" t="s">
        <v>39</v>
      </c>
      <c r="L7" s="160">
        <f>SUM(B19,B30,B33,B43,B54,B70,G30,G32,G41,G55,G63)</f>
        <v>0</v>
      </c>
      <c r="M7" s="15"/>
      <c r="N7" s="37"/>
      <c r="O7" s="37"/>
    </row>
    <row r="8" spans="1:15" x14ac:dyDescent="0.25">
      <c r="A8" s="292"/>
      <c r="B8" s="294"/>
      <c r="C8" s="295"/>
      <c r="D8" s="296"/>
      <c r="E8" s="160"/>
      <c r="F8" s="292"/>
      <c r="G8" s="8"/>
      <c r="H8" s="8"/>
      <c r="I8" s="8"/>
      <c r="J8" s="160"/>
      <c r="K8" s="292" t="s">
        <v>40</v>
      </c>
      <c r="L8" s="160">
        <f>SUM(B29,B41,B52,G54,G28,G45,B68)</f>
        <v>0</v>
      </c>
      <c r="M8" s="15"/>
      <c r="N8" s="37"/>
      <c r="O8" s="37"/>
    </row>
    <row r="9" spans="1:15" x14ac:dyDescent="0.25">
      <c r="A9" s="292"/>
      <c r="B9" s="294"/>
      <c r="C9" s="295"/>
      <c r="D9" s="296"/>
      <c r="E9" s="160"/>
      <c r="F9" s="292"/>
      <c r="G9" s="8"/>
      <c r="H9" s="8"/>
      <c r="I9" s="8"/>
      <c r="J9" s="160"/>
      <c r="K9" s="292" t="s">
        <v>12</v>
      </c>
      <c r="L9" s="160">
        <f>SUM(B42,B53,B69,G68,G29)</f>
        <v>0</v>
      </c>
      <c r="M9" s="15"/>
      <c r="N9" s="37"/>
      <c r="O9" s="37"/>
    </row>
    <row r="10" spans="1:15" x14ac:dyDescent="0.25">
      <c r="A10" s="292"/>
      <c r="B10" s="294"/>
      <c r="C10" s="295"/>
      <c r="D10" s="296"/>
      <c r="E10" s="160"/>
      <c r="F10" s="292"/>
      <c r="G10" s="8"/>
      <c r="H10" s="8"/>
      <c r="I10" s="8"/>
      <c r="J10" s="160"/>
      <c r="K10" s="292" t="s">
        <v>41</v>
      </c>
      <c r="L10" s="160">
        <f>SUM(B44,G67)</f>
        <v>0</v>
      </c>
      <c r="M10" s="15"/>
      <c r="N10" s="37"/>
      <c r="O10" s="37"/>
    </row>
    <row r="11" spans="1:15" x14ac:dyDescent="0.25">
      <c r="A11" s="292"/>
      <c r="B11" s="294"/>
      <c r="C11" s="295"/>
      <c r="D11" s="296"/>
      <c r="E11" s="160"/>
      <c r="F11" s="292"/>
      <c r="G11" s="8"/>
      <c r="H11" s="8"/>
      <c r="I11" s="8"/>
      <c r="J11" s="160"/>
      <c r="K11" s="292" t="s">
        <v>42</v>
      </c>
      <c r="L11" s="160">
        <f>SUM(B21,B71,G69)</f>
        <v>0</v>
      </c>
      <c r="M11" s="15"/>
      <c r="N11" s="37"/>
      <c r="O11" s="37"/>
    </row>
    <row r="12" spans="1:15" x14ac:dyDescent="0.25">
      <c r="A12" s="292"/>
      <c r="B12" s="294"/>
      <c r="C12" s="295"/>
      <c r="D12" s="296"/>
      <c r="E12" s="160"/>
      <c r="F12" s="292"/>
      <c r="G12" s="8"/>
      <c r="H12" s="8"/>
      <c r="I12" s="8"/>
      <c r="J12" s="160"/>
      <c r="K12" s="292" t="s">
        <v>43</v>
      </c>
      <c r="L12" s="160">
        <f>SUM(G58)</f>
        <v>0</v>
      </c>
      <c r="M12" s="15"/>
      <c r="N12" s="37"/>
      <c r="O12" s="37"/>
    </row>
    <row r="13" spans="1:15" x14ac:dyDescent="0.25">
      <c r="A13" s="160"/>
      <c r="B13" s="298"/>
      <c r="C13" s="160"/>
      <c r="D13" s="160"/>
      <c r="E13" s="160"/>
      <c r="F13" s="292"/>
      <c r="G13" s="8"/>
      <c r="H13" s="8"/>
      <c r="I13" s="8"/>
      <c r="J13" s="160"/>
      <c r="K13" s="292" t="s">
        <v>44</v>
      </c>
      <c r="L13" s="160">
        <f>SUM(G59)</f>
        <v>0</v>
      </c>
      <c r="M13" s="15"/>
      <c r="N13" s="37"/>
      <c r="O13" s="37"/>
    </row>
    <row r="14" spans="1:15" x14ac:dyDescent="0.25">
      <c r="A14" s="160"/>
      <c r="B14" s="160"/>
      <c r="C14" s="160"/>
      <c r="D14" s="160"/>
      <c r="E14" s="160"/>
      <c r="F14" s="292"/>
      <c r="G14" s="8"/>
      <c r="H14" s="8"/>
      <c r="I14" s="8"/>
      <c r="J14" s="160"/>
      <c r="K14" s="292" t="s">
        <v>45</v>
      </c>
      <c r="L14" s="160">
        <f>SUM(G44,G60)</f>
        <v>0</v>
      </c>
      <c r="M14" s="15"/>
      <c r="N14" s="37"/>
      <c r="O14" s="37"/>
    </row>
    <row r="15" spans="1:15" ht="18.75" x14ac:dyDescent="0.25">
      <c r="A15" s="331"/>
      <c r="B15" s="331"/>
      <c r="C15" s="331"/>
      <c r="D15" s="331"/>
      <c r="E15" s="160"/>
      <c r="F15" s="292"/>
      <c r="G15" s="8"/>
      <c r="H15" s="8"/>
      <c r="I15" s="8"/>
      <c r="J15" s="160"/>
      <c r="K15" s="292" t="s">
        <v>11</v>
      </c>
      <c r="L15" s="160">
        <f>SUM(B31,B45,B72,G33,G46,G56)</f>
        <v>0</v>
      </c>
      <c r="M15" s="15"/>
      <c r="N15" s="37"/>
      <c r="O15" s="37"/>
    </row>
    <row r="16" spans="1:15" x14ac:dyDescent="0.25">
      <c r="A16" s="292"/>
      <c r="B16" s="330"/>
      <c r="C16" s="330"/>
      <c r="D16" s="330"/>
      <c r="E16" s="160"/>
      <c r="F16" s="292"/>
      <c r="G16" s="8"/>
      <c r="H16" s="8"/>
      <c r="I16" s="8"/>
      <c r="J16" s="160"/>
      <c r="K16" s="292" t="s">
        <v>46</v>
      </c>
      <c r="L16" s="160">
        <f>SUM(B23,B34,G34,B46,B57,G64,B73)</f>
        <v>0</v>
      </c>
      <c r="M16" s="15"/>
      <c r="N16" s="37"/>
      <c r="O16" s="37"/>
    </row>
    <row r="17" spans="1:15" x14ac:dyDescent="0.25">
      <c r="A17" s="8"/>
      <c r="B17" s="297"/>
      <c r="C17" s="297"/>
      <c r="D17" s="297"/>
      <c r="E17" s="160"/>
      <c r="F17" s="292"/>
      <c r="G17" s="8"/>
      <c r="H17" s="8"/>
      <c r="I17" s="8"/>
      <c r="J17" s="160"/>
      <c r="K17" s="292" t="s">
        <v>48</v>
      </c>
      <c r="L17" s="160">
        <f>SUM(B22,B56,G61)</f>
        <v>0</v>
      </c>
      <c r="M17" s="15"/>
      <c r="N17" s="37"/>
      <c r="O17" s="37"/>
    </row>
    <row r="18" spans="1:15" x14ac:dyDescent="0.25">
      <c r="A18" s="161"/>
      <c r="B18" s="297"/>
      <c r="C18" s="297"/>
      <c r="D18" s="297"/>
      <c r="E18" s="160"/>
      <c r="F18" s="292"/>
      <c r="G18" s="8"/>
      <c r="H18" s="8"/>
      <c r="I18" s="8"/>
      <c r="J18" s="160"/>
      <c r="K18" s="292" t="s">
        <v>50</v>
      </c>
      <c r="L18" s="160">
        <f>SUM(G62)</f>
        <v>0</v>
      </c>
      <c r="M18" s="15"/>
      <c r="N18" s="37"/>
      <c r="O18" s="37"/>
    </row>
    <row r="19" spans="1:15" x14ac:dyDescent="0.25">
      <c r="A19" s="292"/>
      <c r="B19" s="8"/>
      <c r="C19" s="8"/>
      <c r="D19" s="297"/>
      <c r="E19" s="160"/>
      <c r="F19" s="292"/>
      <c r="G19" s="8"/>
      <c r="H19" s="8"/>
      <c r="I19" s="8"/>
      <c r="J19" s="160"/>
      <c r="K19" s="292" t="s">
        <v>14</v>
      </c>
      <c r="L19" s="160">
        <f>SUM(G42,G65)</f>
        <v>0</v>
      </c>
      <c r="M19" s="15"/>
      <c r="N19" s="37"/>
      <c r="O19" s="37"/>
    </row>
    <row r="20" spans="1:15" x14ac:dyDescent="0.25">
      <c r="A20" s="292"/>
      <c r="B20" s="8"/>
      <c r="C20" s="8"/>
      <c r="D20" s="297"/>
      <c r="E20" s="160"/>
      <c r="F20" s="292"/>
      <c r="G20" s="8"/>
      <c r="H20" s="8"/>
      <c r="I20" s="8"/>
      <c r="J20" s="160"/>
      <c r="K20" s="292" t="s">
        <v>15</v>
      </c>
      <c r="L20" s="160">
        <f>SUM(G66,G43)</f>
        <v>0</v>
      </c>
      <c r="M20" s="15"/>
      <c r="N20" s="37"/>
      <c r="O20" s="37"/>
    </row>
    <row r="21" spans="1:15" x14ac:dyDescent="0.25">
      <c r="A21" s="292"/>
      <c r="B21" s="8"/>
      <c r="C21" s="8"/>
      <c r="D21" s="297"/>
      <c r="E21" s="160"/>
      <c r="F21" s="292"/>
      <c r="G21" s="8"/>
      <c r="H21" s="8"/>
      <c r="I21" s="8"/>
      <c r="M21" s="15"/>
      <c r="N21" s="37"/>
      <c r="O21" s="37"/>
    </row>
    <row r="22" spans="1:15" x14ac:dyDescent="0.25">
      <c r="A22" s="292"/>
      <c r="B22" s="8"/>
      <c r="C22" s="8"/>
      <c r="D22" s="297"/>
      <c r="E22" s="160"/>
      <c r="F22" s="160"/>
      <c r="G22" s="160"/>
      <c r="H22" s="160"/>
      <c r="I22" s="160"/>
      <c r="L22" s="19"/>
      <c r="M22" s="15" t="s">
        <v>226</v>
      </c>
      <c r="N22" s="37"/>
      <c r="O22" s="37"/>
    </row>
    <row r="23" spans="1:15" x14ac:dyDescent="0.25">
      <c r="A23" s="292"/>
      <c r="B23" s="8"/>
      <c r="C23" s="8"/>
      <c r="D23" s="297"/>
      <c r="E23" s="160"/>
      <c r="F23" s="160"/>
      <c r="G23" s="160"/>
      <c r="H23" s="160"/>
      <c r="I23" s="160"/>
      <c r="K23" s="2" t="s">
        <v>225</v>
      </c>
      <c r="L23" s="19"/>
      <c r="M23" s="2" t="s">
        <v>213</v>
      </c>
      <c r="N23" s="2" t="s">
        <v>214</v>
      </c>
      <c r="O23" s="2" t="s">
        <v>215</v>
      </c>
    </row>
    <row r="24" spans="1:15" ht="18.75" x14ac:dyDescent="0.25">
      <c r="A24" s="160"/>
      <c r="B24" s="160"/>
      <c r="C24" s="160"/>
      <c r="D24" s="299"/>
      <c r="E24" s="160"/>
      <c r="F24" s="331"/>
      <c r="G24" s="331"/>
      <c r="H24" s="331"/>
      <c r="I24" s="331"/>
      <c r="K24" s="3" t="s">
        <v>27</v>
      </c>
      <c r="L24" s="19">
        <f>C5</f>
        <v>0</v>
      </c>
      <c r="M24" s="99">
        <v>1.24</v>
      </c>
      <c r="N24" s="3">
        <f t="shared" ref="N24:N31" si="0">L24*M24</f>
        <v>0</v>
      </c>
      <c r="O24" s="3">
        <f t="shared" ref="O24:O31" si="1">N24*1.10231</f>
        <v>0</v>
      </c>
    </row>
    <row r="25" spans="1:15" ht="18.75" x14ac:dyDescent="0.25">
      <c r="A25" s="331"/>
      <c r="B25" s="331"/>
      <c r="C25" s="331"/>
      <c r="D25" s="331"/>
      <c r="E25" s="160"/>
      <c r="F25" s="292"/>
      <c r="G25" s="330"/>
      <c r="H25" s="330"/>
      <c r="I25" s="330"/>
      <c r="K25" s="3" t="s">
        <v>28</v>
      </c>
      <c r="L25" s="19">
        <f t="shared" ref="L25:L30" si="2">C6</f>
        <v>0</v>
      </c>
      <c r="M25" s="99">
        <v>1.27</v>
      </c>
      <c r="N25" s="3">
        <f t="shared" si="0"/>
        <v>0</v>
      </c>
      <c r="O25" s="3">
        <f t="shared" si="1"/>
        <v>0</v>
      </c>
    </row>
    <row r="26" spans="1:15" x14ac:dyDescent="0.25">
      <c r="A26" s="292"/>
      <c r="B26" s="330"/>
      <c r="C26" s="330"/>
      <c r="D26" s="330"/>
      <c r="E26" s="160"/>
      <c r="F26" s="8"/>
      <c r="G26" s="297"/>
      <c r="H26" s="297"/>
      <c r="I26" s="297"/>
      <c r="K26" s="3" t="s">
        <v>29</v>
      </c>
      <c r="L26" s="19">
        <f t="shared" si="2"/>
        <v>0</v>
      </c>
      <c r="M26" s="99">
        <v>0.67</v>
      </c>
      <c r="N26" s="3">
        <f t="shared" si="0"/>
        <v>0</v>
      </c>
      <c r="O26" s="3">
        <f t="shared" si="1"/>
        <v>0</v>
      </c>
    </row>
    <row r="27" spans="1:15" x14ac:dyDescent="0.25">
      <c r="A27" s="8"/>
      <c r="B27" s="297"/>
      <c r="C27" s="297"/>
      <c r="D27" s="297"/>
      <c r="E27" s="160"/>
      <c r="F27" s="161"/>
      <c r="G27" s="297"/>
      <c r="H27" s="297"/>
      <c r="I27" s="8"/>
      <c r="K27" s="3" t="s">
        <v>122</v>
      </c>
      <c r="L27" s="19">
        <f t="shared" si="2"/>
        <v>0</v>
      </c>
      <c r="M27" s="99">
        <v>1.27</v>
      </c>
      <c r="N27" s="3">
        <f t="shared" si="0"/>
        <v>0</v>
      </c>
      <c r="O27" s="3">
        <f t="shared" si="1"/>
        <v>0</v>
      </c>
    </row>
    <row r="28" spans="1:15" x14ac:dyDescent="0.25">
      <c r="A28" s="161"/>
      <c r="B28" s="297"/>
      <c r="C28" s="297"/>
      <c r="D28" s="297"/>
      <c r="E28" s="160"/>
      <c r="F28" s="161"/>
      <c r="G28" s="8"/>
      <c r="H28" s="8"/>
      <c r="I28" s="8"/>
      <c r="K28" s="3" t="s">
        <v>31</v>
      </c>
      <c r="L28" s="19">
        <f t="shared" si="2"/>
        <v>0</v>
      </c>
      <c r="M28" s="99">
        <v>1.25</v>
      </c>
      <c r="N28" s="3">
        <f t="shared" si="0"/>
        <v>0</v>
      </c>
      <c r="O28" s="3">
        <f t="shared" si="1"/>
        <v>0</v>
      </c>
    </row>
    <row r="29" spans="1:15" x14ac:dyDescent="0.25">
      <c r="A29" s="292"/>
      <c r="B29" s="8"/>
      <c r="C29" s="8"/>
      <c r="D29" s="297"/>
      <c r="E29" s="160"/>
      <c r="F29" s="292"/>
      <c r="G29" s="8"/>
      <c r="H29" s="8"/>
      <c r="I29" s="8"/>
      <c r="K29" s="3" t="s">
        <v>32</v>
      </c>
      <c r="L29" s="19">
        <f t="shared" si="2"/>
        <v>0</v>
      </c>
      <c r="M29" s="99">
        <v>1.27</v>
      </c>
      <c r="N29" s="3">
        <f t="shared" si="0"/>
        <v>0</v>
      </c>
      <c r="O29" s="3">
        <f t="shared" si="1"/>
        <v>0</v>
      </c>
    </row>
    <row r="30" spans="1:15" x14ac:dyDescent="0.25">
      <c r="A30" s="292"/>
      <c r="B30" s="8"/>
      <c r="C30" s="8"/>
      <c r="D30" s="297"/>
      <c r="E30" s="160"/>
      <c r="F30" s="292"/>
      <c r="G30" s="8"/>
      <c r="H30" s="8"/>
      <c r="I30" s="8"/>
      <c r="K30" s="3" t="s">
        <v>33</v>
      </c>
      <c r="L30" s="19">
        <f t="shared" si="2"/>
        <v>0</v>
      </c>
      <c r="M30" s="99">
        <v>1.64</v>
      </c>
      <c r="N30" s="3">
        <f t="shared" si="0"/>
        <v>0</v>
      </c>
      <c r="O30" s="3">
        <f t="shared" si="1"/>
        <v>0</v>
      </c>
    </row>
    <row r="31" spans="1:15" x14ac:dyDescent="0.25">
      <c r="A31" s="292"/>
      <c r="B31" s="8"/>
      <c r="C31" s="8"/>
      <c r="D31" s="297"/>
      <c r="E31" s="160"/>
      <c r="F31" s="292"/>
      <c r="G31" s="8"/>
      <c r="H31" s="8"/>
      <c r="I31" s="8"/>
      <c r="K31" s="3" t="s">
        <v>216</v>
      </c>
      <c r="L31" s="19">
        <f>B2</f>
        <v>3922.6807498428034</v>
      </c>
      <c r="M31" s="99">
        <v>2.33</v>
      </c>
      <c r="N31" s="3">
        <f t="shared" si="0"/>
        <v>9139.8461471337323</v>
      </c>
      <c r="O31" s="3">
        <f t="shared" si="1"/>
        <v>10074.943806446983</v>
      </c>
    </row>
    <row r="32" spans="1:15" x14ac:dyDescent="0.25">
      <c r="A32" s="292"/>
      <c r="B32" s="8"/>
      <c r="C32" s="8"/>
      <c r="D32" s="297"/>
      <c r="E32" s="160"/>
      <c r="F32" s="292"/>
      <c r="G32" s="8"/>
      <c r="H32" s="8"/>
      <c r="I32" s="8"/>
      <c r="N32" s="2" t="s">
        <v>144</v>
      </c>
      <c r="O32" s="101">
        <f>SUM(O24:O31)</f>
        <v>10074.943806446983</v>
      </c>
    </row>
    <row r="33" spans="1:15" x14ac:dyDescent="0.25">
      <c r="A33" s="292"/>
      <c r="B33" s="8"/>
      <c r="C33" s="8"/>
      <c r="D33" s="297"/>
      <c r="E33" s="160"/>
      <c r="F33" s="292"/>
      <c r="G33" s="8"/>
      <c r="H33" s="8"/>
      <c r="I33" s="8"/>
      <c r="K33" s="101"/>
      <c r="O33" s="100"/>
    </row>
    <row r="34" spans="1:15" x14ac:dyDescent="0.25">
      <c r="A34" s="292"/>
      <c r="B34" s="8"/>
      <c r="C34" s="8"/>
      <c r="D34" s="297"/>
      <c r="E34" s="160"/>
      <c r="F34" s="292"/>
      <c r="G34" s="8"/>
      <c r="H34" s="8"/>
      <c r="I34" s="8"/>
    </row>
    <row r="35" spans="1:15" x14ac:dyDescent="0.25">
      <c r="A35" s="160"/>
      <c r="B35" s="160"/>
      <c r="C35" s="160"/>
      <c r="D35" s="299"/>
      <c r="E35" s="160"/>
      <c r="F35" s="160"/>
      <c r="G35" s="160"/>
      <c r="H35" s="160"/>
      <c r="I35" s="160"/>
    </row>
    <row r="36" spans="1:15" ht="18.75" x14ac:dyDescent="0.25">
      <c r="A36" s="331"/>
      <c r="B36" s="331"/>
      <c r="C36" s="331"/>
      <c r="D36" s="331"/>
      <c r="E36" s="160"/>
      <c r="F36" s="331"/>
      <c r="G36" s="331"/>
      <c r="H36" s="331"/>
      <c r="I36" s="331"/>
    </row>
    <row r="37" spans="1:15" x14ac:dyDescent="0.25">
      <c r="A37" s="292"/>
      <c r="B37" s="330"/>
      <c r="C37" s="330"/>
      <c r="D37" s="330"/>
      <c r="E37" s="160"/>
      <c r="F37" s="292"/>
      <c r="G37" s="330"/>
      <c r="H37" s="330"/>
      <c r="I37" s="330"/>
    </row>
    <row r="38" spans="1:15" x14ac:dyDescent="0.25">
      <c r="A38" s="8"/>
      <c r="B38" s="297"/>
      <c r="C38" s="297"/>
      <c r="D38" s="297"/>
      <c r="E38" s="160"/>
      <c r="F38" s="8"/>
      <c r="G38" s="297"/>
      <c r="H38" s="297"/>
      <c r="I38" s="297"/>
    </row>
    <row r="39" spans="1:15" x14ac:dyDescent="0.25">
      <c r="A39" s="161"/>
      <c r="B39" s="297"/>
      <c r="C39" s="297"/>
      <c r="D39" s="297"/>
      <c r="E39" s="160"/>
      <c r="F39" s="161"/>
      <c r="G39" s="297"/>
      <c r="H39" s="297"/>
      <c r="I39" s="8"/>
    </row>
    <row r="40" spans="1:15" x14ac:dyDescent="0.25">
      <c r="A40" s="161"/>
      <c r="B40" s="8"/>
      <c r="C40" s="8"/>
      <c r="D40" s="297"/>
      <c r="E40" s="160"/>
      <c r="F40" s="161"/>
      <c r="G40" s="8"/>
      <c r="H40" s="8"/>
      <c r="I40" s="8"/>
    </row>
    <row r="41" spans="1:15" x14ac:dyDescent="0.25">
      <c r="A41" s="292"/>
      <c r="B41" s="8"/>
      <c r="C41" s="8"/>
      <c r="D41" s="297"/>
      <c r="E41" s="160"/>
      <c r="F41" s="292"/>
      <c r="G41" s="8"/>
      <c r="H41" s="8"/>
      <c r="I41" s="8"/>
    </row>
    <row r="42" spans="1:15" x14ac:dyDescent="0.25">
      <c r="A42" s="292"/>
      <c r="B42" s="8"/>
      <c r="C42" s="8"/>
      <c r="D42" s="297"/>
      <c r="E42" s="160"/>
      <c r="F42" s="292"/>
      <c r="G42" s="8"/>
      <c r="H42" s="8"/>
      <c r="I42" s="8"/>
    </row>
    <row r="43" spans="1:15" x14ac:dyDescent="0.25">
      <c r="A43" s="292"/>
      <c r="B43" s="8"/>
      <c r="C43" s="8"/>
      <c r="D43" s="297"/>
      <c r="E43" s="160"/>
      <c r="F43" s="292"/>
      <c r="G43" s="8"/>
      <c r="H43" s="8"/>
      <c r="I43" s="8"/>
    </row>
    <row r="44" spans="1:15" x14ac:dyDescent="0.25">
      <c r="A44" s="292"/>
      <c r="B44" s="8"/>
      <c r="C44" s="8"/>
      <c r="D44" s="297"/>
      <c r="E44" s="160"/>
      <c r="F44" s="292"/>
      <c r="G44" s="8"/>
      <c r="H44" s="8"/>
      <c r="I44" s="8"/>
    </row>
    <row r="45" spans="1:15" x14ac:dyDescent="0.25">
      <c r="A45" s="292"/>
      <c r="B45" s="8"/>
      <c r="C45" s="8"/>
      <c r="D45" s="297"/>
      <c r="E45" s="160"/>
      <c r="F45" s="292"/>
      <c r="G45" s="8"/>
      <c r="H45" s="8"/>
      <c r="I45" s="8"/>
    </row>
    <row r="46" spans="1:15" x14ac:dyDescent="0.25">
      <c r="A46" s="292"/>
      <c r="B46" s="8"/>
      <c r="C46" s="8"/>
      <c r="D46" s="297"/>
      <c r="E46" s="160"/>
      <c r="F46" s="292"/>
      <c r="G46" s="8"/>
      <c r="H46" s="8"/>
      <c r="I46" s="8"/>
    </row>
    <row r="47" spans="1:15" x14ac:dyDescent="0.25">
      <c r="A47" s="160"/>
      <c r="B47" s="160"/>
      <c r="C47" s="160"/>
      <c r="D47" s="299"/>
      <c r="E47" s="160"/>
      <c r="F47" s="160"/>
      <c r="G47" s="160"/>
      <c r="H47" s="160"/>
      <c r="I47" s="160"/>
    </row>
    <row r="48" spans="1:15" ht="18.75" x14ac:dyDescent="0.25">
      <c r="A48" s="331"/>
      <c r="B48" s="331"/>
      <c r="C48" s="331"/>
      <c r="D48" s="331"/>
      <c r="E48" s="160"/>
      <c r="F48" s="160"/>
      <c r="G48" s="160"/>
      <c r="H48" s="160"/>
      <c r="I48" s="160"/>
    </row>
    <row r="49" spans="1:9" ht="18.75" x14ac:dyDescent="0.25">
      <c r="A49" s="292"/>
      <c r="B49" s="330"/>
      <c r="C49" s="330"/>
      <c r="D49" s="330"/>
      <c r="E49" s="160"/>
      <c r="F49" s="331"/>
      <c r="G49" s="331"/>
      <c r="H49" s="331"/>
      <c r="I49" s="331"/>
    </row>
    <row r="50" spans="1:9" x14ac:dyDescent="0.25">
      <c r="A50" s="8"/>
      <c r="B50" s="297"/>
      <c r="C50" s="297"/>
      <c r="D50" s="297"/>
      <c r="E50" s="160"/>
      <c r="F50" s="292"/>
      <c r="G50" s="330"/>
      <c r="H50" s="330"/>
      <c r="I50" s="330"/>
    </row>
    <row r="51" spans="1:9" x14ac:dyDescent="0.25">
      <c r="A51" s="161"/>
      <c r="B51" s="297"/>
      <c r="C51" s="297"/>
      <c r="D51" s="297"/>
      <c r="E51" s="160"/>
      <c r="F51" s="8"/>
      <c r="G51" s="297"/>
      <c r="H51" s="297"/>
      <c r="I51" s="297"/>
    </row>
    <row r="52" spans="1:9" x14ac:dyDescent="0.25">
      <c r="A52" s="292"/>
      <c r="B52" s="8"/>
      <c r="C52" s="8"/>
      <c r="D52" s="297"/>
      <c r="E52" s="160"/>
      <c r="F52" s="161"/>
      <c r="G52" s="297"/>
      <c r="H52" s="297"/>
      <c r="I52" s="8"/>
    </row>
    <row r="53" spans="1:9" x14ac:dyDescent="0.25">
      <c r="A53" s="292"/>
      <c r="B53" s="8"/>
      <c r="C53" s="8"/>
      <c r="D53" s="297"/>
      <c r="E53" s="160"/>
      <c r="F53" s="161"/>
      <c r="G53" s="8"/>
      <c r="H53" s="8"/>
      <c r="I53" s="8"/>
    </row>
    <row r="54" spans="1:9" x14ac:dyDescent="0.25">
      <c r="A54" s="292"/>
      <c r="B54" s="8"/>
      <c r="C54" s="8"/>
      <c r="D54" s="297"/>
      <c r="E54" s="160"/>
      <c r="F54" s="161"/>
      <c r="G54" s="8"/>
      <c r="H54" s="8"/>
      <c r="I54" s="8"/>
    </row>
    <row r="55" spans="1:9" x14ac:dyDescent="0.25">
      <c r="A55" s="292"/>
      <c r="B55" s="8"/>
      <c r="C55" s="8"/>
      <c r="D55" s="297"/>
      <c r="E55" s="160"/>
      <c r="F55" s="161"/>
      <c r="G55" s="8"/>
      <c r="H55" s="8"/>
      <c r="I55" s="8"/>
    </row>
    <row r="56" spans="1:9" x14ac:dyDescent="0.25">
      <c r="A56" s="292"/>
      <c r="B56" s="8"/>
      <c r="C56" s="8"/>
      <c r="D56" s="297"/>
      <c r="E56" s="160"/>
      <c r="F56" s="161"/>
      <c r="G56" s="8"/>
      <c r="H56" s="8"/>
      <c r="I56" s="8"/>
    </row>
    <row r="57" spans="1:9" x14ac:dyDescent="0.25">
      <c r="A57" s="292"/>
      <c r="B57" s="8"/>
      <c r="C57" s="8"/>
      <c r="D57" s="297"/>
      <c r="E57" s="160"/>
      <c r="F57" s="292"/>
      <c r="G57" s="8"/>
      <c r="H57" s="8"/>
      <c r="I57" s="8"/>
    </row>
    <row r="58" spans="1:9" x14ac:dyDescent="0.25">
      <c r="A58" s="293"/>
      <c r="B58" s="300"/>
      <c r="C58" s="300"/>
      <c r="D58" s="299"/>
      <c r="E58" s="160"/>
      <c r="F58" s="292"/>
      <c r="G58" s="8"/>
      <c r="H58" s="8"/>
      <c r="I58" s="8"/>
    </row>
    <row r="59" spans="1:9" x14ac:dyDescent="0.25">
      <c r="A59" s="293"/>
      <c r="B59" s="300"/>
      <c r="C59" s="300"/>
      <c r="D59" s="299"/>
      <c r="E59" s="160"/>
      <c r="F59" s="292"/>
      <c r="G59" s="8"/>
      <c r="H59" s="8"/>
      <c r="I59" s="8"/>
    </row>
    <row r="60" spans="1:9" x14ac:dyDescent="0.25">
      <c r="A60" s="293"/>
      <c r="B60" s="300"/>
      <c r="C60" s="300"/>
      <c r="D60" s="299"/>
      <c r="E60" s="160"/>
      <c r="F60" s="292"/>
      <c r="G60" s="8"/>
      <c r="H60" s="8"/>
      <c r="I60" s="8"/>
    </row>
    <row r="61" spans="1:9" x14ac:dyDescent="0.25">
      <c r="A61" s="293"/>
      <c r="B61" s="300"/>
      <c r="C61" s="300"/>
      <c r="D61" s="299"/>
      <c r="E61" s="160"/>
      <c r="F61" s="292"/>
      <c r="G61" s="8"/>
      <c r="H61" s="8"/>
      <c r="I61" s="8"/>
    </row>
    <row r="62" spans="1:9" x14ac:dyDescent="0.25">
      <c r="A62" s="293"/>
      <c r="B62" s="300"/>
      <c r="C62" s="300"/>
      <c r="D62" s="299"/>
      <c r="E62" s="160"/>
      <c r="F62" s="292"/>
      <c r="G62" s="8"/>
      <c r="H62" s="8"/>
      <c r="I62" s="8"/>
    </row>
    <row r="63" spans="1:9" x14ac:dyDescent="0.25">
      <c r="A63" s="160"/>
      <c r="B63" s="160"/>
      <c r="C63" s="160"/>
      <c r="D63" s="299"/>
      <c r="E63" s="160"/>
      <c r="F63" s="292"/>
      <c r="G63" s="8"/>
      <c r="H63" s="8"/>
      <c r="I63" s="8"/>
    </row>
    <row r="64" spans="1:9" ht="18.75" x14ac:dyDescent="0.25">
      <c r="A64" s="331"/>
      <c r="B64" s="331"/>
      <c r="C64" s="331"/>
      <c r="D64" s="331"/>
      <c r="E64" s="160"/>
      <c r="F64" s="292"/>
      <c r="G64" s="8"/>
      <c r="H64" s="8"/>
      <c r="I64" s="8"/>
    </row>
    <row r="65" spans="1:9" x14ac:dyDescent="0.25">
      <c r="A65" s="292"/>
      <c r="B65" s="330"/>
      <c r="C65" s="330"/>
      <c r="D65" s="330"/>
      <c r="E65" s="160"/>
      <c r="F65" s="292"/>
      <c r="G65" s="8"/>
      <c r="H65" s="8"/>
      <c r="I65" s="8"/>
    </row>
    <row r="66" spans="1:9" x14ac:dyDescent="0.25">
      <c r="A66" s="8"/>
      <c r="B66" s="297"/>
      <c r="C66" s="297"/>
      <c r="D66" s="297"/>
      <c r="E66" s="160"/>
      <c r="F66" s="292"/>
      <c r="G66" s="8"/>
      <c r="H66" s="8"/>
      <c r="I66" s="8"/>
    </row>
    <row r="67" spans="1:9" x14ac:dyDescent="0.25">
      <c r="A67" s="161"/>
      <c r="B67" s="297"/>
      <c r="C67" s="297"/>
      <c r="D67" s="297"/>
      <c r="E67" s="160"/>
      <c r="F67" s="292"/>
      <c r="G67" s="8"/>
      <c r="H67" s="8"/>
      <c r="I67" s="8"/>
    </row>
    <row r="68" spans="1:9" x14ac:dyDescent="0.25">
      <c r="A68" s="292"/>
      <c r="B68" s="8"/>
      <c r="C68" s="8"/>
      <c r="D68" s="297"/>
      <c r="E68" s="160"/>
      <c r="F68" s="292"/>
      <c r="G68" s="8"/>
      <c r="H68" s="8"/>
      <c r="I68" s="8"/>
    </row>
    <row r="69" spans="1:9" x14ac:dyDescent="0.25">
      <c r="A69" s="292"/>
      <c r="B69" s="8"/>
      <c r="C69" s="8"/>
      <c r="D69" s="297"/>
      <c r="E69" s="160"/>
      <c r="F69" s="292"/>
      <c r="G69" s="8"/>
      <c r="H69" s="8"/>
      <c r="I69" s="8"/>
    </row>
    <row r="70" spans="1:9" x14ac:dyDescent="0.25">
      <c r="A70" s="292"/>
      <c r="B70" s="8"/>
      <c r="C70" s="8"/>
      <c r="D70" s="297"/>
      <c r="E70" s="160"/>
      <c r="F70" s="160"/>
      <c r="G70" s="160"/>
      <c r="H70" s="160"/>
      <c r="I70" s="160"/>
    </row>
    <row r="71" spans="1:9" x14ac:dyDescent="0.25">
      <c r="A71" s="292"/>
      <c r="B71" s="8"/>
      <c r="C71" s="8"/>
      <c r="D71" s="297"/>
      <c r="E71" s="160"/>
      <c r="F71" s="160"/>
      <c r="G71" s="160"/>
      <c r="H71" s="160"/>
      <c r="I71" s="160"/>
    </row>
    <row r="72" spans="1:9" x14ac:dyDescent="0.25">
      <c r="A72" s="292"/>
      <c r="B72" s="8"/>
      <c r="C72" s="8"/>
      <c r="D72" s="297"/>
      <c r="E72" s="160"/>
      <c r="F72" s="160"/>
      <c r="G72" s="160"/>
      <c r="H72" s="160"/>
      <c r="I72" s="160"/>
    </row>
    <row r="73" spans="1:9" x14ac:dyDescent="0.25">
      <c r="A73" s="292"/>
      <c r="B73" s="8"/>
      <c r="C73" s="8"/>
      <c r="D73" s="297"/>
      <c r="E73" s="160"/>
      <c r="F73" s="160"/>
      <c r="G73" s="160"/>
      <c r="H73" s="160"/>
      <c r="I73" s="160"/>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73"/>
  <sheetViews>
    <sheetView topLeftCell="C1" workbookViewId="0">
      <selection activeCell="M24" sqref="M24:M31"/>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1.7109375" style="3" bestFit="1" customWidth="1"/>
    <col min="16" max="16384" width="9.140625" style="3"/>
  </cols>
  <sheetData>
    <row r="1" spans="1:15" x14ac:dyDescent="0.25">
      <c r="A1" s="2"/>
    </row>
    <row r="2" spans="1:15" x14ac:dyDescent="0.25">
      <c r="A2" s="2" t="s">
        <v>23</v>
      </c>
      <c r="B2" s="37">
        <f>'US Mat Flow Analysis 2018'!AD41</f>
        <v>3922.6807498428034</v>
      </c>
      <c r="C2" s="3" t="s">
        <v>24</v>
      </c>
    </row>
    <row r="3" spans="1:15" x14ac:dyDescent="0.25">
      <c r="A3" s="2"/>
    </row>
    <row r="4" spans="1:15" x14ac:dyDescent="0.25">
      <c r="A4" s="292"/>
      <c r="B4" s="292"/>
      <c r="C4" s="292"/>
      <c r="D4" s="293"/>
      <c r="E4" s="160"/>
      <c r="F4" s="292"/>
      <c r="G4" s="332"/>
      <c r="H4" s="333"/>
      <c r="I4" s="160"/>
      <c r="J4" s="160"/>
      <c r="K4" s="160"/>
      <c r="L4" s="301" t="s">
        <v>101</v>
      </c>
      <c r="M4" s="103"/>
      <c r="N4" s="103"/>
      <c r="O4" s="103"/>
    </row>
    <row r="5" spans="1:15" x14ac:dyDescent="0.25">
      <c r="A5" s="292"/>
      <c r="B5" s="294"/>
      <c r="C5" s="295"/>
      <c r="D5" s="296"/>
      <c r="E5" s="160"/>
      <c r="F5" s="8"/>
      <c r="G5" s="297"/>
      <c r="H5" s="297"/>
      <c r="I5" s="297"/>
      <c r="J5" s="160"/>
      <c r="K5" s="292" t="s">
        <v>9</v>
      </c>
      <c r="L5" s="160">
        <f>SUM(B40,G40,G53)</f>
        <v>0</v>
      </c>
      <c r="M5" s="15"/>
      <c r="N5" s="37"/>
      <c r="O5" s="37"/>
    </row>
    <row r="6" spans="1:15" x14ac:dyDescent="0.25">
      <c r="A6" s="292"/>
      <c r="B6" s="294"/>
      <c r="C6" s="295"/>
      <c r="D6" s="296"/>
      <c r="E6" s="160"/>
      <c r="F6" s="292"/>
      <c r="G6" s="8"/>
      <c r="H6" s="8"/>
      <c r="I6" s="8"/>
      <c r="J6" s="160"/>
      <c r="K6" s="292" t="s">
        <v>10</v>
      </c>
      <c r="L6" s="160">
        <f>SUM(B20,B32,B55,G31,G57)</f>
        <v>0</v>
      </c>
      <c r="M6" s="15"/>
      <c r="N6" s="37"/>
      <c r="O6" s="37"/>
    </row>
    <row r="7" spans="1:15" x14ac:dyDescent="0.25">
      <c r="A7" s="292"/>
      <c r="B7" s="294"/>
      <c r="C7" s="295"/>
      <c r="D7" s="296"/>
      <c r="E7" s="160"/>
      <c r="F7" s="292"/>
      <c r="G7" s="8"/>
      <c r="H7" s="8"/>
      <c r="I7" s="8"/>
      <c r="J7" s="160"/>
      <c r="K7" s="292" t="s">
        <v>39</v>
      </c>
      <c r="L7" s="160">
        <f>SUM(B19,B30,B33,B43,B54,B70,G30,G32,G41,G55,G63)</f>
        <v>0</v>
      </c>
      <c r="M7" s="15"/>
      <c r="N7" s="37"/>
      <c r="O7" s="37"/>
    </row>
    <row r="8" spans="1:15" x14ac:dyDescent="0.25">
      <c r="A8" s="292"/>
      <c r="B8" s="294"/>
      <c r="C8" s="295"/>
      <c r="D8" s="296"/>
      <c r="E8" s="160"/>
      <c r="F8" s="292"/>
      <c r="G8" s="8"/>
      <c r="H8" s="8"/>
      <c r="I8" s="8"/>
      <c r="J8" s="160"/>
      <c r="K8" s="292" t="s">
        <v>40</v>
      </c>
      <c r="L8" s="160">
        <f>SUM(B29,B41,B52,G54,G28,G45,B68)</f>
        <v>0</v>
      </c>
      <c r="M8" s="15"/>
      <c r="N8" s="37"/>
      <c r="O8" s="37"/>
    </row>
    <row r="9" spans="1:15" x14ac:dyDescent="0.25">
      <c r="A9" s="292"/>
      <c r="B9" s="294"/>
      <c r="C9" s="295"/>
      <c r="D9" s="296"/>
      <c r="E9" s="160"/>
      <c r="F9" s="292"/>
      <c r="G9" s="8"/>
      <c r="H9" s="8"/>
      <c r="I9" s="8"/>
      <c r="J9" s="160"/>
      <c r="K9" s="292" t="s">
        <v>12</v>
      </c>
      <c r="L9" s="160">
        <f>SUM(B42,B53,B69,G68,G29)</f>
        <v>0</v>
      </c>
      <c r="M9" s="15"/>
      <c r="N9" s="37"/>
      <c r="O9" s="37"/>
    </row>
    <row r="10" spans="1:15" x14ac:dyDescent="0.25">
      <c r="A10" s="292"/>
      <c r="B10" s="294"/>
      <c r="C10" s="295"/>
      <c r="D10" s="296"/>
      <c r="E10" s="160"/>
      <c r="F10" s="292"/>
      <c r="G10" s="8"/>
      <c r="H10" s="8"/>
      <c r="I10" s="8"/>
      <c r="J10" s="160"/>
      <c r="K10" s="292" t="s">
        <v>41</v>
      </c>
      <c r="L10" s="160">
        <f>SUM(B44,G67)</f>
        <v>0</v>
      </c>
      <c r="M10" s="15"/>
      <c r="N10" s="37"/>
      <c r="O10" s="37"/>
    </row>
    <row r="11" spans="1:15" x14ac:dyDescent="0.25">
      <c r="A11" s="292"/>
      <c r="B11" s="294"/>
      <c r="C11" s="295"/>
      <c r="D11" s="296"/>
      <c r="E11" s="160"/>
      <c r="F11" s="292"/>
      <c r="G11" s="8"/>
      <c r="H11" s="8"/>
      <c r="I11" s="8"/>
      <c r="J11" s="160"/>
      <c r="K11" s="292" t="s">
        <v>42</v>
      </c>
      <c r="L11" s="160">
        <f>SUM(B21,B71,G69)</f>
        <v>0</v>
      </c>
      <c r="M11" s="15"/>
      <c r="N11" s="37"/>
      <c r="O11" s="37"/>
    </row>
    <row r="12" spans="1:15" x14ac:dyDescent="0.25">
      <c r="A12" s="292"/>
      <c r="B12" s="294"/>
      <c r="C12" s="295"/>
      <c r="D12" s="296"/>
      <c r="E12" s="160"/>
      <c r="F12" s="292"/>
      <c r="G12" s="8"/>
      <c r="H12" s="8"/>
      <c r="I12" s="8"/>
      <c r="J12" s="160"/>
      <c r="K12" s="292" t="s">
        <v>43</v>
      </c>
      <c r="L12" s="160">
        <f>SUM(G58)</f>
        <v>0</v>
      </c>
      <c r="M12" s="15"/>
      <c r="N12" s="37"/>
      <c r="O12" s="37"/>
    </row>
    <row r="13" spans="1:15" x14ac:dyDescent="0.25">
      <c r="A13" s="160"/>
      <c r="B13" s="298"/>
      <c r="C13" s="160"/>
      <c r="D13" s="160"/>
      <c r="E13" s="160"/>
      <c r="F13" s="292"/>
      <c r="G13" s="8"/>
      <c r="H13" s="8"/>
      <c r="I13" s="8"/>
      <c r="J13" s="160"/>
      <c r="K13" s="292" t="s">
        <v>44</v>
      </c>
      <c r="L13" s="160">
        <f>SUM(G59)</f>
        <v>0</v>
      </c>
      <c r="M13" s="15"/>
      <c r="N13" s="37"/>
      <c r="O13" s="37"/>
    </row>
    <row r="14" spans="1:15" x14ac:dyDescent="0.25">
      <c r="A14" s="160"/>
      <c r="B14" s="160"/>
      <c r="C14" s="160"/>
      <c r="D14" s="160"/>
      <c r="E14" s="160"/>
      <c r="F14" s="292"/>
      <c r="G14" s="8"/>
      <c r="H14" s="8"/>
      <c r="I14" s="8"/>
      <c r="J14" s="160"/>
      <c r="K14" s="292" t="s">
        <v>45</v>
      </c>
      <c r="L14" s="160">
        <f>SUM(G44,G60)</f>
        <v>0</v>
      </c>
      <c r="M14" s="15"/>
      <c r="N14" s="37"/>
      <c r="O14" s="37"/>
    </row>
    <row r="15" spans="1:15" ht="18.75" x14ac:dyDescent="0.25">
      <c r="A15" s="331"/>
      <c r="B15" s="331"/>
      <c r="C15" s="331"/>
      <c r="D15" s="331"/>
      <c r="E15" s="160"/>
      <c r="F15" s="292"/>
      <c r="G15" s="8"/>
      <c r="H15" s="8"/>
      <c r="I15" s="8"/>
      <c r="J15" s="160"/>
      <c r="K15" s="292" t="s">
        <v>11</v>
      </c>
      <c r="L15" s="160">
        <f>SUM(B31,B45,B72,G33,G46,G56)</f>
        <v>0</v>
      </c>
      <c r="M15" s="15"/>
      <c r="N15" s="37"/>
      <c r="O15" s="37"/>
    </row>
    <row r="16" spans="1:15" x14ac:dyDescent="0.25">
      <c r="A16" s="292"/>
      <c r="B16" s="330"/>
      <c r="C16" s="330"/>
      <c r="D16" s="330"/>
      <c r="E16" s="160"/>
      <c r="F16" s="292"/>
      <c r="G16" s="8"/>
      <c r="H16" s="8"/>
      <c r="I16" s="8"/>
      <c r="J16" s="160"/>
      <c r="K16" s="292" t="s">
        <v>46</v>
      </c>
      <c r="L16" s="160">
        <f>SUM(B23,B34,G34,B46,B57,G64,B73)</f>
        <v>0</v>
      </c>
      <c r="M16" s="15"/>
      <c r="N16" s="37"/>
      <c r="O16" s="37"/>
    </row>
    <row r="17" spans="1:15" x14ac:dyDescent="0.25">
      <c r="A17" s="8"/>
      <c r="B17" s="297"/>
      <c r="C17" s="297"/>
      <c r="D17" s="297"/>
      <c r="E17" s="160"/>
      <c r="F17" s="292"/>
      <c r="G17" s="8"/>
      <c r="H17" s="8"/>
      <c r="I17" s="8"/>
      <c r="J17" s="160"/>
      <c r="K17" s="292" t="s">
        <v>48</v>
      </c>
      <c r="L17" s="160">
        <f>SUM(B22,B56,G61)</f>
        <v>0</v>
      </c>
      <c r="M17" s="15"/>
      <c r="N17" s="37"/>
      <c r="O17" s="37"/>
    </row>
    <row r="18" spans="1:15" x14ac:dyDescent="0.25">
      <c r="A18" s="161"/>
      <c r="B18" s="297"/>
      <c r="C18" s="297"/>
      <c r="D18" s="297"/>
      <c r="E18" s="160"/>
      <c r="F18" s="292"/>
      <c r="G18" s="8"/>
      <c r="H18" s="8"/>
      <c r="I18" s="8"/>
      <c r="J18" s="160"/>
      <c r="K18" s="292" t="s">
        <v>50</v>
      </c>
      <c r="L18" s="160">
        <f>SUM(G62)</f>
        <v>0</v>
      </c>
      <c r="M18" s="15"/>
      <c r="N18" s="37"/>
      <c r="O18" s="37"/>
    </row>
    <row r="19" spans="1:15" x14ac:dyDescent="0.25">
      <c r="A19" s="292"/>
      <c r="B19" s="8"/>
      <c r="C19" s="8"/>
      <c r="D19" s="297"/>
      <c r="E19" s="160"/>
      <c r="F19" s="292"/>
      <c r="G19" s="8"/>
      <c r="H19" s="8"/>
      <c r="I19" s="8"/>
      <c r="J19" s="160"/>
      <c r="K19" s="292" t="s">
        <v>14</v>
      </c>
      <c r="L19" s="160">
        <f>SUM(G42,G65)</f>
        <v>0</v>
      </c>
      <c r="M19" s="15"/>
      <c r="N19" s="37"/>
      <c r="O19" s="37"/>
    </row>
    <row r="20" spans="1:15" x14ac:dyDescent="0.25">
      <c r="A20" s="292"/>
      <c r="B20" s="8"/>
      <c r="C20" s="8"/>
      <c r="D20" s="297"/>
      <c r="E20" s="160"/>
      <c r="F20" s="292"/>
      <c r="G20" s="8"/>
      <c r="H20" s="8"/>
      <c r="I20" s="8"/>
      <c r="J20" s="160"/>
      <c r="K20" s="292" t="s">
        <v>15</v>
      </c>
      <c r="L20" s="160">
        <f>SUM(G66,G43)</f>
        <v>0</v>
      </c>
      <c r="M20" s="15"/>
      <c r="N20" s="37"/>
      <c r="O20" s="37"/>
    </row>
    <row r="21" spans="1:15" x14ac:dyDescent="0.25">
      <c r="A21" s="292"/>
      <c r="B21" s="8"/>
      <c r="C21" s="8"/>
      <c r="D21" s="297"/>
      <c r="E21" s="160"/>
      <c r="F21" s="292"/>
      <c r="G21" s="8"/>
      <c r="H21" s="8"/>
      <c r="I21" s="8"/>
      <c r="M21" s="15"/>
      <c r="N21" s="37"/>
      <c r="O21" s="37"/>
    </row>
    <row r="22" spans="1:15" x14ac:dyDescent="0.25">
      <c r="A22" s="292"/>
      <c r="B22" s="8"/>
      <c r="C22" s="8"/>
      <c r="D22" s="297"/>
      <c r="E22" s="160"/>
      <c r="F22" s="160"/>
      <c r="G22" s="160"/>
      <c r="H22" s="160"/>
      <c r="I22" s="160"/>
      <c r="L22" s="19"/>
      <c r="M22" s="15" t="s">
        <v>226</v>
      </c>
      <c r="N22" s="37"/>
      <c r="O22" s="37"/>
    </row>
    <row r="23" spans="1:15" x14ac:dyDescent="0.25">
      <c r="A23" s="292"/>
      <c r="B23" s="8"/>
      <c r="C23" s="8"/>
      <c r="D23" s="297"/>
      <c r="E23" s="160"/>
      <c r="F23" s="160"/>
      <c r="G23" s="160"/>
      <c r="H23" s="160"/>
      <c r="I23" s="160"/>
      <c r="K23" s="2" t="s">
        <v>225</v>
      </c>
      <c r="L23" s="19"/>
      <c r="M23" s="2" t="s">
        <v>213</v>
      </c>
      <c r="N23" s="2" t="s">
        <v>214</v>
      </c>
      <c r="O23" s="2" t="s">
        <v>215</v>
      </c>
    </row>
    <row r="24" spans="1:15" ht="18.75" x14ac:dyDescent="0.25">
      <c r="A24" s="160"/>
      <c r="B24" s="160"/>
      <c r="C24" s="160"/>
      <c r="D24" s="299"/>
      <c r="E24" s="160"/>
      <c r="F24" s="331"/>
      <c r="G24" s="331"/>
      <c r="H24" s="331"/>
      <c r="I24" s="331"/>
      <c r="K24" s="3" t="s">
        <v>27</v>
      </c>
      <c r="L24" s="19">
        <f>C5</f>
        <v>0</v>
      </c>
      <c r="M24" s="99">
        <v>0.04</v>
      </c>
      <c r="N24" s="3">
        <f t="shared" ref="N24:N31" si="0">L24*M24</f>
        <v>0</v>
      </c>
      <c r="O24" s="3">
        <f t="shared" ref="O24:O31" si="1">N24*1.10231</f>
        <v>0</v>
      </c>
    </row>
    <row r="25" spans="1:15" ht="18.75" x14ac:dyDescent="0.25">
      <c r="A25" s="331"/>
      <c r="B25" s="331"/>
      <c r="C25" s="331"/>
      <c r="D25" s="331"/>
      <c r="E25" s="160"/>
      <c r="F25" s="292"/>
      <c r="G25" s="330"/>
      <c r="H25" s="330"/>
      <c r="I25" s="330"/>
      <c r="K25" s="3" t="s">
        <v>28</v>
      </c>
      <c r="L25" s="19">
        <f t="shared" ref="L25:L30" si="2">C6</f>
        <v>0</v>
      </c>
      <c r="M25" s="99">
        <v>0.04</v>
      </c>
      <c r="N25" s="3">
        <f t="shared" si="0"/>
        <v>0</v>
      </c>
      <c r="O25" s="3">
        <f t="shared" si="1"/>
        <v>0</v>
      </c>
    </row>
    <row r="26" spans="1:15" x14ac:dyDescent="0.25">
      <c r="A26" s="292"/>
      <c r="B26" s="330"/>
      <c r="C26" s="330"/>
      <c r="D26" s="330"/>
      <c r="E26" s="160"/>
      <c r="F26" s="8"/>
      <c r="G26" s="297"/>
      <c r="H26" s="297"/>
      <c r="I26" s="297"/>
      <c r="K26" s="3" t="s">
        <v>29</v>
      </c>
      <c r="L26" s="19">
        <f t="shared" si="2"/>
        <v>0</v>
      </c>
      <c r="M26" s="99">
        <v>0.04</v>
      </c>
      <c r="N26" s="3">
        <f t="shared" si="0"/>
        <v>0</v>
      </c>
      <c r="O26" s="3">
        <f t="shared" si="1"/>
        <v>0</v>
      </c>
    </row>
    <row r="27" spans="1:15" x14ac:dyDescent="0.25">
      <c r="A27" s="8"/>
      <c r="B27" s="297"/>
      <c r="C27" s="297"/>
      <c r="D27" s="297"/>
      <c r="E27" s="160"/>
      <c r="F27" s="161"/>
      <c r="G27" s="297"/>
      <c r="H27" s="297"/>
      <c r="I27" s="8"/>
      <c r="K27" s="3" t="s">
        <v>122</v>
      </c>
      <c r="L27" s="19">
        <f t="shared" si="2"/>
        <v>0</v>
      </c>
      <c r="M27" s="99">
        <v>0.04</v>
      </c>
      <c r="N27" s="3">
        <f t="shared" si="0"/>
        <v>0</v>
      </c>
      <c r="O27" s="3">
        <f t="shared" si="1"/>
        <v>0</v>
      </c>
    </row>
    <row r="28" spans="1:15" x14ac:dyDescent="0.25">
      <c r="A28" s="161"/>
      <c r="B28" s="297"/>
      <c r="C28" s="297"/>
      <c r="D28" s="297"/>
      <c r="E28" s="160"/>
      <c r="F28" s="161"/>
      <c r="G28" s="8"/>
      <c r="H28" s="8"/>
      <c r="I28" s="8"/>
      <c r="K28" s="3" t="s">
        <v>31</v>
      </c>
      <c r="L28" s="19">
        <f t="shared" si="2"/>
        <v>0</v>
      </c>
      <c r="M28" s="99">
        <v>0.04</v>
      </c>
      <c r="N28" s="3">
        <f t="shared" si="0"/>
        <v>0</v>
      </c>
      <c r="O28" s="3">
        <f t="shared" si="1"/>
        <v>0</v>
      </c>
    </row>
    <row r="29" spans="1:15" x14ac:dyDescent="0.25">
      <c r="A29" s="292"/>
      <c r="B29" s="8"/>
      <c r="C29" s="8"/>
      <c r="D29" s="297"/>
      <c r="E29" s="160"/>
      <c r="F29" s="292"/>
      <c r="G29" s="8"/>
      <c r="H29" s="8"/>
      <c r="I29" s="8"/>
      <c r="K29" s="3" t="s">
        <v>32</v>
      </c>
      <c r="L29" s="19">
        <f t="shared" si="2"/>
        <v>0</v>
      </c>
      <c r="M29" s="99">
        <v>0.04</v>
      </c>
      <c r="N29" s="3">
        <f t="shared" si="0"/>
        <v>0</v>
      </c>
      <c r="O29" s="3">
        <f t="shared" si="1"/>
        <v>0</v>
      </c>
    </row>
    <row r="30" spans="1:15" x14ac:dyDescent="0.25">
      <c r="A30" s="292"/>
      <c r="B30" s="8"/>
      <c r="C30" s="8"/>
      <c r="D30" s="297"/>
      <c r="E30" s="160"/>
      <c r="F30" s="292"/>
      <c r="G30" s="8"/>
      <c r="H30" s="8"/>
      <c r="I30" s="8"/>
      <c r="K30" s="3" t="s">
        <v>33</v>
      </c>
      <c r="L30" s="19">
        <f t="shared" si="2"/>
        <v>0</v>
      </c>
      <c r="M30" s="99">
        <v>0.04</v>
      </c>
      <c r="N30" s="3">
        <f t="shared" si="0"/>
        <v>0</v>
      </c>
      <c r="O30" s="3">
        <f t="shared" si="1"/>
        <v>0</v>
      </c>
    </row>
    <row r="31" spans="1:15" x14ac:dyDescent="0.25">
      <c r="A31" s="292"/>
      <c r="B31" s="8"/>
      <c r="C31" s="8"/>
      <c r="D31" s="297"/>
      <c r="E31" s="160"/>
      <c r="F31" s="292"/>
      <c r="G31" s="8"/>
      <c r="H31" s="8"/>
      <c r="I31" s="8"/>
      <c r="K31" s="3" t="s">
        <v>216</v>
      </c>
      <c r="L31" s="19">
        <f>B2</f>
        <v>3922.6807498428034</v>
      </c>
      <c r="M31" s="99">
        <v>0.04</v>
      </c>
      <c r="N31" s="3">
        <f t="shared" si="0"/>
        <v>156.90722999371215</v>
      </c>
      <c r="O31" s="3">
        <f t="shared" si="1"/>
        <v>172.96040869436882</v>
      </c>
    </row>
    <row r="32" spans="1:15" x14ac:dyDescent="0.25">
      <c r="A32" s="292"/>
      <c r="B32" s="8"/>
      <c r="C32" s="8"/>
      <c r="D32" s="297"/>
      <c r="E32" s="160"/>
      <c r="F32" s="292"/>
      <c r="G32" s="8"/>
      <c r="H32" s="8"/>
      <c r="I32" s="8"/>
      <c r="N32" s="2" t="s">
        <v>144</v>
      </c>
      <c r="O32" s="101">
        <f>SUM(O24:O31)</f>
        <v>172.96040869436882</v>
      </c>
    </row>
    <row r="33" spans="1:15" x14ac:dyDescent="0.25">
      <c r="A33" s="292"/>
      <c r="B33" s="8"/>
      <c r="C33" s="8"/>
      <c r="D33" s="297"/>
      <c r="E33" s="160"/>
      <c r="F33" s="292"/>
      <c r="G33" s="8"/>
      <c r="H33" s="8"/>
      <c r="I33" s="8"/>
      <c r="K33" s="101"/>
      <c r="O33" s="100"/>
    </row>
    <row r="34" spans="1:15" x14ac:dyDescent="0.25">
      <c r="A34" s="292"/>
      <c r="B34" s="8"/>
      <c r="C34" s="8"/>
      <c r="D34" s="297"/>
      <c r="E34" s="160"/>
      <c r="F34" s="292"/>
      <c r="G34" s="8"/>
      <c r="H34" s="8"/>
      <c r="I34" s="8"/>
    </row>
    <row r="35" spans="1:15" x14ac:dyDescent="0.25">
      <c r="A35" s="160"/>
      <c r="B35" s="160"/>
      <c r="C35" s="160"/>
      <c r="D35" s="299"/>
      <c r="E35" s="160"/>
      <c r="F35" s="160"/>
      <c r="G35" s="160"/>
      <c r="H35" s="160"/>
      <c r="I35" s="160"/>
    </row>
    <row r="36" spans="1:15" ht="18.75" x14ac:dyDescent="0.25">
      <c r="A36" s="331"/>
      <c r="B36" s="331"/>
      <c r="C36" s="331"/>
      <c r="D36" s="331"/>
      <c r="E36" s="160"/>
      <c r="F36" s="331"/>
      <c r="G36" s="331"/>
      <c r="H36" s="331"/>
      <c r="I36" s="331"/>
    </row>
    <row r="37" spans="1:15" x14ac:dyDescent="0.25">
      <c r="A37" s="292"/>
      <c r="B37" s="330"/>
      <c r="C37" s="330"/>
      <c r="D37" s="330"/>
      <c r="E37" s="160"/>
      <c r="F37" s="292"/>
      <c r="G37" s="330"/>
      <c r="H37" s="330"/>
      <c r="I37" s="330"/>
    </row>
    <row r="38" spans="1:15" x14ac:dyDescent="0.25">
      <c r="A38" s="8"/>
      <c r="B38" s="297"/>
      <c r="C38" s="297"/>
      <c r="D38" s="297"/>
      <c r="E38" s="160"/>
      <c r="F38" s="8"/>
      <c r="G38" s="297"/>
      <c r="H38" s="297"/>
      <c r="I38" s="297"/>
    </row>
    <row r="39" spans="1:15" x14ac:dyDescent="0.25">
      <c r="A39" s="161"/>
      <c r="B39" s="297"/>
      <c r="C39" s="297"/>
      <c r="D39" s="297"/>
      <c r="E39" s="160"/>
      <c r="F39" s="161"/>
      <c r="G39" s="297"/>
      <c r="H39" s="297"/>
      <c r="I39" s="8"/>
    </row>
    <row r="40" spans="1:15" x14ac:dyDescent="0.25">
      <c r="A40" s="161"/>
      <c r="B40" s="8"/>
      <c r="C40" s="8"/>
      <c r="D40" s="297"/>
      <c r="E40" s="160"/>
      <c r="F40" s="161"/>
      <c r="G40" s="8"/>
      <c r="H40" s="8"/>
      <c r="I40" s="8"/>
    </row>
    <row r="41" spans="1:15" x14ac:dyDescent="0.25">
      <c r="A41" s="292"/>
      <c r="B41" s="8"/>
      <c r="C41" s="8"/>
      <c r="D41" s="297"/>
      <c r="E41" s="160"/>
      <c r="F41" s="292"/>
      <c r="G41" s="8"/>
      <c r="H41" s="8"/>
      <c r="I41" s="8"/>
    </row>
    <row r="42" spans="1:15" x14ac:dyDescent="0.25">
      <c r="A42" s="292"/>
      <c r="B42" s="8"/>
      <c r="C42" s="8"/>
      <c r="D42" s="297"/>
      <c r="E42" s="160"/>
      <c r="F42" s="292"/>
      <c r="G42" s="8"/>
      <c r="H42" s="8"/>
      <c r="I42" s="8"/>
    </row>
    <row r="43" spans="1:15" x14ac:dyDescent="0.25">
      <c r="A43" s="292"/>
      <c r="B43" s="8"/>
      <c r="C43" s="8"/>
      <c r="D43" s="297"/>
      <c r="E43" s="160"/>
      <c r="F43" s="292"/>
      <c r="G43" s="8"/>
      <c r="H43" s="8"/>
      <c r="I43" s="8"/>
    </row>
    <row r="44" spans="1:15" x14ac:dyDescent="0.25">
      <c r="A44" s="292"/>
      <c r="B44" s="8"/>
      <c r="C44" s="8"/>
      <c r="D44" s="297"/>
      <c r="E44" s="160"/>
      <c r="F44" s="292"/>
      <c r="G44" s="8"/>
      <c r="H44" s="8"/>
      <c r="I44" s="8"/>
    </row>
    <row r="45" spans="1:15" x14ac:dyDescent="0.25">
      <c r="A45" s="292"/>
      <c r="B45" s="8"/>
      <c r="C45" s="8"/>
      <c r="D45" s="297"/>
      <c r="E45" s="160"/>
      <c r="F45" s="292"/>
      <c r="G45" s="8"/>
      <c r="H45" s="8"/>
      <c r="I45" s="8"/>
    </row>
    <row r="46" spans="1:15" x14ac:dyDescent="0.25">
      <c r="A46" s="292"/>
      <c r="B46" s="8"/>
      <c r="C46" s="8"/>
      <c r="D46" s="297"/>
      <c r="E46" s="160"/>
      <c r="F46" s="292"/>
      <c r="G46" s="8"/>
      <c r="H46" s="8"/>
      <c r="I46" s="8"/>
    </row>
    <row r="47" spans="1:15" x14ac:dyDescent="0.25">
      <c r="A47" s="160"/>
      <c r="B47" s="160"/>
      <c r="C47" s="160"/>
      <c r="D47" s="299"/>
      <c r="E47" s="160"/>
      <c r="F47" s="160"/>
      <c r="G47" s="160"/>
      <c r="H47" s="160"/>
      <c r="I47" s="160"/>
    </row>
    <row r="48" spans="1:15" ht="18.75" x14ac:dyDescent="0.25">
      <c r="A48" s="331"/>
      <c r="B48" s="331"/>
      <c r="C48" s="331"/>
      <c r="D48" s="331"/>
      <c r="E48" s="160"/>
      <c r="F48" s="160"/>
      <c r="G48" s="160"/>
      <c r="H48" s="160"/>
      <c r="I48" s="160"/>
    </row>
    <row r="49" spans="1:9" ht="18.75" x14ac:dyDescent="0.25">
      <c r="A49" s="292"/>
      <c r="B49" s="330"/>
      <c r="C49" s="330"/>
      <c r="D49" s="330"/>
      <c r="E49" s="160"/>
      <c r="F49" s="331"/>
      <c r="G49" s="331"/>
      <c r="H49" s="331"/>
      <c r="I49" s="331"/>
    </row>
    <row r="50" spans="1:9" x14ac:dyDescent="0.25">
      <c r="A50" s="8"/>
      <c r="B50" s="297"/>
      <c r="C50" s="297"/>
      <c r="D50" s="297"/>
      <c r="E50" s="160"/>
      <c r="F50" s="292"/>
      <c r="G50" s="330"/>
      <c r="H50" s="330"/>
      <c r="I50" s="330"/>
    </row>
    <row r="51" spans="1:9" x14ac:dyDescent="0.25">
      <c r="A51" s="161"/>
      <c r="B51" s="297"/>
      <c r="C51" s="297"/>
      <c r="D51" s="297"/>
      <c r="E51" s="160"/>
      <c r="F51" s="8"/>
      <c r="G51" s="297"/>
      <c r="H51" s="297"/>
      <c r="I51" s="297"/>
    </row>
    <row r="52" spans="1:9" x14ac:dyDescent="0.25">
      <c r="A52" s="292"/>
      <c r="B52" s="8"/>
      <c r="C52" s="8"/>
      <c r="D52" s="297"/>
      <c r="E52" s="160"/>
      <c r="F52" s="161"/>
      <c r="G52" s="297"/>
      <c r="H52" s="297"/>
      <c r="I52" s="8"/>
    </row>
    <row r="53" spans="1:9" x14ac:dyDescent="0.25">
      <c r="A53" s="292"/>
      <c r="B53" s="8"/>
      <c r="C53" s="8"/>
      <c r="D53" s="297"/>
      <c r="E53" s="160"/>
      <c r="F53" s="161"/>
      <c r="G53" s="8"/>
      <c r="H53" s="8"/>
      <c r="I53" s="8"/>
    </row>
    <row r="54" spans="1:9" x14ac:dyDescent="0.25">
      <c r="A54" s="292"/>
      <c r="B54" s="8"/>
      <c r="C54" s="8"/>
      <c r="D54" s="297"/>
      <c r="E54" s="160"/>
      <c r="F54" s="161"/>
      <c r="G54" s="8"/>
      <c r="H54" s="8"/>
      <c r="I54" s="8"/>
    </row>
    <row r="55" spans="1:9" x14ac:dyDescent="0.25">
      <c r="A55" s="292"/>
      <c r="B55" s="8"/>
      <c r="C55" s="8"/>
      <c r="D55" s="297"/>
      <c r="E55" s="160"/>
      <c r="F55" s="161"/>
      <c r="G55" s="8"/>
      <c r="H55" s="8"/>
      <c r="I55" s="8"/>
    </row>
    <row r="56" spans="1:9" x14ac:dyDescent="0.25">
      <c r="A56" s="292"/>
      <c r="B56" s="8"/>
      <c r="C56" s="8"/>
      <c r="D56" s="297"/>
      <c r="E56" s="160"/>
      <c r="F56" s="161"/>
      <c r="G56" s="8"/>
      <c r="H56" s="8"/>
      <c r="I56" s="8"/>
    </row>
    <row r="57" spans="1:9" x14ac:dyDescent="0.25">
      <c r="A57" s="292"/>
      <c r="B57" s="8"/>
      <c r="C57" s="8"/>
      <c r="D57" s="297"/>
      <c r="E57" s="160"/>
      <c r="F57" s="292"/>
      <c r="G57" s="8"/>
      <c r="H57" s="8"/>
      <c r="I57" s="8"/>
    </row>
    <row r="58" spans="1:9" x14ac:dyDescent="0.25">
      <c r="A58" s="293"/>
      <c r="B58" s="300"/>
      <c r="C58" s="300"/>
      <c r="D58" s="299"/>
      <c r="E58" s="160"/>
      <c r="F58" s="292"/>
      <c r="G58" s="8"/>
      <c r="H58" s="8"/>
      <c r="I58" s="8"/>
    </row>
    <row r="59" spans="1:9" x14ac:dyDescent="0.25">
      <c r="A59" s="293"/>
      <c r="B59" s="300"/>
      <c r="C59" s="300"/>
      <c r="D59" s="299"/>
      <c r="E59" s="160"/>
      <c r="F59" s="292"/>
      <c r="G59" s="8"/>
      <c r="H59" s="8"/>
      <c r="I59" s="8"/>
    </row>
    <row r="60" spans="1:9" x14ac:dyDescent="0.25">
      <c r="A60" s="293"/>
      <c r="B60" s="300"/>
      <c r="C60" s="300"/>
      <c r="D60" s="299"/>
      <c r="E60" s="160"/>
      <c r="F60" s="292"/>
      <c r="G60" s="8"/>
      <c r="H60" s="8"/>
      <c r="I60" s="8"/>
    </row>
    <row r="61" spans="1:9" x14ac:dyDescent="0.25">
      <c r="A61" s="293"/>
      <c r="B61" s="300"/>
      <c r="C61" s="300"/>
      <c r="D61" s="299"/>
      <c r="E61" s="160"/>
      <c r="F61" s="292"/>
      <c r="G61" s="8"/>
      <c r="H61" s="8"/>
      <c r="I61" s="8"/>
    </row>
    <row r="62" spans="1:9" x14ac:dyDescent="0.25">
      <c r="A62" s="293"/>
      <c r="B62" s="300"/>
      <c r="C62" s="300"/>
      <c r="D62" s="299"/>
      <c r="E62" s="160"/>
      <c r="F62" s="292"/>
      <c r="G62" s="8"/>
      <c r="H62" s="8"/>
      <c r="I62" s="8"/>
    </row>
    <row r="63" spans="1:9" x14ac:dyDescent="0.25">
      <c r="A63" s="160"/>
      <c r="B63" s="160"/>
      <c r="C63" s="160"/>
      <c r="D63" s="299"/>
      <c r="E63" s="160"/>
      <c r="F63" s="292"/>
      <c r="G63" s="8"/>
      <c r="H63" s="8"/>
      <c r="I63" s="8"/>
    </row>
    <row r="64" spans="1:9" ht="18.75" x14ac:dyDescent="0.25">
      <c r="A64" s="331"/>
      <c r="B64" s="331"/>
      <c r="C64" s="331"/>
      <c r="D64" s="331"/>
      <c r="E64" s="160"/>
      <c r="F64" s="292"/>
      <c r="G64" s="8"/>
      <c r="H64" s="8"/>
      <c r="I64" s="8"/>
    </row>
    <row r="65" spans="1:9" x14ac:dyDescent="0.25">
      <c r="A65" s="292"/>
      <c r="B65" s="330"/>
      <c r="C65" s="330"/>
      <c r="D65" s="330"/>
      <c r="E65" s="160"/>
      <c r="F65" s="292"/>
      <c r="G65" s="8"/>
      <c r="H65" s="8"/>
      <c r="I65" s="8"/>
    </row>
    <row r="66" spans="1:9" x14ac:dyDescent="0.25">
      <c r="A66" s="8"/>
      <c r="B66" s="297"/>
      <c r="C66" s="297"/>
      <c r="D66" s="297"/>
      <c r="E66" s="160"/>
      <c r="F66" s="292"/>
      <c r="G66" s="8"/>
      <c r="H66" s="8"/>
      <c r="I66" s="8"/>
    </row>
    <row r="67" spans="1:9" x14ac:dyDescent="0.25">
      <c r="A67" s="161"/>
      <c r="B67" s="297"/>
      <c r="C67" s="297"/>
      <c r="D67" s="297"/>
      <c r="E67" s="160"/>
      <c r="F67" s="292"/>
      <c r="G67" s="8"/>
      <c r="H67" s="8"/>
      <c r="I67" s="8"/>
    </row>
    <row r="68" spans="1:9" x14ac:dyDescent="0.25">
      <c r="A68" s="292"/>
      <c r="B68" s="8"/>
      <c r="C68" s="8"/>
      <c r="D68" s="297"/>
      <c r="E68" s="160"/>
      <c r="F68" s="292"/>
      <c r="G68" s="8"/>
      <c r="H68" s="8"/>
      <c r="I68" s="8"/>
    </row>
    <row r="69" spans="1:9" x14ac:dyDescent="0.25">
      <c r="A69" s="292"/>
      <c r="B69" s="8"/>
      <c r="C69" s="8"/>
      <c r="D69" s="297"/>
      <c r="E69" s="160"/>
      <c r="F69" s="292"/>
      <c r="G69" s="8"/>
      <c r="H69" s="8"/>
      <c r="I69" s="8"/>
    </row>
    <row r="70" spans="1:9" x14ac:dyDescent="0.25">
      <c r="A70" s="292"/>
      <c r="B70" s="8"/>
      <c r="C70" s="8"/>
      <c r="D70" s="297"/>
      <c r="E70" s="160"/>
      <c r="F70" s="160"/>
      <c r="G70" s="160"/>
      <c r="H70" s="160"/>
      <c r="I70" s="160"/>
    </row>
    <row r="71" spans="1:9" x14ac:dyDescent="0.25">
      <c r="A71" s="292"/>
      <c r="B71" s="8"/>
      <c r="C71" s="8"/>
      <c r="D71" s="297"/>
      <c r="E71" s="160"/>
      <c r="F71" s="160"/>
      <c r="G71" s="160"/>
      <c r="H71" s="160"/>
      <c r="I71" s="160"/>
    </row>
    <row r="72" spans="1:9" x14ac:dyDescent="0.25">
      <c r="A72" s="292"/>
      <c r="B72" s="8"/>
      <c r="C72" s="8"/>
      <c r="D72" s="297"/>
      <c r="E72" s="160"/>
      <c r="F72" s="160"/>
      <c r="G72" s="160"/>
      <c r="H72" s="160"/>
      <c r="I72" s="160"/>
    </row>
    <row r="73" spans="1:9" x14ac:dyDescent="0.25">
      <c r="A73" s="292"/>
      <c r="B73" s="8"/>
      <c r="C73" s="8"/>
      <c r="D73" s="297"/>
      <c r="E73" s="160"/>
      <c r="F73" s="160"/>
      <c r="G73" s="160"/>
      <c r="H73" s="160"/>
      <c r="I73" s="160"/>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103"/>
  <sheetViews>
    <sheetView workbookViewId="0">
      <selection activeCell="N23" sqref="N23"/>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338</v>
      </c>
      <c r="B1" s="3"/>
      <c r="C1" s="3"/>
      <c r="D1" s="3"/>
      <c r="E1" s="3"/>
      <c r="F1" s="3"/>
      <c r="G1" s="3"/>
      <c r="H1" s="3"/>
      <c r="I1" s="3"/>
      <c r="J1" s="3"/>
      <c r="K1" s="3"/>
      <c r="L1" s="3"/>
      <c r="M1" s="3"/>
      <c r="N1" s="3"/>
      <c r="O1" s="3"/>
      <c r="P1" s="3"/>
      <c r="Q1" s="3"/>
      <c r="R1" s="3"/>
      <c r="S1" s="3"/>
      <c r="T1" s="3"/>
      <c r="U1" s="3"/>
      <c r="V1" s="3"/>
      <c r="W1" s="3"/>
      <c r="X1" s="3"/>
    </row>
    <row r="2" spans="1:24" x14ac:dyDescent="0.25">
      <c r="A2" s="2" t="s">
        <v>23</v>
      </c>
      <c r="B2" s="37">
        <f>SUM(C5:C12)</f>
        <v>3566001.7766522723</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161" t="s">
        <v>35</v>
      </c>
      <c r="G4" s="328" t="s">
        <v>36</v>
      </c>
      <c r="H4" s="329"/>
      <c r="I4" s="163"/>
      <c r="J4" s="160"/>
      <c r="K4" s="163"/>
      <c r="L4" s="162" t="s">
        <v>101</v>
      </c>
      <c r="M4" s="163"/>
      <c r="N4" s="3"/>
      <c r="O4" s="3"/>
      <c r="P4" s="3"/>
      <c r="Q4" s="3"/>
      <c r="R4" s="3"/>
      <c r="S4" s="3"/>
      <c r="T4" s="3"/>
      <c r="U4" s="3"/>
      <c r="V4" s="3"/>
      <c r="W4" s="3"/>
      <c r="X4" s="3"/>
    </row>
    <row r="5" spans="1:24" x14ac:dyDescent="0.25">
      <c r="A5" s="6" t="s">
        <v>27</v>
      </c>
      <c r="B5" s="16">
        <f>C5/$B$2</f>
        <v>0.14631117262785664</v>
      </c>
      <c r="C5" s="127">
        <f>'US Mat Flow Analysis 2018'!AF3</f>
        <v>521745.9015350141</v>
      </c>
      <c r="D5" s="125"/>
      <c r="E5" s="3"/>
      <c r="F5" s="165"/>
      <c r="G5" s="166" t="s">
        <v>37</v>
      </c>
      <c r="H5" s="166" t="s">
        <v>38</v>
      </c>
      <c r="I5" s="166" t="s">
        <v>66</v>
      </c>
      <c r="J5" s="160"/>
      <c r="K5" s="161" t="s">
        <v>9</v>
      </c>
      <c r="L5" s="172">
        <f>'US Mat Flow Analysis 2018'!U11</f>
        <v>131834.21797323419</v>
      </c>
      <c r="M5" s="163"/>
      <c r="N5" s="3"/>
      <c r="O5" s="3"/>
      <c r="P5" s="3"/>
      <c r="Q5" s="3"/>
      <c r="R5" s="3"/>
      <c r="S5" s="3"/>
      <c r="T5" s="3"/>
      <c r="U5" s="3"/>
      <c r="V5" s="3"/>
      <c r="W5" s="3"/>
      <c r="X5" s="3"/>
    </row>
    <row r="6" spans="1:24" x14ac:dyDescent="0.25">
      <c r="A6" s="6" t="s">
        <v>28</v>
      </c>
      <c r="B6" s="16">
        <f t="shared" ref="B6:B12" si="0">C6/$B$2</f>
        <v>0.17188861747274675</v>
      </c>
      <c r="C6" s="127">
        <f>'US Mat Flow Analysis 2018'!AF4</f>
        <v>612955.11529411771</v>
      </c>
      <c r="D6" s="125"/>
      <c r="E6" s="3"/>
      <c r="F6" s="161" t="s">
        <v>9</v>
      </c>
      <c r="G6" s="165">
        <v>0.1</v>
      </c>
      <c r="H6" s="165">
        <v>0.7</v>
      </c>
      <c r="I6" s="165">
        <f>(G6+H6)/2</f>
        <v>0.39999999999999997</v>
      </c>
      <c r="J6" s="160"/>
      <c r="K6" s="161" t="s">
        <v>10</v>
      </c>
      <c r="L6" s="172">
        <f>'US Mat Flow Analysis 2018'!U12</f>
        <v>15906.591697638902</v>
      </c>
      <c r="M6" s="163"/>
      <c r="N6" s="3"/>
      <c r="O6" s="3"/>
      <c r="P6" s="3"/>
      <c r="Q6" s="3"/>
      <c r="R6" s="3"/>
      <c r="S6" s="3"/>
      <c r="T6" s="3"/>
      <c r="U6" s="3"/>
      <c r="V6" s="3"/>
      <c r="W6" s="3"/>
      <c r="X6" s="3"/>
    </row>
    <row r="7" spans="1:24" x14ac:dyDescent="0.25">
      <c r="A7" s="6" t="s">
        <v>29</v>
      </c>
      <c r="B7" s="16">
        <f t="shared" si="0"/>
        <v>2.0846733832012316E-2</v>
      </c>
      <c r="C7" s="127">
        <f>'US Mat Flow Analysis 2018'!AF5</f>
        <v>74339.489882352951</v>
      </c>
      <c r="D7" s="125"/>
      <c r="E7" s="3"/>
      <c r="F7" s="161" t="s">
        <v>10</v>
      </c>
      <c r="G7" s="165">
        <v>7.0000000000000001E-3</v>
      </c>
      <c r="H7" s="165">
        <v>0.25</v>
      </c>
      <c r="I7" s="165">
        <f t="shared" ref="I7:I21" si="1">(G7+H7)/2</f>
        <v>0.1285</v>
      </c>
      <c r="J7" s="160"/>
      <c r="K7" s="161" t="s">
        <v>39</v>
      </c>
      <c r="L7" s="172">
        <f>'US Mat Flow Analysis 2018'!U13</f>
        <v>21247.904115791418</v>
      </c>
      <c r="M7" s="163"/>
      <c r="N7" s="3"/>
      <c r="O7" s="3"/>
      <c r="P7" s="3"/>
      <c r="Q7" s="3"/>
      <c r="R7" s="3"/>
      <c r="S7" s="3"/>
      <c r="T7" s="3"/>
      <c r="U7" s="3"/>
      <c r="V7" s="3"/>
      <c r="W7" s="3"/>
      <c r="X7" s="3"/>
    </row>
    <row r="8" spans="1:24" x14ac:dyDescent="0.25">
      <c r="A8" s="6" t="s">
        <v>30</v>
      </c>
      <c r="B8" s="16">
        <f t="shared" si="0"/>
        <v>0.23460951680548742</v>
      </c>
      <c r="C8" s="127">
        <f>'US Mat Flow Analysis 2018'!AF6</f>
        <v>836617.95374789927</v>
      </c>
      <c r="D8" s="125"/>
      <c r="E8" s="3"/>
      <c r="F8" s="161" t="s">
        <v>39</v>
      </c>
      <c r="G8" s="165">
        <v>5.0000000000000001E-3</v>
      </c>
      <c r="H8" s="165">
        <v>0.03</v>
      </c>
      <c r="I8" s="165">
        <f t="shared" si="1"/>
        <v>1.7499999999999998E-2</v>
      </c>
      <c r="J8" s="160"/>
      <c r="K8" s="161" t="s">
        <v>40</v>
      </c>
      <c r="L8" s="172">
        <f>'US Mat Flow Analysis 2018'!U14</f>
        <v>9402.6929695281142</v>
      </c>
      <c r="M8" s="163"/>
      <c r="N8" s="3"/>
      <c r="O8" s="3"/>
      <c r="P8" s="3"/>
      <c r="Q8" s="3"/>
      <c r="R8" s="3"/>
      <c r="S8" s="3"/>
      <c r="T8" s="3"/>
      <c r="U8" s="3"/>
      <c r="V8" s="3"/>
      <c r="W8" s="3"/>
      <c r="X8" s="3"/>
    </row>
    <row r="9" spans="1:24" x14ac:dyDescent="0.25">
      <c r="A9" s="6" t="s">
        <v>31</v>
      </c>
      <c r="B9" s="16">
        <f t="shared" si="0"/>
        <v>1.8602350836944728E-3</v>
      </c>
      <c r="C9" s="127">
        <f>'US Mat Flow Analysis 2018'!AF7</f>
        <v>6633.6016134453785</v>
      </c>
      <c r="D9" s="125"/>
      <c r="E9" s="3"/>
      <c r="F9" s="161" t="s">
        <v>40</v>
      </c>
      <c r="G9" s="165">
        <v>5.0000000000000001E-3</v>
      </c>
      <c r="H9" s="165">
        <v>0.03</v>
      </c>
      <c r="I9" s="165">
        <f t="shared" si="1"/>
        <v>1.7499999999999998E-2</v>
      </c>
      <c r="J9" s="160"/>
      <c r="K9" s="161" t="s">
        <v>12</v>
      </c>
      <c r="L9" s="172">
        <f>'US Mat Flow Analysis 2018'!U15</f>
        <v>1582.1062419685857</v>
      </c>
      <c r="M9" s="163"/>
      <c r="N9" s="3"/>
      <c r="O9" s="3"/>
      <c r="P9" s="3"/>
      <c r="Q9" s="3"/>
      <c r="R9" s="3"/>
      <c r="S9" s="3"/>
      <c r="T9" s="3"/>
      <c r="U9" s="3"/>
      <c r="V9" s="3"/>
      <c r="W9" s="3"/>
      <c r="X9" s="3"/>
    </row>
    <row r="10" spans="1:24" x14ac:dyDescent="0.25">
      <c r="A10" s="6" t="s">
        <v>32</v>
      </c>
      <c r="B10" s="16">
        <f t="shared" si="0"/>
        <v>0.22427114707114976</v>
      </c>
      <c r="C10" s="127">
        <f>'US Mat Flow Analysis 2018'!AF8</f>
        <v>799751.3089075631</v>
      </c>
      <c r="D10" s="125"/>
      <c r="E10" s="3"/>
      <c r="F10" s="161" t="s">
        <v>12</v>
      </c>
      <c r="G10" s="165">
        <v>1E-3</v>
      </c>
      <c r="H10" s="165">
        <v>0.03</v>
      </c>
      <c r="I10" s="165">
        <f t="shared" si="1"/>
        <v>1.55E-2</v>
      </c>
      <c r="J10" s="160"/>
      <c r="K10" s="161" t="s">
        <v>41</v>
      </c>
      <c r="L10" s="172">
        <f>'US Mat Flow Analysis 2018'!U16</f>
        <v>1318.3421797323422</v>
      </c>
      <c r="M10" s="163"/>
      <c r="N10" s="3"/>
      <c r="O10" s="3"/>
      <c r="P10" s="3"/>
      <c r="Q10" s="3"/>
      <c r="R10" s="3"/>
      <c r="S10" s="3"/>
      <c r="T10" s="3"/>
      <c r="U10" s="3"/>
      <c r="V10" s="3"/>
      <c r="W10" s="3"/>
      <c r="X10" s="3"/>
    </row>
    <row r="11" spans="1:24" x14ac:dyDescent="0.25">
      <c r="A11" s="6" t="s">
        <v>33</v>
      </c>
      <c r="B11" s="16">
        <f t="shared" si="0"/>
        <v>6.2421720576135382E-2</v>
      </c>
      <c r="C11" s="127">
        <f>'US Mat Flow Analysis 2018'!AF9</f>
        <v>222595.96647619049</v>
      </c>
      <c r="D11" s="125"/>
      <c r="E11" s="3"/>
      <c r="F11" s="161" t="s">
        <v>41</v>
      </c>
      <c r="G11" s="165">
        <v>1E-3</v>
      </c>
      <c r="H11" s="165">
        <v>0.03</v>
      </c>
      <c r="I11" s="165">
        <f t="shared" si="1"/>
        <v>1.55E-2</v>
      </c>
      <c r="J11" s="160"/>
      <c r="K11" s="161" t="s">
        <v>42</v>
      </c>
      <c r="L11" s="172">
        <f>'US Mat Flow Analysis 2018'!U17</f>
        <v>1767.9625915801603</v>
      </c>
      <c r="M11" s="163"/>
      <c r="N11" s="3"/>
      <c r="O11" s="3"/>
      <c r="P11" s="3"/>
      <c r="Q11" s="3"/>
      <c r="R11" s="3"/>
      <c r="S11" s="3"/>
      <c r="T11" s="3"/>
      <c r="U11" s="3"/>
      <c r="V11" s="3"/>
      <c r="W11" s="3"/>
      <c r="X11" s="3"/>
    </row>
    <row r="12" spans="1:24" x14ac:dyDescent="0.25">
      <c r="A12" s="6" t="s">
        <v>34</v>
      </c>
      <c r="B12" s="16">
        <f t="shared" si="0"/>
        <v>0.13779085653091727</v>
      </c>
      <c r="C12" s="127">
        <f>'US Mat Flow Analysis 2018'!AF10+SUM('US Mat Flow Analysis 2018'!AF11:AF26)</f>
        <v>491362.4391956894</v>
      </c>
      <c r="D12" s="125"/>
      <c r="E12" s="121"/>
      <c r="F12" s="161" t="s">
        <v>42</v>
      </c>
      <c r="G12" s="165">
        <v>1E-3</v>
      </c>
      <c r="H12" s="165">
        <v>0.01</v>
      </c>
      <c r="I12" s="165">
        <f t="shared" si="1"/>
        <v>5.4999999999999997E-3</v>
      </c>
      <c r="J12" s="160"/>
      <c r="K12" s="161" t="s">
        <v>43</v>
      </c>
      <c r="L12" s="172">
        <f>'US Mat Flow Analysis 2018'!U18</f>
        <v>1281.7291797323421</v>
      </c>
      <c r="M12" s="163"/>
      <c r="N12" s="3"/>
      <c r="O12" s="3"/>
      <c r="P12" s="3"/>
      <c r="Q12" s="3"/>
      <c r="R12" s="3"/>
      <c r="S12" s="3"/>
      <c r="T12" s="3"/>
      <c r="U12" s="3"/>
      <c r="V12" s="3"/>
      <c r="W12" s="3"/>
      <c r="X12" s="3"/>
    </row>
    <row r="13" spans="1:24" x14ac:dyDescent="0.25">
      <c r="A13" s="3"/>
      <c r="B13" s="85">
        <f>SUM(B5:B12)</f>
        <v>1</v>
      </c>
      <c r="C13" s="3" t="s">
        <v>179</v>
      </c>
      <c r="D13" s="3"/>
      <c r="E13" s="117"/>
      <c r="F13" s="161" t="s">
        <v>43</v>
      </c>
      <c r="G13" s="165">
        <v>1E-3</v>
      </c>
      <c r="H13" s="165">
        <v>0.02</v>
      </c>
      <c r="I13" s="165">
        <f t="shared" si="1"/>
        <v>1.0500000000000001E-2</v>
      </c>
      <c r="J13" s="160"/>
      <c r="K13" s="161" t="s">
        <v>44</v>
      </c>
      <c r="L13" s="172">
        <f>'US Mat Flow Analysis 2018'!U19</f>
        <v>6408.6458986617108</v>
      </c>
      <c r="M13" s="163"/>
      <c r="N13" s="3"/>
      <c r="O13" s="3"/>
      <c r="P13" s="3"/>
      <c r="Q13" s="3"/>
      <c r="R13" s="3"/>
      <c r="S13" s="3"/>
      <c r="T13" s="3"/>
      <c r="U13" s="3"/>
      <c r="V13" s="3"/>
      <c r="W13" s="3"/>
      <c r="X13" s="3"/>
    </row>
    <row r="14" spans="1:24" ht="21" x14ac:dyDescent="0.25">
      <c r="A14" s="3"/>
      <c r="B14" s="3"/>
      <c r="C14" s="3"/>
      <c r="D14" s="3"/>
      <c r="E14" s="126"/>
      <c r="F14" s="161" t="s">
        <v>44</v>
      </c>
      <c r="G14" s="165">
        <v>5.0000000000000001E-3</v>
      </c>
      <c r="H14" s="165">
        <v>0.20499999999999999</v>
      </c>
      <c r="I14" s="165">
        <f t="shared" si="1"/>
        <v>0.105</v>
      </c>
      <c r="J14" s="160"/>
      <c r="K14" s="161" t="s">
        <v>45</v>
      </c>
      <c r="L14" s="172">
        <f>'US Mat Flow Analysis 2018'!U20</f>
        <v>12.817291797323419</v>
      </c>
      <c r="M14" s="163"/>
      <c r="N14" s="3"/>
      <c r="O14" s="3"/>
      <c r="P14" s="3"/>
      <c r="Q14" s="3"/>
      <c r="R14" s="3"/>
      <c r="S14" s="3"/>
      <c r="T14" s="3"/>
      <c r="U14" s="3"/>
      <c r="V14" s="3"/>
      <c r="W14" s="3"/>
      <c r="X14" s="3"/>
    </row>
    <row r="15" spans="1:24" ht="18.75" x14ac:dyDescent="0.25">
      <c r="A15" s="327" t="s">
        <v>1</v>
      </c>
      <c r="B15" s="327"/>
      <c r="C15" s="327"/>
      <c r="D15" s="327"/>
      <c r="E15" s="163"/>
      <c r="F15" s="161" t="s">
        <v>45</v>
      </c>
      <c r="G15" s="165">
        <v>1.0000000000000001E-5</v>
      </c>
      <c r="H15" s="165">
        <v>0.01</v>
      </c>
      <c r="I15" s="165">
        <f t="shared" si="1"/>
        <v>5.0049999999999999E-3</v>
      </c>
      <c r="J15" s="160"/>
      <c r="K15" s="161" t="s">
        <v>11</v>
      </c>
      <c r="L15" s="172">
        <f>'US Mat Flow Analysis 2018'!U21</f>
        <v>4644.5940996590653</v>
      </c>
      <c r="M15" s="163"/>
      <c r="N15" s="3"/>
      <c r="O15" s="3"/>
      <c r="P15" s="3"/>
      <c r="Q15" s="3"/>
      <c r="R15" s="3"/>
      <c r="S15" s="3"/>
      <c r="T15" s="3"/>
      <c r="U15" s="3"/>
      <c r="V15" s="3"/>
      <c r="W15" s="3"/>
      <c r="X15" s="3"/>
    </row>
    <row r="16" spans="1:24" x14ac:dyDescent="0.25">
      <c r="A16" s="161" t="s">
        <v>35</v>
      </c>
      <c r="B16" s="326" t="s">
        <v>58</v>
      </c>
      <c r="C16" s="326"/>
      <c r="D16" s="326"/>
      <c r="E16" s="163"/>
      <c r="F16" s="161" t="s">
        <v>11</v>
      </c>
      <c r="G16" s="165">
        <v>2.5000000000000001E-3</v>
      </c>
      <c r="H16" s="165">
        <v>0.05</v>
      </c>
      <c r="I16" s="165">
        <f t="shared" si="1"/>
        <v>2.6250000000000002E-2</v>
      </c>
      <c r="J16" s="160"/>
      <c r="K16" s="161" t="s">
        <v>46</v>
      </c>
      <c r="L16" s="172">
        <f>'US Mat Flow Analysis 2018'!U22</f>
        <v>23.378776241366424</v>
      </c>
      <c r="M16" s="163"/>
      <c r="N16" s="3"/>
      <c r="O16" s="3"/>
      <c r="P16" s="3"/>
      <c r="Q16" s="3"/>
      <c r="R16" s="3"/>
      <c r="S16" s="3"/>
      <c r="T16" s="3"/>
      <c r="U16" s="3"/>
      <c r="V16" s="3"/>
      <c r="W16" s="3"/>
      <c r="X16" s="3"/>
    </row>
    <row r="17" spans="1:24" x14ac:dyDescent="0.25">
      <c r="A17" s="165"/>
      <c r="B17" s="166" t="s">
        <v>37</v>
      </c>
      <c r="C17" s="166" t="s">
        <v>38</v>
      </c>
      <c r="D17" s="166" t="s">
        <v>66</v>
      </c>
      <c r="E17" s="163"/>
      <c r="F17" s="161" t="s">
        <v>46</v>
      </c>
      <c r="G17" s="165">
        <v>1.0000000000000001E-5</v>
      </c>
      <c r="H17" s="165">
        <v>2.5000000000000001E-2</v>
      </c>
      <c r="I17" s="165">
        <f t="shared" si="1"/>
        <v>1.2505E-2</v>
      </c>
      <c r="J17" s="160"/>
      <c r="K17" s="161" t="s">
        <v>48</v>
      </c>
      <c r="L17" s="172">
        <f>'US Mat Flow Analysis 2018'!U23</f>
        <v>264.26537460080374</v>
      </c>
      <c r="M17" s="163"/>
      <c r="N17" s="3"/>
      <c r="O17" s="3"/>
      <c r="P17" s="3"/>
      <c r="Q17" s="3"/>
      <c r="R17" s="3"/>
      <c r="S17" s="3"/>
      <c r="T17" s="3"/>
      <c r="U17" s="3"/>
      <c r="V17" s="3"/>
      <c r="W17" s="3"/>
      <c r="X17" s="3"/>
    </row>
    <row r="18" spans="1:24" x14ac:dyDescent="0.25">
      <c r="A18" s="161" t="s">
        <v>47</v>
      </c>
      <c r="B18" s="169">
        <f>$C$5-SUM(B19:B23)</f>
        <v>514879.72547081334</v>
      </c>
      <c r="C18" s="169">
        <f>$C$5-SUM(C19:C23)</f>
        <v>357291.59337117767</v>
      </c>
      <c r="D18" s="170">
        <f>(B18+C18)/2</f>
        <v>436085.65942099551</v>
      </c>
      <c r="E18" s="163"/>
      <c r="F18" s="161" t="s">
        <v>48</v>
      </c>
      <c r="G18" s="165">
        <v>1.4999999999999999E-4</v>
      </c>
      <c r="H18" s="165">
        <v>2.0000000000000001E-4</v>
      </c>
      <c r="I18" s="165">
        <f t="shared" si="1"/>
        <v>1.75E-4</v>
      </c>
      <c r="J18" s="160"/>
      <c r="K18" s="161" t="s">
        <v>50</v>
      </c>
      <c r="L18" s="172">
        <f>'US Mat Flow Analysis 2018'!U24</f>
        <v>128.17291797323418</v>
      </c>
      <c r="M18" s="163"/>
      <c r="N18" s="3"/>
      <c r="O18" s="3"/>
      <c r="P18" s="3"/>
      <c r="Q18" s="3"/>
      <c r="R18" s="3"/>
      <c r="S18" s="3"/>
      <c r="T18" s="3"/>
      <c r="U18" s="3"/>
      <c r="V18" s="3"/>
      <c r="W18" s="3"/>
      <c r="X18" s="3"/>
    </row>
    <row r="19" spans="1:24" x14ac:dyDescent="0.25">
      <c r="A19" s="161" t="s">
        <v>49</v>
      </c>
      <c r="B19" s="165">
        <f>$C$5*G8</f>
        <v>2608.7295076750706</v>
      </c>
      <c r="C19" s="165">
        <f>$C$5*H8</f>
        <v>15652.377046050422</v>
      </c>
      <c r="D19" s="170">
        <f t="shared" ref="D19:D73" si="2">(B19+C19)/2</f>
        <v>9130.5532768627454</v>
      </c>
      <c r="E19" s="163"/>
      <c r="F19" s="161" t="s">
        <v>50</v>
      </c>
      <c r="G19" s="165">
        <v>1E-4</v>
      </c>
      <c r="H19" s="165">
        <v>0.1</v>
      </c>
      <c r="I19" s="165">
        <f t="shared" si="1"/>
        <v>5.0050000000000004E-2</v>
      </c>
      <c r="J19" s="160"/>
      <c r="K19" s="161" t="s">
        <v>14</v>
      </c>
      <c r="L19" s="172">
        <f>'US Mat Flow Analysis 2018'!U25</f>
        <v>12.817291797323419</v>
      </c>
      <c r="M19" s="163"/>
      <c r="N19" s="3"/>
      <c r="O19" s="3"/>
      <c r="P19" s="3"/>
      <c r="Q19" s="3"/>
      <c r="R19" s="3"/>
      <c r="S19" s="3"/>
      <c r="T19" s="3"/>
      <c r="U19" s="3"/>
      <c r="V19" s="3"/>
      <c r="W19" s="3"/>
      <c r="X19" s="3"/>
    </row>
    <row r="20" spans="1:24" x14ac:dyDescent="0.25">
      <c r="A20" s="161" t="s">
        <v>10</v>
      </c>
      <c r="B20" s="165">
        <f>$C$5*G7</f>
        <v>3652.2213107450989</v>
      </c>
      <c r="C20" s="165">
        <f>$C$5*H7</f>
        <v>130436.47538375352</v>
      </c>
      <c r="D20" s="170">
        <f t="shared" si="2"/>
        <v>67044.34834724931</v>
      </c>
      <c r="E20" s="163"/>
      <c r="F20" s="161" t="s">
        <v>14</v>
      </c>
      <c r="G20" s="165">
        <v>1.0000000000000001E-5</v>
      </c>
      <c r="H20" s="165">
        <v>0.5</v>
      </c>
      <c r="I20" s="165">
        <f t="shared" si="1"/>
        <v>0.25000499999999998</v>
      </c>
      <c r="J20" s="160"/>
      <c r="K20" s="161" t="s">
        <v>15</v>
      </c>
      <c r="L20" s="172">
        <f>'US Mat Flow Analysis 2018'!U26</f>
        <v>192259.37695985127</v>
      </c>
      <c r="M20" s="163"/>
      <c r="N20" s="3"/>
      <c r="O20" s="3"/>
      <c r="P20" s="3"/>
      <c r="Q20" s="3"/>
      <c r="R20" s="3"/>
      <c r="S20" s="3"/>
      <c r="T20" s="3"/>
      <c r="U20" s="3"/>
      <c r="V20" s="3"/>
      <c r="W20" s="3"/>
      <c r="X20" s="3"/>
    </row>
    <row r="21" spans="1:24" x14ac:dyDescent="0.25">
      <c r="A21" s="161" t="s">
        <v>51</v>
      </c>
      <c r="B21" s="165">
        <f>$C$5*G12</f>
        <v>521.74590153501413</v>
      </c>
      <c r="C21" s="165">
        <f>$C$5*H12</f>
        <v>5217.4590153501413</v>
      </c>
      <c r="D21" s="170">
        <f t="shared" si="2"/>
        <v>2869.6024584425777</v>
      </c>
      <c r="E21" s="163"/>
      <c r="F21" s="161" t="s">
        <v>15</v>
      </c>
      <c r="G21" s="165">
        <v>0.15</v>
      </c>
      <c r="H21" s="165">
        <v>0.3</v>
      </c>
      <c r="I21" s="165">
        <f t="shared" si="1"/>
        <v>0.22499999999999998</v>
      </c>
      <c r="J21" s="3"/>
      <c r="K21" s="3"/>
      <c r="L21" s="3"/>
      <c r="M21" s="3" t="s">
        <v>237</v>
      </c>
      <c r="N21" s="3"/>
      <c r="O21" s="3"/>
      <c r="P21" s="3"/>
      <c r="Q21" s="3"/>
      <c r="R21" s="3"/>
      <c r="S21" s="3"/>
      <c r="T21" s="3"/>
      <c r="U21" s="3"/>
      <c r="V21" s="3"/>
      <c r="W21" s="3"/>
      <c r="X21" s="3"/>
    </row>
    <row r="22" spans="1:24" x14ac:dyDescent="0.25">
      <c r="A22" s="161" t="s">
        <v>48</v>
      </c>
      <c r="B22" s="165">
        <f>$C$5*G18</f>
        <v>78.261885230252105</v>
      </c>
      <c r="C22" s="165">
        <f>$C$5*H18</f>
        <v>104.34918030700283</v>
      </c>
      <c r="D22" s="170">
        <f t="shared" si="2"/>
        <v>91.305532768627472</v>
      </c>
      <c r="E22" s="163"/>
      <c r="F22" s="163"/>
      <c r="G22" s="163"/>
      <c r="H22" s="163"/>
      <c r="I22" s="163"/>
      <c r="J22" s="3"/>
      <c r="K22" s="3"/>
      <c r="L22" s="19"/>
      <c r="M22" s="15" t="s">
        <v>226</v>
      </c>
      <c r="N22" s="37"/>
      <c r="O22" s="37"/>
      <c r="P22" s="3"/>
      <c r="Q22" s="3"/>
      <c r="R22" s="3"/>
      <c r="S22" s="3"/>
      <c r="T22" s="3"/>
      <c r="U22" s="3"/>
      <c r="V22" s="3"/>
      <c r="W22" s="3"/>
      <c r="X22" s="3"/>
    </row>
    <row r="23" spans="1:24" x14ac:dyDescent="0.25">
      <c r="A23" s="161" t="s">
        <v>46</v>
      </c>
      <c r="B23" s="165">
        <f>$C$5*G17</f>
        <v>5.2174590153501414</v>
      </c>
      <c r="C23" s="171">
        <f>$C$5*H17</f>
        <v>13043.647538375353</v>
      </c>
      <c r="D23" s="170">
        <f t="shared" si="2"/>
        <v>6524.4324986953516</v>
      </c>
      <c r="E23" s="163"/>
      <c r="F23" s="163"/>
      <c r="G23" s="163"/>
      <c r="H23" s="163"/>
      <c r="I23" s="163"/>
      <c r="J23" s="3"/>
      <c r="K23" s="2" t="s">
        <v>339</v>
      </c>
      <c r="L23" s="19"/>
      <c r="M23" s="2" t="s">
        <v>213</v>
      </c>
      <c r="N23" s="2" t="s">
        <v>214</v>
      </c>
      <c r="O23" s="2" t="s">
        <v>215</v>
      </c>
      <c r="P23" s="3"/>
      <c r="Q23" s="3"/>
      <c r="R23" s="3"/>
      <c r="S23" s="3"/>
      <c r="T23" s="3"/>
      <c r="U23" s="3"/>
      <c r="V23" s="3"/>
      <c r="W23" s="3"/>
      <c r="X23" s="3"/>
    </row>
    <row r="24" spans="1:24" ht="18.75" x14ac:dyDescent="0.25">
      <c r="A24" s="163"/>
      <c r="B24" s="163"/>
      <c r="C24" s="163"/>
      <c r="D24" s="167"/>
      <c r="E24" s="163"/>
      <c r="F24" s="327" t="s">
        <v>4</v>
      </c>
      <c r="G24" s="327"/>
      <c r="H24" s="327"/>
      <c r="I24" s="327"/>
      <c r="J24" s="3"/>
      <c r="K24" s="3" t="s">
        <v>27</v>
      </c>
      <c r="L24" s="19">
        <f>C5</f>
        <v>521745.9015350141</v>
      </c>
      <c r="M24" s="99">
        <v>0.04</v>
      </c>
      <c r="N24" s="3">
        <f t="shared" ref="N24:N31" si="3">L24*M24</f>
        <v>20869.836061400565</v>
      </c>
      <c r="O24" s="3">
        <f t="shared" ref="O24:O31" si="4">N24*1.10231</f>
        <v>23005.028988842456</v>
      </c>
      <c r="P24" s="3"/>
      <c r="Q24" s="3"/>
      <c r="R24" s="3"/>
      <c r="S24" s="3"/>
      <c r="T24" s="3"/>
      <c r="U24" s="3"/>
      <c r="V24" s="3"/>
      <c r="W24" s="3"/>
      <c r="X24" s="3"/>
    </row>
    <row r="25" spans="1:24" ht="18.75" x14ac:dyDescent="0.25">
      <c r="A25" s="327" t="s">
        <v>2</v>
      </c>
      <c r="B25" s="327"/>
      <c r="C25" s="327"/>
      <c r="D25" s="327"/>
      <c r="E25" s="163"/>
      <c r="F25" s="161" t="s">
        <v>35</v>
      </c>
      <c r="G25" s="326" t="s">
        <v>60</v>
      </c>
      <c r="H25" s="326"/>
      <c r="I25" s="326"/>
      <c r="J25" s="3"/>
      <c r="K25" s="3" t="s">
        <v>28</v>
      </c>
      <c r="L25" s="19">
        <f t="shared" ref="L25:L31" si="5">C6</f>
        <v>612955.11529411771</v>
      </c>
      <c r="M25" s="99">
        <v>0.04</v>
      </c>
      <c r="N25" s="3">
        <f t="shared" si="3"/>
        <v>24518.204611764708</v>
      </c>
      <c r="O25" s="3">
        <f t="shared" si="4"/>
        <v>27026.662125594354</v>
      </c>
      <c r="P25" s="3"/>
      <c r="Q25" s="3"/>
      <c r="R25" s="3"/>
      <c r="S25" s="3"/>
      <c r="T25" s="3"/>
      <c r="U25" s="3"/>
      <c r="V25" s="3"/>
      <c r="W25" s="3"/>
      <c r="X25" s="3"/>
    </row>
    <row r="26" spans="1:24" x14ac:dyDescent="0.25">
      <c r="A26" s="161" t="s">
        <v>35</v>
      </c>
      <c r="B26" s="326" t="s">
        <v>59</v>
      </c>
      <c r="C26" s="326"/>
      <c r="D26" s="326"/>
      <c r="E26" s="163"/>
      <c r="F26" s="165"/>
      <c r="G26" s="166" t="s">
        <v>37</v>
      </c>
      <c r="H26" s="166" t="s">
        <v>38</v>
      </c>
      <c r="I26" s="166" t="s">
        <v>66</v>
      </c>
      <c r="J26" s="3"/>
      <c r="K26" s="3" t="s">
        <v>29</v>
      </c>
      <c r="L26" s="19">
        <f t="shared" si="5"/>
        <v>74339.489882352951</v>
      </c>
      <c r="M26" s="99">
        <v>0.04</v>
      </c>
      <c r="N26" s="3">
        <f t="shared" si="3"/>
        <v>2973.579595294118</v>
      </c>
      <c r="O26" s="3">
        <f t="shared" si="4"/>
        <v>3277.8065236886591</v>
      </c>
      <c r="P26" s="3"/>
      <c r="Q26" s="3"/>
      <c r="R26" s="3"/>
      <c r="S26" s="3"/>
      <c r="T26" s="3"/>
      <c r="U26" s="3"/>
      <c r="V26" s="3"/>
      <c r="W26" s="3"/>
      <c r="X26" s="3"/>
    </row>
    <row r="27" spans="1:24" x14ac:dyDescent="0.25">
      <c r="A27" s="165"/>
      <c r="B27" s="166" t="s">
        <v>37</v>
      </c>
      <c r="C27" s="166" t="s">
        <v>38</v>
      </c>
      <c r="D27" s="166" t="s">
        <v>66</v>
      </c>
      <c r="E27" s="163"/>
      <c r="F27" s="161" t="s">
        <v>47</v>
      </c>
      <c r="G27" s="166">
        <f>$C$8-SUM(G28:G34)</f>
        <v>815275.82974779035</v>
      </c>
      <c r="H27" s="166">
        <f>$C$8-SUM(H28:H34)</f>
        <v>464322.9643300841</v>
      </c>
      <c r="I27" s="165">
        <f>(G27+H27)/2</f>
        <v>639799.3970389372</v>
      </c>
      <c r="J27" s="3"/>
      <c r="K27" s="3" t="s">
        <v>122</v>
      </c>
      <c r="L27" s="19">
        <f t="shared" si="5"/>
        <v>836617.95374789927</v>
      </c>
      <c r="M27" s="99">
        <v>0.04</v>
      </c>
      <c r="N27" s="3">
        <f t="shared" si="3"/>
        <v>33464.718149915971</v>
      </c>
      <c r="O27" s="3">
        <f t="shared" si="4"/>
        <v>36888.493463833867</v>
      </c>
      <c r="P27" s="3"/>
      <c r="Q27" s="3"/>
      <c r="R27" s="3"/>
      <c r="S27" s="3"/>
      <c r="T27" s="3"/>
      <c r="U27" s="3"/>
      <c r="V27" s="3"/>
      <c r="W27" s="3"/>
      <c r="X27" s="3"/>
    </row>
    <row r="28" spans="1:24" x14ac:dyDescent="0.25">
      <c r="A28" s="161" t="s">
        <v>47</v>
      </c>
      <c r="B28" s="166">
        <f>$C$6-SUM(B29:B34)</f>
        <v>596705.67518767063</v>
      </c>
      <c r="C28" s="166">
        <f>$C$5-SUM(C29:C34)</f>
        <v>132519.40332324937</v>
      </c>
      <c r="D28" s="166">
        <f t="shared" si="2"/>
        <v>364612.53925546003</v>
      </c>
      <c r="E28" s="163"/>
      <c r="F28" s="161" t="s">
        <v>40</v>
      </c>
      <c r="G28" s="165">
        <f>$C$8*G9</f>
        <v>4183.0897687394963</v>
      </c>
      <c r="H28" s="165">
        <f>$C$8*H9</f>
        <v>25098.538612436976</v>
      </c>
      <c r="I28" s="165">
        <f t="shared" ref="I28:I69" si="6">(G28+H28)/2</f>
        <v>14640.814190588237</v>
      </c>
      <c r="J28" s="3"/>
      <c r="K28" s="3" t="s">
        <v>31</v>
      </c>
      <c r="L28" s="19">
        <f t="shared" si="5"/>
        <v>6633.6016134453785</v>
      </c>
      <c r="M28" s="99">
        <v>0.04</v>
      </c>
      <c r="N28" s="3">
        <f t="shared" si="3"/>
        <v>265.34406453781514</v>
      </c>
      <c r="O28" s="3">
        <f t="shared" si="4"/>
        <v>292.49141578067901</v>
      </c>
      <c r="P28" s="3"/>
      <c r="Q28" s="3"/>
      <c r="R28" s="3"/>
      <c r="S28" s="3"/>
      <c r="T28" s="3"/>
      <c r="U28" s="3"/>
      <c r="V28" s="3"/>
      <c r="W28" s="3"/>
      <c r="X28" s="3"/>
    </row>
    <row r="29" spans="1:24" x14ac:dyDescent="0.25">
      <c r="A29" s="161" t="s">
        <v>40</v>
      </c>
      <c r="B29" s="165">
        <f>$C$6*G9</f>
        <v>3064.7755764705885</v>
      </c>
      <c r="C29" s="165">
        <f>$C$6*H9</f>
        <v>18388.65345882353</v>
      </c>
      <c r="D29" s="166">
        <f t="shared" si="2"/>
        <v>10726.714517647059</v>
      </c>
      <c r="E29" s="163"/>
      <c r="F29" s="161" t="s">
        <v>52</v>
      </c>
      <c r="G29" s="165">
        <f>$C$8*G10</f>
        <v>836.61795374789926</v>
      </c>
      <c r="H29" s="165">
        <f>$C$8*H10</f>
        <v>25098.538612436976</v>
      </c>
      <c r="I29" s="165">
        <f t="shared" si="6"/>
        <v>12967.578283092438</v>
      </c>
      <c r="J29" s="3"/>
      <c r="K29" s="3" t="s">
        <v>32</v>
      </c>
      <c r="L29" s="19">
        <f t="shared" si="5"/>
        <v>799751.3089075631</v>
      </c>
      <c r="M29" s="99">
        <v>0.04</v>
      </c>
      <c r="N29" s="3">
        <f t="shared" si="3"/>
        <v>31990.052356302524</v>
      </c>
      <c r="O29" s="3">
        <f t="shared" si="4"/>
        <v>35262.95461287583</v>
      </c>
      <c r="P29" s="3"/>
      <c r="Q29" s="3"/>
      <c r="R29" s="3"/>
      <c r="S29" s="3"/>
      <c r="T29" s="3"/>
      <c r="U29" s="3"/>
      <c r="V29" s="3"/>
      <c r="W29" s="3"/>
      <c r="X29" s="3"/>
    </row>
    <row r="30" spans="1:24" x14ac:dyDescent="0.25">
      <c r="A30" s="161" t="s">
        <v>49</v>
      </c>
      <c r="B30" s="165">
        <f>$C$6*G8</f>
        <v>3064.7755764705885</v>
      </c>
      <c r="C30" s="165">
        <f>$C$6*H8</f>
        <v>18388.65345882353</v>
      </c>
      <c r="D30" s="166">
        <f t="shared" si="2"/>
        <v>10726.714517647059</v>
      </c>
      <c r="E30" s="163"/>
      <c r="F30" s="161" t="s">
        <v>49</v>
      </c>
      <c r="G30" s="165">
        <f>$C$8*G8</f>
        <v>4183.0897687394963</v>
      </c>
      <c r="H30" s="165">
        <f>$C$8*H8</f>
        <v>25098.538612436976</v>
      </c>
      <c r="I30" s="165">
        <f t="shared" si="6"/>
        <v>14640.814190588237</v>
      </c>
      <c r="J30" s="3"/>
      <c r="K30" s="3" t="s">
        <v>33</v>
      </c>
      <c r="L30" s="19">
        <f t="shared" si="5"/>
        <v>222595.96647619049</v>
      </c>
      <c r="M30" s="99">
        <v>0.04</v>
      </c>
      <c r="N30" s="3">
        <f t="shared" si="3"/>
        <v>8903.8386590476202</v>
      </c>
      <c r="O30" s="3">
        <f t="shared" si="4"/>
        <v>9814.7903922547812</v>
      </c>
      <c r="P30" s="3"/>
      <c r="Q30" s="3"/>
      <c r="R30" s="3"/>
      <c r="S30" s="3"/>
      <c r="T30" s="3"/>
      <c r="U30" s="3"/>
      <c r="V30" s="3"/>
      <c r="W30" s="3"/>
      <c r="X30" s="3"/>
    </row>
    <row r="31" spans="1:24" x14ac:dyDescent="0.25">
      <c r="A31" s="161" t="s">
        <v>11</v>
      </c>
      <c r="B31" s="165">
        <f>$C$6*G16</f>
        <v>1532.3877882352942</v>
      </c>
      <c r="C31" s="165">
        <f>$C$6*H16</f>
        <v>30647.755764705886</v>
      </c>
      <c r="D31" s="166">
        <f t="shared" si="2"/>
        <v>16090.07177647059</v>
      </c>
      <c r="E31" s="163"/>
      <c r="F31" s="161" t="s">
        <v>10</v>
      </c>
      <c r="G31" s="165">
        <f>$C$8*G7</f>
        <v>5856.3256762352948</v>
      </c>
      <c r="H31" s="165">
        <f>$C$8*H7</f>
        <v>209154.48843697482</v>
      </c>
      <c r="I31" s="165">
        <f t="shared" si="6"/>
        <v>107505.40705660505</v>
      </c>
      <c r="J31" s="3"/>
      <c r="K31" s="3" t="s">
        <v>216</v>
      </c>
      <c r="L31" s="19">
        <f t="shared" si="5"/>
        <v>491362.4391956894</v>
      </c>
      <c r="M31" s="99">
        <v>0.04</v>
      </c>
      <c r="N31" s="3">
        <f t="shared" si="3"/>
        <v>19654.497567827577</v>
      </c>
      <c r="O31" s="3">
        <f t="shared" si="4"/>
        <v>21665.349213992013</v>
      </c>
      <c r="P31" s="3"/>
      <c r="Q31" s="3"/>
      <c r="R31" s="3"/>
      <c r="S31" s="3"/>
      <c r="T31" s="3"/>
      <c r="U31" s="3"/>
      <c r="V31" s="3"/>
      <c r="W31" s="3"/>
      <c r="X31" s="3"/>
    </row>
    <row r="32" spans="1:24" x14ac:dyDescent="0.25">
      <c r="A32" s="161" t="s">
        <v>10</v>
      </c>
      <c r="B32" s="165">
        <f>$C$6*G7</f>
        <v>4290.6858070588241</v>
      </c>
      <c r="C32" s="165">
        <f>$C$6*H7</f>
        <v>153238.77882352943</v>
      </c>
      <c r="D32" s="166">
        <f t="shared" si="2"/>
        <v>78764.732315294124</v>
      </c>
      <c r="E32" s="163"/>
      <c r="F32" s="161" t="s">
        <v>53</v>
      </c>
      <c r="G32" s="165">
        <f>$C$8*G8</f>
        <v>4183.0897687394963</v>
      </c>
      <c r="H32" s="165">
        <f>$C$8*H8</f>
        <v>25098.538612436976</v>
      </c>
      <c r="I32" s="165">
        <f t="shared" si="6"/>
        <v>14640.814190588237</v>
      </c>
      <c r="J32" s="3"/>
      <c r="K32" s="3"/>
      <c r="L32" s="3"/>
      <c r="M32" s="3"/>
      <c r="N32" s="2" t="s">
        <v>144</v>
      </c>
      <c r="O32" s="101">
        <f>SUM(O24:O31)</f>
        <v>157233.57673686263</v>
      </c>
      <c r="P32" s="3"/>
      <c r="Q32" s="3"/>
      <c r="R32" s="3"/>
      <c r="S32" s="3"/>
      <c r="T32" s="3"/>
      <c r="U32" s="3"/>
      <c r="V32" s="3"/>
      <c r="W32" s="3"/>
      <c r="X32" s="3"/>
    </row>
    <row r="33" spans="1:24" x14ac:dyDescent="0.25">
      <c r="A33" s="161" t="s">
        <v>53</v>
      </c>
      <c r="B33" s="165">
        <f>$C$6*G7</f>
        <v>4290.6858070588241</v>
      </c>
      <c r="C33" s="165">
        <f>$C$6*H7</f>
        <v>153238.77882352943</v>
      </c>
      <c r="D33" s="166">
        <f t="shared" si="2"/>
        <v>78764.732315294124</v>
      </c>
      <c r="E33" s="163"/>
      <c r="F33" s="161" t="s">
        <v>11</v>
      </c>
      <c r="G33" s="165">
        <f>$C$8*G16</f>
        <v>2091.5448843697482</v>
      </c>
      <c r="H33" s="165">
        <f>$C$8*H16</f>
        <v>41830.897687394965</v>
      </c>
      <c r="I33" s="165">
        <f t="shared" si="6"/>
        <v>21961.221285882355</v>
      </c>
      <c r="J33" s="3"/>
      <c r="K33" s="3"/>
      <c r="L33" s="3"/>
      <c r="M33" s="3"/>
      <c r="N33" s="3"/>
      <c r="O33" s="3"/>
      <c r="P33" s="3"/>
      <c r="Q33" s="3"/>
      <c r="R33" s="3"/>
      <c r="S33" s="3"/>
      <c r="T33" s="3"/>
      <c r="U33" s="3"/>
      <c r="V33" s="3"/>
      <c r="W33" s="3"/>
      <c r="X33" s="3"/>
    </row>
    <row r="34" spans="1:24" x14ac:dyDescent="0.25">
      <c r="A34" s="161" t="s">
        <v>46</v>
      </c>
      <c r="B34" s="165">
        <f>$C$6*G17</f>
        <v>6.1295511529411772</v>
      </c>
      <c r="C34" s="165">
        <f>$C$6*H17</f>
        <v>15323.877882352943</v>
      </c>
      <c r="D34" s="166">
        <f t="shared" si="2"/>
        <v>7665.0037167529417</v>
      </c>
      <c r="E34" s="163"/>
      <c r="F34" s="161" t="s">
        <v>46</v>
      </c>
      <c r="G34" s="165">
        <f>$C$8*G17</f>
        <v>8.3661795374789936</v>
      </c>
      <c r="H34" s="165">
        <f>$C$8*H17</f>
        <v>20915.448843697483</v>
      </c>
      <c r="I34" s="165">
        <f t="shared" si="6"/>
        <v>10461.907511617481</v>
      </c>
      <c r="J34" s="3"/>
      <c r="K34" s="3"/>
      <c r="L34" s="3"/>
      <c r="M34" s="3"/>
      <c r="N34" s="3"/>
      <c r="O34" s="3"/>
      <c r="P34" s="3"/>
      <c r="Q34" s="3"/>
      <c r="R34" s="3"/>
      <c r="S34" s="3"/>
      <c r="T34" s="3"/>
      <c r="U34" s="3"/>
      <c r="V34" s="3"/>
      <c r="W34" s="3"/>
      <c r="X34" s="3"/>
    </row>
    <row r="35" spans="1:24" x14ac:dyDescent="0.25">
      <c r="A35" s="163"/>
      <c r="B35" s="163"/>
      <c r="C35" s="163"/>
      <c r="D35" s="167"/>
      <c r="E35" s="163"/>
      <c r="F35" s="163"/>
      <c r="G35" s="163"/>
      <c r="H35" s="163"/>
      <c r="I35" s="163"/>
      <c r="J35" s="3"/>
      <c r="K35" s="3"/>
      <c r="L35" s="3"/>
      <c r="M35" s="3"/>
      <c r="N35" s="3"/>
      <c r="O35" s="3"/>
      <c r="P35" s="3"/>
      <c r="Q35" s="3"/>
      <c r="R35" s="3"/>
      <c r="S35" s="3"/>
      <c r="T35" s="3"/>
      <c r="U35" s="3"/>
      <c r="V35" s="3"/>
      <c r="W35" s="3"/>
      <c r="X35" s="3"/>
    </row>
    <row r="36" spans="1:24" ht="18.75" x14ac:dyDescent="0.25">
      <c r="A36" s="327" t="s">
        <v>3</v>
      </c>
      <c r="B36" s="327"/>
      <c r="C36" s="327"/>
      <c r="D36" s="327"/>
      <c r="E36" s="163"/>
      <c r="F36" s="327" t="s">
        <v>5</v>
      </c>
      <c r="G36" s="327"/>
      <c r="H36" s="327"/>
      <c r="I36" s="327"/>
      <c r="J36" s="3"/>
      <c r="K36" s="3"/>
      <c r="L36" s="3"/>
      <c r="M36" s="3"/>
      <c r="N36" s="3"/>
      <c r="O36" s="3"/>
      <c r="P36" s="3"/>
      <c r="Q36" s="3"/>
      <c r="R36" s="3"/>
      <c r="S36" s="3"/>
      <c r="T36" s="3"/>
      <c r="U36" s="3"/>
      <c r="V36" s="3"/>
      <c r="W36" s="3"/>
      <c r="X36" s="3"/>
    </row>
    <row r="37" spans="1:24" x14ac:dyDescent="0.25">
      <c r="A37" s="161" t="s">
        <v>35</v>
      </c>
      <c r="B37" s="326" t="s">
        <v>59</v>
      </c>
      <c r="C37" s="326"/>
      <c r="D37" s="326"/>
      <c r="E37" s="163"/>
      <c r="F37" s="161" t="s">
        <v>35</v>
      </c>
      <c r="G37" s="326" t="s">
        <v>61</v>
      </c>
      <c r="H37" s="326"/>
      <c r="I37" s="326"/>
      <c r="J37" s="3"/>
      <c r="K37" s="3"/>
      <c r="L37" s="3"/>
      <c r="M37" s="3"/>
      <c r="N37" s="3"/>
      <c r="O37" s="3"/>
      <c r="P37" s="3"/>
      <c r="Q37" s="3"/>
      <c r="R37" s="3"/>
      <c r="S37" s="3"/>
      <c r="T37" s="3"/>
      <c r="U37" s="3"/>
      <c r="V37" s="3"/>
      <c r="W37" s="3"/>
      <c r="X37" s="3"/>
    </row>
    <row r="38" spans="1:24" x14ac:dyDescent="0.25">
      <c r="A38" s="165"/>
      <c r="B38" s="166" t="s">
        <v>37</v>
      </c>
      <c r="C38" s="166" t="s">
        <v>38</v>
      </c>
      <c r="D38" s="166" t="s">
        <v>66</v>
      </c>
      <c r="E38" s="163"/>
      <c r="F38" s="165"/>
      <c r="G38" s="166" t="s">
        <v>37</v>
      </c>
      <c r="H38" s="166" t="s">
        <v>38</v>
      </c>
      <c r="I38" s="166" t="s">
        <v>66</v>
      </c>
      <c r="J38" s="3"/>
      <c r="K38" s="3"/>
      <c r="L38" s="3"/>
      <c r="M38" s="3"/>
      <c r="N38" s="3"/>
      <c r="O38" s="3"/>
      <c r="P38" s="3"/>
      <c r="Q38" s="3"/>
      <c r="R38" s="3"/>
      <c r="S38" s="3"/>
      <c r="T38" s="3"/>
      <c r="U38" s="3"/>
      <c r="V38" s="3"/>
      <c r="W38" s="3"/>
      <c r="X38" s="3"/>
    </row>
    <row r="39" spans="1:24" x14ac:dyDescent="0.25">
      <c r="A39" s="161" t="s">
        <v>47</v>
      </c>
      <c r="B39" s="166">
        <f>$C$7-SUM(B40:B46)</f>
        <v>65826.874895924717</v>
      </c>
      <c r="C39" s="166">
        <f>$C$7-SUM(C40:C46)</f>
        <v>7805.646437647054</v>
      </c>
      <c r="D39" s="166">
        <f t="shared" si="2"/>
        <v>36816.260666785885</v>
      </c>
      <c r="E39" s="163"/>
      <c r="F39" s="161" t="s">
        <v>47</v>
      </c>
      <c r="G39" s="166">
        <f>$C$9-SUM(G40:G46)</f>
        <v>4892.1485178836974</v>
      </c>
      <c r="H39" s="166">
        <f>$C$9-SUM(H40:H46)</f>
        <v>-4112.8330003361334</v>
      </c>
      <c r="I39" s="165">
        <f t="shared" si="6"/>
        <v>389.65775877378201</v>
      </c>
      <c r="J39" s="3"/>
      <c r="K39" s="3"/>
      <c r="L39" s="3"/>
      <c r="M39" s="3"/>
      <c r="N39" s="3"/>
      <c r="O39" s="3"/>
      <c r="P39" s="3"/>
      <c r="Q39" s="3"/>
      <c r="R39" s="3"/>
      <c r="S39" s="3"/>
      <c r="T39" s="3"/>
      <c r="U39" s="3"/>
      <c r="V39" s="3"/>
      <c r="W39" s="3"/>
      <c r="X39" s="3"/>
    </row>
    <row r="40" spans="1:24" x14ac:dyDescent="0.25">
      <c r="A40" s="161" t="s">
        <v>9</v>
      </c>
      <c r="B40" s="165">
        <f>$C$7*G6</f>
        <v>7433.9489882352955</v>
      </c>
      <c r="C40" s="165">
        <f>$C$7*H6</f>
        <v>52037.642917647063</v>
      </c>
      <c r="D40" s="166">
        <f t="shared" si="2"/>
        <v>29735.795952941178</v>
      </c>
      <c r="E40" s="163"/>
      <c r="F40" s="161" t="s">
        <v>9</v>
      </c>
      <c r="G40" s="165">
        <f>$C$9*G6</f>
        <v>663.36016134453791</v>
      </c>
      <c r="H40" s="165">
        <f>$C$9*H6</f>
        <v>4643.5211294117644</v>
      </c>
      <c r="I40" s="165">
        <f t="shared" si="6"/>
        <v>2653.4406453781512</v>
      </c>
      <c r="J40" s="3"/>
      <c r="K40" s="3"/>
      <c r="L40" s="3"/>
      <c r="M40" s="3"/>
      <c r="N40" s="3"/>
      <c r="O40" s="3"/>
      <c r="P40" s="3"/>
      <c r="Q40" s="3"/>
      <c r="R40" s="3"/>
      <c r="S40" s="3"/>
      <c r="T40" s="3"/>
      <c r="U40" s="3"/>
      <c r="V40" s="3"/>
      <c r="W40" s="3"/>
      <c r="X40" s="3"/>
    </row>
    <row r="41" spans="1:24" x14ac:dyDescent="0.25">
      <c r="A41" s="161" t="s">
        <v>40</v>
      </c>
      <c r="B41" s="165">
        <f>$C$7*G9</f>
        <v>371.69744941176475</v>
      </c>
      <c r="C41" s="165">
        <f>$C$7*H9</f>
        <v>2230.1846964705883</v>
      </c>
      <c r="D41" s="166">
        <f t="shared" si="2"/>
        <v>1300.9410729411766</v>
      </c>
      <c r="E41" s="163"/>
      <c r="F41" s="161" t="s">
        <v>53</v>
      </c>
      <c r="G41" s="165">
        <f>$C$9*G8</f>
        <v>33.168008067226893</v>
      </c>
      <c r="H41" s="165">
        <f>$C$9*H8</f>
        <v>199.00804840336136</v>
      </c>
      <c r="I41" s="165">
        <f t="shared" si="6"/>
        <v>116.08802823529413</v>
      </c>
      <c r="J41" s="3"/>
      <c r="K41" s="3"/>
      <c r="L41" s="3"/>
      <c r="M41" s="3"/>
      <c r="N41" s="3"/>
      <c r="O41" s="3"/>
      <c r="P41" s="3"/>
      <c r="Q41" s="3"/>
      <c r="R41" s="3"/>
      <c r="S41" s="3"/>
      <c r="T41" s="3"/>
      <c r="U41" s="3"/>
      <c r="V41" s="3"/>
      <c r="W41" s="3"/>
      <c r="X41" s="3"/>
    </row>
    <row r="42" spans="1:24" x14ac:dyDescent="0.25">
      <c r="A42" s="161" t="s">
        <v>52</v>
      </c>
      <c r="B42" s="165">
        <f>$C$7*G10</f>
        <v>74.33948988235295</v>
      </c>
      <c r="C42" s="165">
        <f>$C$7*H10</f>
        <v>2230.1846964705883</v>
      </c>
      <c r="D42" s="166">
        <f t="shared" si="2"/>
        <v>1152.2620931764707</v>
      </c>
      <c r="E42" s="163"/>
      <c r="F42" s="161" t="s">
        <v>14</v>
      </c>
      <c r="G42" s="165">
        <f>$C$9*G20</f>
        <v>6.6336016134453793E-2</v>
      </c>
      <c r="H42" s="165">
        <f>$C$9*H20</f>
        <v>3316.8008067226892</v>
      </c>
      <c r="I42" s="165">
        <f t="shared" si="6"/>
        <v>1658.4335713694118</v>
      </c>
      <c r="J42" s="3"/>
      <c r="K42" s="3"/>
      <c r="L42" s="3"/>
      <c r="M42" s="3"/>
      <c r="N42" s="3"/>
      <c r="O42" s="3"/>
      <c r="P42" s="3"/>
      <c r="Q42" s="3"/>
      <c r="R42" s="3"/>
      <c r="S42" s="3"/>
      <c r="T42" s="3"/>
      <c r="U42" s="3"/>
      <c r="V42" s="3"/>
      <c r="W42" s="3"/>
      <c r="X42" s="3"/>
    </row>
    <row r="43" spans="1:24" x14ac:dyDescent="0.25">
      <c r="A43" s="161" t="s">
        <v>53</v>
      </c>
      <c r="B43" s="165">
        <f>$C$7*G8</f>
        <v>371.69744941176475</v>
      </c>
      <c r="C43" s="165">
        <f>$C$7*H8</f>
        <v>2230.1846964705883</v>
      </c>
      <c r="D43" s="166">
        <f t="shared" si="2"/>
        <v>1300.9410729411766</v>
      </c>
      <c r="E43" s="163"/>
      <c r="F43" s="161" t="s">
        <v>54</v>
      </c>
      <c r="G43" s="165">
        <f>$C$9*G21</f>
        <v>995.0402420168067</v>
      </c>
      <c r="H43" s="165">
        <f>$C$9*H21</f>
        <v>1990.0804840336134</v>
      </c>
      <c r="I43" s="165">
        <f t="shared" si="6"/>
        <v>1492.5603630252101</v>
      </c>
      <c r="J43" s="3"/>
      <c r="K43" s="3"/>
      <c r="L43" s="3"/>
      <c r="M43" s="3"/>
      <c r="N43" s="3"/>
      <c r="O43" s="3"/>
      <c r="P43" s="3"/>
      <c r="Q43" s="3"/>
      <c r="R43" s="3"/>
      <c r="S43" s="3"/>
      <c r="T43" s="3"/>
      <c r="U43" s="3"/>
      <c r="V43" s="3"/>
      <c r="W43" s="3"/>
      <c r="X43" s="3"/>
    </row>
    <row r="44" spans="1:24" x14ac:dyDescent="0.25">
      <c r="A44" s="161" t="s">
        <v>41</v>
      </c>
      <c r="B44" s="165">
        <f>$C$7*G11</f>
        <v>74.33948988235295</v>
      </c>
      <c r="C44" s="165">
        <f>$C$7*H11</f>
        <v>2230.1846964705883</v>
      </c>
      <c r="D44" s="166">
        <f t="shared" si="2"/>
        <v>1152.2620931764707</v>
      </c>
      <c r="E44" s="163"/>
      <c r="F44" s="161" t="s">
        <v>13</v>
      </c>
      <c r="G44" s="165">
        <f>$C$9*G15</f>
        <v>6.6336016134453793E-2</v>
      </c>
      <c r="H44" s="165">
        <f>$C$9*H15</f>
        <v>66.336016134453786</v>
      </c>
      <c r="I44" s="165">
        <f t="shared" si="6"/>
        <v>33.201176075294121</v>
      </c>
      <c r="J44" s="3"/>
      <c r="K44" s="3"/>
      <c r="L44" s="3"/>
      <c r="M44" s="3"/>
      <c r="N44" s="3"/>
      <c r="O44" s="3"/>
      <c r="P44" s="3"/>
      <c r="Q44" s="3"/>
      <c r="R44" s="3"/>
      <c r="S44" s="3"/>
      <c r="T44" s="3"/>
      <c r="U44" s="3"/>
      <c r="V44" s="3"/>
      <c r="W44" s="3"/>
      <c r="X44" s="3"/>
    </row>
    <row r="45" spans="1:24" x14ac:dyDescent="0.25">
      <c r="A45" s="161" t="s">
        <v>11</v>
      </c>
      <c r="B45" s="165">
        <f>$C$7*G16</f>
        <v>185.84872470588238</v>
      </c>
      <c r="C45" s="165">
        <f>$C$7*H16</f>
        <v>3716.9744941176477</v>
      </c>
      <c r="D45" s="166">
        <f t="shared" si="2"/>
        <v>1951.4116094117651</v>
      </c>
      <c r="E45" s="163"/>
      <c r="F45" s="161" t="s">
        <v>40</v>
      </c>
      <c r="G45" s="165">
        <f>$C$9*G9</f>
        <v>33.168008067226893</v>
      </c>
      <c r="H45" s="165">
        <f>$C$9*H9</f>
        <v>199.00804840336136</v>
      </c>
      <c r="I45" s="165">
        <f t="shared" si="6"/>
        <v>116.08802823529413</v>
      </c>
      <c r="J45" s="3"/>
      <c r="K45" s="3"/>
      <c r="L45" s="3"/>
      <c r="M45" s="3"/>
      <c r="N45" s="3"/>
      <c r="O45" s="3"/>
      <c r="P45" s="3"/>
      <c r="Q45" s="3"/>
      <c r="R45" s="3"/>
      <c r="S45" s="3"/>
      <c r="T45" s="3"/>
      <c r="U45" s="3"/>
      <c r="V45" s="3"/>
      <c r="W45" s="3"/>
      <c r="X45" s="3"/>
    </row>
    <row r="46" spans="1:24" x14ac:dyDescent="0.25">
      <c r="A46" s="161" t="s">
        <v>46</v>
      </c>
      <c r="B46" s="165">
        <f>$C$7*G17</f>
        <v>0.7433948988235296</v>
      </c>
      <c r="C46" s="165">
        <f>$C$7*H17</f>
        <v>1858.4872470588239</v>
      </c>
      <c r="D46" s="166">
        <f t="shared" si="2"/>
        <v>929.61532097882366</v>
      </c>
      <c r="E46" s="163"/>
      <c r="F46" s="161" t="s">
        <v>11</v>
      </c>
      <c r="G46" s="165">
        <f>$C$9*G16</f>
        <v>16.584004033613446</v>
      </c>
      <c r="H46" s="165">
        <f>$C$9*H16</f>
        <v>331.68008067226896</v>
      </c>
      <c r="I46" s="165">
        <f t="shared" si="6"/>
        <v>174.1320423529412</v>
      </c>
      <c r="J46" s="3"/>
      <c r="K46" s="3"/>
      <c r="L46" s="3"/>
      <c r="M46" s="3"/>
      <c r="N46" s="3"/>
      <c r="O46" s="3"/>
      <c r="P46" s="3"/>
      <c r="Q46" s="3"/>
      <c r="R46" s="3"/>
      <c r="S46" s="3"/>
      <c r="T46" s="3"/>
      <c r="U46" s="3"/>
      <c r="V46" s="3"/>
      <c r="W46" s="3"/>
      <c r="X46" s="3"/>
    </row>
    <row r="47" spans="1:24" x14ac:dyDescent="0.25">
      <c r="A47" s="163"/>
      <c r="B47" s="163"/>
      <c r="C47" s="163"/>
      <c r="D47" s="167"/>
      <c r="E47" s="163"/>
      <c r="F47" s="163"/>
      <c r="G47" s="163"/>
      <c r="H47" s="163"/>
      <c r="I47" s="163"/>
      <c r="J47" s="3"/>
      <c r="K47" s="3"/>
      <c r="L47" s="3"/>
      <c r="M47" s="3"/>
      <c r="N47" s="3"/>
      <c r="O47" s="3"/>
      <c r="P47" s="3"/>
      <c r="Q47" s="3"/>
      <c r="R47" s="3"/>
      <c r="S47" s="3"/>
      <c r="T47" s="3"/>
      <c r="U47" s="3"/>
      <c r="V47" s="3"/>
      <c r="W47" s="3"/>
      <c r="X47" s="3"/>
    </row>
    <row r="48" spans="1:24" ht="18.75" x14ac:dyDescent="0.25">
      <c r="A48" s="327" t="s">
        <v>6</v>
      </c>
      <c r="B48" s="327"/>
      <c r="C48" s="327"/>
      <c r="D48" s="327"/>
      <c r="E48" s="163"/>
      <c r="F48" s="163" t="s">
        <v>55</v>
      </c>
      <c r="G48" s="163"/>
      <c r="H48" s="163"/>
      <c r="I48" s="163"/>
      <c r="J48" s="3"/>
      <c r="K48" s="3"/>
      <c r="L48" s="3"/>
      <c r="M48" s="3"/>
      <c r="N48" s="3"/>
      <c r="O48" s="3"/>
      <c r="P48" s="3"/>
      <c r="Q48" s="3"/>
      <c r="R48" s="3"/>
      <c r="S48" s="3"/>
      <c r="T48" s="3"/>
      <c r="U48" s="3"/>
      <c r="V48" s="3"/>
      <c r="W48" s="3"/>
      <c r="X48" s="3"/>
    </row>
    <row r="49" spans="1:24" ht="18.75" x14ac:dyDescent="0.25">
      <c r="A49" s="161" t="s">
        <v>35</v>
      </c>
      <c r="B49" s="326" t="s">
        <v>62</v>
      </c>
      <c r="C49" s="326"/>
      <c r="D49" s="326"/>
      <c r="E49" s="163"/>
      <c r="F49" s="327" t="s">
        <v>34</v>
      </c>
      <c r="G49" s="327"/>
      <c r="H49" s="327"/>
      <c r="I49" s="327"/>
      <c r="J49" s="3"/>
      <c r="K49" s="3"/>
      <c r="L49" s="3"/>
      <c r="M49" s="3"/>
      <c r="N49" s="3"/>
      <c r="O49" s="3"/>
      <c r="P49" s="3"/>
      <c r="Q49" s="3"/>
      <c r="R49" s="3"/>
      <c r="S49" s="3"/>
      <c r="T49" s="3"/>
      <c r="U49" s="3"/>
      <c r="V49" s="3"/>
      <c r="W49" s="3"/>
      <c r="X49" s="3"/>
    </row>
    <row r="50" spans="1:24" x14ac:dyDescent="0.25">
      <c r="A50" s="165"/>
      <c r="B50" s="166" t="s">
        <v>37</v>
      </c>
      <c r="C50" s="166" t="s">
        <v>38</v>
      </c>
      <c r="D50" s="166" t="s">
        <v>66</v>
      </c>
      <c r="E50" s="163"/>
      <c r="F50" s="161" t="s">
        <v>35</v>
      </c>
      <c r="G50" s="326" t="s">
        <v>64</v>
      </c>
      <c r="H50" s="326"/>
      <c r="I50" s="326"/>
      <c r="J50" s="3"/>
      <c r="K50" s="3"/>
      <c r="L50" s="3"/>
      <c r="M50" s="3"/>
      <c r="N50" s="3"/>
      <c r="O50" s="3"/>
      <c r="P50" s="3"/>
      <c r="Q50" s="3"/>
      <c r="R50" s="3"/>
      <c r="S50" s="3"/>
      <c r="T50" s="3"/>
      <c r="U50" s="3"/>
      <c r="V50" s="3"/>
      <c r="W50" s="3"/>
      <c r="X50" s="3"/>
    </row>
    <row r="51" spans="1:24" x14ac:dyDescent="0.25">
      <c r="A51" s="161" t="s">
        <v>47</v>
      </c>
      <c r="B51" s="166">
        <f>$C$10-SUM(B52:B57)</f>
        <v>785227.8251378017</v>
      </c>
      <c r="C51" s="166">
        <f>$C$10-SUM(C52:C57)</f>
        <v>507682.13089452102</v>
      </c>
      <c r="D51" s="166">
        <f t="shared" si="2"/>
        <v>646454.97801616136</v>
      </c>
      <c r="E51" s="163"/>
      <c r="F51" s="165"/>
      <c r="G51" s="166" t="s">
        <v>37</v>
      </c>
      <c r="H51" s="166" t="s">
        <v>38</v>
      </c>
      <c r="I51" s="166" t="s">
        <v>66</v>
      </c>
      <c r="J51" s="3"/>
      <c r="K51" s="3"/>
      <c r="L51" s="3"/>
      <c r="M51" s="3"/>
      <c r="N51" s="3"/>
      <c r="O51" s="3"/>
      <c r="P51" s="3"/>
      <c r="Q51" s="3"/>
      <c r="R51" s="3"/>
      <c r="S51" s="3"/>
      <c r="T51" s="3"/>
      <c r="U51" s="3"/>
      <c r="V51" s="3"/>
      <c r="W51" s="3"/>
      <c r="X51" s="3"/>
    </row>
    <row r="52" spans="1:24" x14ac:dyDescent="0.25">
      <c r="A52" s="161" t="s">
        <v>40</v>
      </c>
      <c r="B52" s="165">
        <f>$C$10*G9</f>
        <v>3998.7565445378154</v>
      </c>
      <c r="C52" s="165">
        <f>$C$10*H9</f>
        <v>23992.539267226894</v>
      </c>
      <c r="D52" s="166">
        <f t="shared" si="2"/>
        <v>13995.647905882355</v>
      </c>
      <c r="E52" s="163"/>
      <c r="F52" s="161" t="s">
        <v>47</v>
      </c>
      <c r="G52" s="166">
        <f>$C$12-SUM(G53:G69)</f>
        <v>351923.60620073666</v>
      </c>
      <c r="H52" s="166">
        <f>$C$12-SUM(H53:H69)</f>
        <v>-648696.69222614903</v>
      </c>
      <c r="I52" s="165">
        <f>(G52+H52)/2</f>
        <v>-148386.54301270618</v>
      </c>
      <c r="J52" s="3"/>
      <c r="K52" s="3"/>
      <c r="L52" s="3"/>
      <c r="M52" s="3"/>
      <c r="N52" s="3"/>
      <c r="O52" s="3"/>
      <c r="P52" s="3"/>
      <c r="Q52" s="3"/>
      <c r="R52" s="3"/>
      <c r="S52" s="3"/>
      <c r="T52" s="3"/>
      <c r="U52" s="3"/>
      <c r="V52" s="3"/>
      <c r="W52" s="3"/>
      <c r="X52" s="3"/>
    </row>
    <row r="53" spans="1:24" x14ac:dyDescent="0.25">
      <c r="A53" s="161" t="s">
        <v>52</v>
      </c>
      <c r="B53" s="165">
        <f>$C$10*G10</f>
        <v>799.75130890756316</v>
      </c>
      <c r="C53" s="165">
        <f>$C$10*H10</f>
        <v>23992.539267226894</v>
      </c>
      <c r="D53" s="166">
        <f t="shared" si="2"/>
        <v>12396.145288067228</v>
      </c>
      <c r="E53" s="163"/>
      <c r="F53" s="161" t="s">
        <v>9</v>
      </c>
      <c r="G53" s="165">
        <f>$C$12*G6</f>
        <v>49136.243919568944</v>
      </c>
      <c r="H53" s="165">
        <f>$C$12*H6</f>
        <v>343953.70743698254</v>
      </c>
      <c r="I53" s="165">
        <f t="shared" si="6"/>
        <v>196544.97567827575</v>
      </c>
      <c r="J53" s="3"/>
      <c r="K53" s="3"/>
      <c r="L53" s="3"/>
      <c r="M53" s="3"/>
      <c r="N53" s="3"/>
      <c r="O53" s="3"/>
      <c r="P53" s="3"/>
      <c r="Q53" s="3"/>
      <c r="R53" s="3"/>
      <c r="S53" s="3"/>
      <c r="T53" s="3"/>
      <c r="U53" s="3"/>
      <c r="V53" s="3"/>
      <c r="W53" s="3"/>
      <c r="X53" s="3"/>
    </row>
    <row r="54" spans="1:24" x14ac:dyDescent="0.25">
      <c r="A54" s="161" t="s">
        <v>49</v>
      </c>
      <c r="B54" s="165">
        <f>$C$10*G8</f>
        <v>3998.7565445378154</v>
      </c>
      <c r="C54" s="165">
        <f>$C$10*H8</f>
        <v>23992.539267226894</v>
      </c>
      <c r="D54" s="166">
        <f t="shared" si="2"/>
        <v>13995.647905882355</v>
      </c>
      <c r="E54" s="163"/>
      <c r="F54" s="161" t="s">
        <v>40</v>
      </c>
      <c r="G54" s="165">
        <f>$C$12*G9</f>
        <v>2456.8121959784471</v>
      </c>
      <c r="H54" s="165">
        <f>$C$12*H9</f>
        <v>14740.873175870682</v>
      </c>
      <c r="I54" s="165">
        <f t="shared" si="6"/>
        <v>8598.8426859245646</v>
      </c>
      <c r="J54" s="3"/>
      <c r="K54" s="3"/>
      <c r="L54" s="3"/>
      <c r="M54" s="3"/>
      <c r="N54" s="3"/>
      <c r="O54" s="3"/>
      <c r="P54" s="3"/>
      <c r="Q54" s="3"/>
      <c r="R54" s="3"/>
      <c r="S54" s="3"/>
      <c r="T54" s="3"/>
      <c r="U54" s="3"/>
      <c r="V54" s="3"/>
      <c r="W54" s="3"/>
      <c r="X54" s="3"/>
    </row>
    <row r="55" spans="1:24" x14ac:dyDescent="0.25">
      <c r="A55" s="161" t="s">
        <v>10</v>
      </c>
      <c r="B55" s="165">
        <f>$C$10*G7</f>
        <v>5598.2591623529415</v>
      </c>
      <c r="C55" s="165">
        <f>$C$10*H7</f>
        <v>199937.82722689077</v>
      </c>
      <c r="D55" s="166">
        <f t="shared" si="2"/>
        <v>102768.04319462186</v>
      </c>
      <c r="E55" s="163"/>
      <c r="F55" s="161" t="s">
        <v>49</v>
      </c>
      <c r="G55" s="165">
        <f>$C$12*G8</f>
        <v>2456.8121959784471</v>
      </c>
      <c r="H55" s="165">
        <f>$C$12*H8</f>
        <v>14740.873175870682</v>
      </c>
      <c r="I55" s="165">
        <f t="shared" si="6"/>
        <v>8598.8426859245646</v>
      </c>
      <c r="J55" s="3"/>
      <c r="K55" s="3"/>
      <c r="L55" s="3"/>
      <c r="M55" s="3"/>
      <c r="N55" s="3"/>
      <c r="O55" s="3"/>
      <c r="P55" s="3"/>
      <c r="Q55" s="3"/>
      <c r="R55" s="3"/>
      <c r="S55" s="3"/>
      <c r="T55" s="3"/>
      <c r="U55" s="3"/>
      <c r="V55" s="3"/>
      <c r="W55" s="3"/>
      <c r="X55" s="3"/>
    </row>
    <row r="56" spans="1:24" x14ac:dyDescent="0.25">
      <c r="A56" s="161" t="s">
        <v>48</v>
      </c>
      <c r="B56" s="165">
        <f>$C$10*G18</f>
        <v>119.96269633613446</v>
      </c>
      <c r="C56" s="165">
        <f>$C$10*H18</f>
        <v>159.95026178151264</v>
      </c>
      <c r="D56" s="166">
        <f t="shared" si="2"/>
        <v>139.95647905882356</v>
      </c>
      <c r="E56" s="163"/>
      <c r="F56" s="161" t="s">
        <v>11</v>
      </c>
      <c r="G56" s="165">
        <f>$C$12*G16</f>
        <v>1228.4060979892236</v>
      </c>
      <c r="H56" s="165">
        <f>$C$12*H16</f>
        <v>24568.121959784472</v>
      </c>
      <c r="I56" s="165">
        <f t="shared" si="6"/>
        <v>12898.264028886848</v>
      </c>
      <c r="J56" s="3"/>
      <c r="K56" s="3"/>
      <c r="L56" s="3"/>
      <c r="M56" s="3"/>
      <c r="N56" s="3"/>
      <c r="O56" s="3"/>
      <c r="P56" s="3"/>
      <c r="Q56" s="3"/>
      <c r="R56" s="3"/>
      <c r="S56" s="3"/>
      <c r="T56" s="3"/>
      <c r="U56" s="3"/>
      <c r="V56" s="3"/>
      <c r="W56" s="3"/>
      <c r="X56" s="3"/>
    </row>
    <row r="57" spans="1:24" x14ac:dyDescent="0.25">
      <c r="A57" s="161" t="s">
        <v>46</v>
      </c>
      <c r="B57" s="165">
        <f>$C$10*G17</f>
        <v>7.9975130890756319</v>
      </c>
      <c r="C57" s="165">
        <f>$C$10*H17</f>
        <v>19993.78272268908</v>
      </c>
      <c r="D57" s="166">
        <f t="shared" si="2"/>
        <v>10000.890117889077</v>
      </c>
      <c r="E57" s="163"/>
      <c r="F57" s="161" t="s">
        <v>10</v>
      </c>
      <c r="G57" s="165">
        <f>$C$12*G7</f>
        <v>3439.5370743698259</v>
      </c>
      <c r="H57" s="165">
        <f>$C$12*H7</f>
        <v>122840.60979892235</v>
      </c>
      <c r="I57" s="165">
        <f t="shared" si="6"/>
        <v>63140.073436646089</v>
      </c>
      <c r="J57" s="3"/>
      <c r="K57" s="3"/>
      <c r="L57" s="3"/>
      <c r="M57" s="3"/>
      <c r="N57" s="3"/>
      <c r="O57" s="3"/>
      <c r="P57" s="3"/>
      <c r="Q57" s="3"/>
      <c r="R57" s="3"/>
      <c r="S57" s="3"/>
      <c r="T57" s="3"/>
      <c r="U57" s="3"/>
      <c r="V57" s="3"/>
      <c r="W57" s="3"/>
      <c r="X57" s="3"/>
    </row>
    <row r="58" spans="1:24" x14ac:dyDescent="0.25">
      <c r="A58" s="164"/>
      <c r="B58" s="168"/>
      <c r="C58" s="168"/>
      <c r="D58" s="167"/>
      <c r="E58" s="163"/>
      <c r="F58" s="161" t="s">
        <v>98</v>
      </c>
      <c r="G58" s="165">
        <f t="shared" ref="G58:H60" si="7">$C$12*G13</f>
        <v>491.36243919568943</v>
      </c>
      <c r="H58" s="165">
        <f t="shared" si="7"/>
        <v>9827.2487839137884</v>
      </c>
      <c r="I58" s="165">
        <f t="shared" si="6"/>
        <v>5159.3056115547388</v>
      </c>
      <c r="J58" s="3"/>
      <c r="K58" s="3"/>
      <c r="L58" s="3"/>
      <c r="M58" s="3"/>
      <c r="N58" s="3"/>
      <c r="O58" s="3"/>
      <c r="P58" s="3"/>
      <c r="Q58" s="3"/>
      <c r="R58" s="3"/>
      <c r="S58" s="3"/>
      <c r="T58" s="3"/>
      <c r="U58" s="3"/>
      <c r="V58" s="3"/>
      <c r="W58" s="3"/>
      <c r="X58" s="3"/>
    </row>
    <row r="59" spans="1:24" x14ac:dyDescent="0.25">
      <c r="A59" s="164"/>
      <c r="B59" s="168"/>
      <c r="C59" s="168"/>
      <c r="D59" s="167"/>
      <c r="E59" s="163"/>
      <c r="F59" s="161" t="s">
        <v>99</v>
      </c>
      <c r="G59" s="165">
        <f t="shared" si="7"/>
        <v>2456.8121959784471</v>
      </c>
      <c r="H59" s="165">
        <f t="shared" si="7"/>
        <v>100729.30003511632</v>
      </c>
      <c r="I59" s="165">
        <f t="shared" si="6"/>
        <v>51593.056115547384</v>
      </c>
      <c r="J59" s="3"/>
      <c r="K59" s="3"/>
      <c r="L59" s="3"/>
      <c r="M59" s="3"/>
      <c r="N59" s="3"/>
      <c r="O59" s="3"/>
      <c r="P59" s="3"/>
      <c r="Q59" s="3"/>
      <c r="R59" s="3"/>
      <c r="S59" s="3"/>
      <c r="T59" s="3"/>
      <c r="U59" s="3"/>
      <c r="V59" s="3"/>
      <c r="W59" s="3"/>
      <c r="X59" s="3"/>
    </row>
    <row r="60" spans="1:24" x14ac:dyDescent="0.25">
      <c r="A60" s="164"/>
      <c r="B60" s="168"/>
      <c r="C60" s="168"/>
      <c r="D60" s="167"/>
      <c r="E60" s="163"/>
      <c r="F60" s="161" t="s">
        <v>45</v>
      </c>
      <c r="G60" s="165">
        <f t="shared" si="7"/>
        <v>4.913624391956894</v>
      </c>
      <c r="H60" s="165">
        <f t="shared" si="7"/>
        <v>4913.6243919568942</v>
      </c>
      <c r="I60" s="165">
        <f t="shared" si="6"/>
        <v>2459.2690081744254</v>
      </c>
      <c r="J60" s="3"/>
      <c r="K60" s="3"/>
      <c r="L60" s="3"/>
      <c r="M60" s="3"/>
      <c r="N60" s="3"/>
      <c r="O60" s="3"/>
      <c r="P60" s="3"/>
      <c r="Q60" s="3"/>
      <c r="R60" s="3"/>
      <c r="S60" s="3"/>
      <c r="T60" s="3"/>
      <c r="U60" s="3"/>
      <c r="V60" s="3"/>
      <c r="W60" s="3"/>
      <c r="X60" s="3"/>
    </row>
    <row r="61" spans="1:24" x14ac:dyDescent="0.25">
      <c r="A61" s="164"/>
      <c r="B61" s="168"/>
      <c r="C61" s="168"/>
      <c r="D61" s="167"/>
      <c r="E61" s="163"/>
      <c r="F61" s="161" t="s">
        <v>48</v>
      </c>
      <c r="G61" s="165">
        <f>$C$12*G18</f>
        <v>73.704365879353404</v>
      </c>
      <c r="H61" s="165">
        <f>$C$12*H18</f>
        <v>98.272487839137881</v>
      </c>
      <c r="I61" s="165">
        <f t="shared" si="6"/>
        <v>85.988426859245635</v>
      </c>
      <c r="J61" s="3"/>
      <c r="K61" s="3"/>
      <c r="L61" s="3"/>
      <c r="M61" s="3"/>
      <c r="N61" s="3"/>
      <c r="O61" s="3"/>
      <c r="P61" s="3"/>
      <c r="Q61" s="3"/>
      <c r="R61" s="3"/>
      <c r="S61" s="3"/>
      <c r="T61" s="3"/>
      <c r="U61" s="3"/>
      <c r="V61" s="3"/>
      <c r="W61" s="3"/>
      <c r="X61" s="3"/>
    </row>
    <row r="62" spans="1:24" x14ac:dyDescent="0.25">
      <c r="A62" s="164"/>
      <c r="B62" s="168"/>
      <c r="C62" s="168"/>
      <c r="D62" s="167"/>
      <c r="E62" s="163"/>
      <c r="F62" s="161" t="s">
        <v>100</v>
      </c>
      <c r="G62" s="165">
        <f>$C$12*G19</f>
        <v>49.13624391956894</v>
      </c>
      <c r="H62" s="165">
        <f>$C$12*H19</f>
        <v>49136.243919568944</v>
      </c>
      <c r="I62" s="165">
        <f t="shared" si="6"/>
        <v>24592.690081744255</v>
      </c>
      <c r="J62" s="3"/>
      <c r="K62" s="3"/>
      <c r="L62" s="3"/>
      <c r="M62" s="3"/>
      <c r="N62" s="3"/>
      <c r="O62" s="3"/>
      <c r="P62" s="3"/>
      <c r="Q62" s="3"/>
      <c r="R62" s="3"/>
      <c r="S62" s="3"/>
      <c r="T62" s="3"/>
      <c r="U62" s="3"/>
      <c r="V62" s="3"/>
      <c r="W62" s="3"/>
      <c r="X62" s="3"/>
    </row>
    <row r="63" spans="1:24" x14ac:dyDescent="0.25">
      <c r="A63" s="163"/>
      <c r="B63" s="163"/>
      <c r="C63" s="163"/>
      <c r="D63" s="167"/>
      <c r="E63" s="163"/>
      <c r="F63" s="161" t="s">
        <v>53</v>
      </c>
      <c r="G63" s="165">
        <f>$C$12*G8</f>
        <v>2456.8121959784471</v>
      </c>
      <c r="H63" s="165">
        <f>$C$12*H8</f>
        <v>14740.873175870682</v>
      </c>
      <c r="I63" s="165">
        <f t="shared" si="6"/>
        <v>8598.8426859245646</v>
      </c>
      <c r="J63" s="3"/>
      <c r="K63" s="3"/>
      <c r="L63" s="3"/>
      <c r="M63" s="3"/>
      <c r="N63" s="3"/>
      <c r="O63" s="3"/>
      <c r="P63" s="3"/>
      <c r="Q63" s="3"/>
      <c r="R63" s="3"/>
      <c r="S63" s="3"/>
      <c r="T63" s="3"/>
      <c r="U63" s="3"/>
      <c r="V63" s="3"/>
      <c r="W63" s="3"/>
      <c r="X63" s="3"/>
    </row>
    <row r="64" spans="1:24" ht="18.75" x14ac:dyDescent="0.25">
      <c r="A64" s="327" t="s">
        <v>7</v>
      </c>
      <c r="B64" s="327"/>
      <c r="C64" s="327"/>
      <c r="D64" s="327"/>
      <c r="E64" s="163"/>
      <c r="F64" s="161" t="s">
        <v>46</v>
      </c>
      <c r="G64" s="165">
        <f>$C$12*G17</f>
        <v>4.913624391956894</v>
      </c>
      <c r="H64" s="165">
        <f>$C$12*H17</f>
        <v>12284.060979892236</v>
      </c>
      <c r="I64" s="165">
        <f t="shared" si="6"/>
        <v>6144.4873021420963</v>
      </c>
      <c r="J64" s="3"/>
      <c r="K64" s="3"/>
      <c r="L64" s="3"/>
      <c r="M64" s="3"/>
      <c r="N64" s="3"/>
      <c r="O64" s="3"/>
      <c r="P64" s="3"/>
      <c r="Q64" s="3"/>
      <c r="R64" s="3"/>
      <c r="S64" s="3"/>
      <c r="T64" s="3"/>
      <c r="U64" s="3"/>
      <c r="V64" s="3"/>
      <c r="W64" s="3"/>
      <c r="X64" s="3"/>
    </row>
    <row r="65" spans="1:24" x14ac:dyDescent="0.25">
      <c r="A65" s="161" t="s">
        <v>35</v>
      </c>
      <c r="B65" s="326" t="s">
        <v>63</v>
      </c>
      <c r="C65" s="326"/>
      <c r="D65" s="326"/>
      <c r="E65" s="163"/>
      <c r="F65" s="161" t="s">
        <v>14</v>
      </c>
      <c r="G65" s="165">
        <f>$C$12*G20</f>
        <v>4.913624391956894</v>
      </c>
      <c r="H65" s="165">
        <f>$C$12*H20</f>
        <v>245681.2195978447</v>
      </c>
      <c r="I65" s="165">
        <f t="shared" si="6"/>
        <v>122843.06661111832</v>
      </c>
      <c r="J65" s="3"/>
      <c r="K65" s="3"/>
      <c r="L65" s="3"/>
      <c r="M65" s="3"/>
      <c r="N65" s="3"/>
      <c r="O65" s="3"/>
      <c r="P65" s="3"/>
      <c r="Q65" s="3"/>
      <c r="R65" s="3"/>
      <c r="S65" s="3"/>
      <c r="T65" s="3"/>
      <c r="U65" s="3"/>
      <c r="V65" s="3"/>
      <c r="W65" s="3"/>
      <c r="X65" s="3"/>
    </row>
    <row r="66" spans="1:24" x14ac:dyDescent="0.25">
      <c r="A66" s="165"/>
      <c r="B66" s="166" t="s">
        <v>37</v>
      </c>
      <c r="C66" s="166" t="s">
        <v>38</v>
      </c>
      <c r="D66" s="166" t="s">
        <v>66</v>
      </c>
      <c r="E66" s="163"/>
      <c r="F66" s="161" t="s">
        <v>56</v>
      </c>
      <c r="G66" s="165">
        <f>$C$12*G21</f>
        <v>73704.365879353412</v>
      </c>
      <c r="H66" s="165">
        <f>$C$12*H21</f>
        <v>147408.73175870682</v>
      </c>
      <c r="I66" s="165">
        <f t="shared" si="6"/>
        <v>110556.54881903011</v>
      </c>
      <c r="J66" s="3"/>
      <c r="K66" s="3"/>
      <c r="L66" s="3"/>
      <c r="M66" s="3"/>
      <c r="N66" s="3"/>
      <c r="O66" s="3"/>
      <c r="P66" s="3"/>
      <c r="Q66" s="3"/>
      <c r="R66" s="3"/>
      <c r="S66" s="3"/>
      <c r="T66" s="3"/>
      <c r="U66" s="3"/>
      <c r="V66" s="3"/>
      <c r="W66" s="3"/>
      <c r="X66" s="3"/>
    </row>
    <row r="67" spans="1:24" x14ac:dyDescent="0.25">
      <c r="A67" s="161" t="s">
        <v>47</v>
      </c>
      <c r="B67" s="166">
        <f>$C$11-SUM(B68:B73)</f>
        <v>219366.09900262096</v>
      </c>
      <c r="C67" s="166">
        <f>$C$11-SUM(C68:C73)</f>
        <v>183641.67234285717</v>
      </c>
      <c r="D67" s="166">
        <f t="shared" si="2"/>
        <v>201503.88567273907</v>
      </c>
      <c r="E67" s="163"/>
      <c r="F67" s="161" t="s">
        <v>41</v>
      </c>
      <c r="G67" s="165">
        <f>$C$12*G11</f>
        <v>491.36243919568943</v>
      </c>
      <c r="H67" s="165">
        <f>$C$12*H11</f>
        <v>14740.873175870682</v>
      </c>
      <c r="I67" s="165">
        <f t="shared" si="6"/>
        <v>7616.1178075331854</v>
      </c>
      <c r="J67" s="3"/>
      <c r="K67" s="3"/>
      <c r="L67" s="3"/>
      <c r="M67" s="3"/>
      <c r="N67" s="3"/>
      <c r="O67" s="3"/>
      <c r="P67" s="3"/>
      <c r="Q67" s="3"/>
      <c r="R67" s="3"/>
      <c r="S67" s="3"/>
      <c r="T67" s="3"/>
      <c r="U67" s="3"/>
      <c r="V67" s="3"/>
      <c r="W67" s="3"/>
      <c r="X67" s="3"/>
    </row>
    <row r="68" spans="1:24" x14ac:dyDescent="0.25">
      <c r="A68" s="161" t="s">
        <v>40</v>
      </c>
      <c r="B68" s="165">
        <f>$C$11*G9</f>
        <v>1112.9798323809525</v>
      </c>
      <c r="C68" s="165">
        <f>$C$11*H9</f>
        <v>6677.8789942857147</v>
      </c>
      <c r="D68" s="166">
        <f t="shared" si="2"/>
        <v>3895.4294133333337</v>
      </c>
      <c r="E68" s="163"/>
      <c r="F68" s="161" t="s">
        <v>52</v>
      </c>
      <c r="G68" s="165">
        <f>$C$12*G10</f>
        <v>491.36243919568943</v>
      </c>
      <c r="H68" s="165">
        <f>$C$12*H10</f>
        <v>14740.873175870682</v>
      </c>
      <c r="I68" s="165">
        <f t="shared" si="6"/>
        <v>7616.1178075331854</v>
      </c>
      <c r="J68" s="3"/>
      <c r="K68" s="3"/>
      <c r="L68" s="3"/>
      <c r="M68" s="3"/>
      <c r="N68" s="3"/>
      <c r="O68" s="3"/>
      <c r="P68" s="3"/>
      <c r="Q68" s="3"/>
      <c r="R68" s="3"/>
      <c r="S68" s="3"/>
      <c r="T68" s="3"/>
      <c r="U68" s="3"/>
      <c r="V68" s="3"/>
      <c r="W68" s="3"/>
      <c r="X68" s="3"/>
    </row>
    <row r="69" spans="1:24" x14ac:dyDescent="0.25">
      <c r="A69" s="161" t="s">
        <v>52</v>
      </c>
      <c r="B69" s="165">
        <f>$C$11*G10</f>
        <v>222.59596647619048</v>
      </c>
      <c r="C69" s="165">
        <f>$C$11*H10</f>
        <v>6677.8789942857147</v>
      </c>
      <c r="D69" s="166">
        <f t="shared" si="2"/>
        <v>3450.2374803809525</v>
      </c>
      <c r="E69" s="163"/>
      <c r="F69" s="161" t="s">
        <v>51</v>
      </c>
      <c r="G69" s="165">
        <f>$C$12*G12</f>
        <v>491.36243919568943</v>
      </c>
      <c r="H69" s="165">
        <f>$C$12*H12</f>
        <v>4913.6243919568942</v>
      </c>
      <c r="I69" s="165">
        <f t="shared" si="6"/>
        <v>2702.4934155762917</v>
      </c>
      <c r="J69" s="3"/>
      <c r="K69" s="3"/>
      <c r="L69" s="3"/>
      <c r="M69" s="3"/>
      <c r="N69" s="3"/>
      <c r="O69" s="3"/>
      <c r="P69" s="3"/>
      <c r="Q69" s="3"/>
      <c r="R69" s="3"/>
      <c r="S69" s="3"/>
      <c r="T69" s="3"/>
      <c r="U69" s="3"/>
      <c r="V69" s="3"/>
      <c r="W69" s="3"/>
      <c r="X69" s="3"/>
    </row>
    <row r="70" spans="1:24" x14ac:dyDescent="0.25">
      <c r="A70" s="161" t="s">
        <v>49</v>
      </c>
      <c r="B70" s="165">
        <f>$C$11*G8</f>
        <v>1112.9798323809525</v>
      </c>
      <c r="C70" s="165">
        <f>$C$11*H8</f>
        <v>6677.8789942857147</v>
      </c>
      <c r="D70" s="166">
        <f t="shared" si="2"/>
        <v>3895.4294133333337</v>
      </c>
      <c r="E70" s="163"/>
      <c r="F70" s="163" t="s">
        <v>55</v>
      </c>
      <c r="G70" s="163"/>
      <c r="H70" s="163"/>
      <c r="I70" s="163"/>
      <c r="J70" s="3"/>
      <c r="K70" s="3"/>
      <c r="L70" s="3"/>
      <c r="M70" s="3"/>
      <c r="N70" s="3"/>
      <c r="O70" s="3"/>
      <c r="P70" s="3"/>
      <c r="Q70" s="3"/>
      <c r="R70" s="3"/>
      <c r="S70" s="3"/>
      <c r="T70" s="3"/>
      <c r="U70" s="3"/>
      <c r="V70" s="3"/>
      <c r="W70" s="3"/>
      <c r="X70" s="3"/>
    </row>
    <row r="71" spans="1:24" x14ac:dyDescent="0.25">
      <c r="A71" s="161" t="s">
        <v>51</v>
      </c>
      <c r="B71" s="165">
        <f>$C$11*G12</f>
        <v>222.59596647619048</v>
      </c>
      <c r="C71" s="165">
        <f>$C$11*H12</f>
        <v>2225.9596647619051</v>
      </c>
      <c r="D71" s="166">
        <f t="shared" si="2"/>
        <v>1224.2778156190477</v>
      </c>
      <c r="E71" s="163"/>
      <c r="F71" s="163"/>
      <c r="G71" s="163"/>
      <c r="H71" s="163"/>
      <c r="I71" s="163"/>
      <c r="J71" s="3"/>
      <c r="K71" s="3"/>
      <c r="L71" s="3"/>
      <c r="M71" s="3"/>
      <c r="N71" s="3"/>
      <c r="O71" s="3"/>
      <c r="P71" s="3"/>
      <c r="Q71" s="3"/>
      <c r="R71" s="3"/>
      <c r="S71" s="3"/>
      <c r="T71" s="3"/>
      <c r="U71" s="3"/>
      <c r="V71" s="3"/>
      <c r="W71" s="3"/>
      <c r="X71" s="3"/>
    </row>
    <row r="72" spans="1:24" x14ac:dyDescent="0.25">
      <c r="A72" s="161" t="s">
        <v>11</v>
      </c>
      <c r="B72" s="165">
        <f>$C$11*G16</f>
        <v>556.48991619047627</v>
      </c>
      <c r="C72" s="165">
        <f>$C$11*H16</f>
        <v>11129.798323809526</v>
      </c>
      <c r="D72" s="166">
        <f t="shared" si="2"/>
        <v>5843.1441200000008</v>
      </c>
      <c r="E72" s="163"/>
      <c r="F72" s="163"/>
      <c r="G72" s="163"/>
      <c r="H72" s="163"/>
      <c r="I72" s="163"/>
      <c r="J72" s="3"/>
      <c r="K72" s="3"/>
      <c r="L72" s="3"/>
      <c r="M72" s="3"/>
      <c r="N72" s="3"/>
      <c r="O72" s="3"/>
      <c r="P72" s="3"/>
      <c r="Q72" s="3"/>
      <c r="R72" s="3"/>
      <c r="S72" s="3"/>
      <c r="T72" s="3"/>
      <c r="U72" s="3"/>
      <c r="V72" s="3"/>
      <c r="W72" s="3"/>
      <c r="X72" s="3"/>
    </row>
    <row r="73" spans="1:24" x14ac:dyDescent="0.25">
      <c r="A73" s="161" t="s">
        <v>46</v>
      </c>
      <c r="B73" s="165">
        <f>$C$11*G17</f>
        <v>2.2259596647619051</v>
      </c>
      <c r="C73" s="165">
        <f>$C$11*H17</f>
        <v>5564.8991619047629</v>
      </c>
      <c r="D73" s="166">
        <f t="shared" si="2"/>
        <v>2783.5625607847624</v>
      </c>
      <c r="E73" s="163"/>
      <c r="F73" s="163"/>
      <c r="G73" s="163"/>
      <c r="H73" s="163"/>
      <c r="I73" s="16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
  <sheetViews>
    <sheetView workbookViewId="0">
      <selection activeCell="B17" sqref="B17"/>
    </sheetView>
  </sheetViews>
  <sheetFormatPr defaultRowHeight="15" x14ac:dyDescent="0.25"/>
  <cols>
    <col min="1" max="1" width="12.85546875" bestFit="1" customWidth="1"/>
    <col min="2" max="2" width="20.140625" customWidth="1"/>
    <col min="3" max="3" width="15" customWidth="1"/>
    <col min="4" max="4" width="16.140625" bestFit="1" customWidth="1"/>
    <col min="6" max="6" width="97.28515625" bestFit="1" customWidth="1"/>
  </cols>
  <sheetData>
    <row r="1" spans="1:6" s="54" customFormat="1" x14ac:dyDescent="0.25">
      <c r="A1" s="54" t="s">
        <v>47</v>
      </c>
      <c r="B1" s="54" t="s">
        <v>154</v>
      </c>
      <c r="C1" s="54" t="s">
        <v>160</v>
      </c>
      <c r="D1" s="54" t="s">
        <v>148</v>
      </c>
      <c r="E1" s="54" t="s">
        <v>147</v>
      </c>
      <c r="F1" s="54" t="s">
        <v>151</v>
      </c>
    </row>
    <row r="2" spans="1:6" x14ac:dyDescent="0.25">
      <c r="A2" t="s">
        <v>29</v>
      </c>
      <c r="B2" t="s">
        <v>146</v>
      </c>
      <c r="D2">
        <v>1.2E-2</v>
      </c>
      <c r="E2" t="s">
        <v>149</v>
      </c>
      <c r="F2" t="s">
        <v>152</v>
      </c>
    </row>
    <row r="3" spans="1:6" x14ac:dyDescent="0.25">
      <c r="A3" t="s">
        <v>28</v>
      </c>
      <c r="B3" t="s">
        <v>150</v>
      </c>
      <c r="C3" t="s">
        <v>40</v>
      </c>
      <c r="D3">
        <v>0.1</v>
      </c>
      <c r="E3" t="s">
        <v>149</v>
      </c>
      <c r="F3" t="s">
        <v>152</v>
      </c>
    </row>
    <row r="4" spans="1:6" x14ac:dyDescent="0.25">
      <c r="A4" t="s">
        <v>28</v>
      </c>
      <c r="B4" t="s">
        <v>153</v>
      </c>
      <c r="D4">
        <v>3.67</v>
      </c>
      <c r="E4" t="s">
        <v>149</v>
      </c>
      <c r="F4" t="s">
        <v>152</v>
      </c>
    </row>
    <row r="5" spans="1:6" x14ac:dyDescent="0.25">
      <c r="A5" t="s">
        <v>33</v>
      </c>
      <c r="B5" t="s">
        <v>150</v>
      </c>
      <c r="D5">
        <v>4.83</v>
      </c>
      <c r="E5" t="s">
        <v>149</v>
      </c>
      <c r="F5" t="s">
        <v>152</v>
      </c>
    </row>
    <row r="6" spans="1:6" x14ac:dyDescent="0.25">
      <c r="A6" t="s">
        <v>33</v>
      </c>
      <c r="B6" t="s">
        <v>155</v>
      </c>
      <c r="D6">
        <v>5.35</v>
      </c>
      <c r="E6" t="s">
        <v>149</v>
      </c>
      <c r="F6" t="s">
        <v>152</v>
      </c>
    </row>
    <row r="7" spans="1:6" x14ac:dyDescent="0.25">
      <c r="A7" t="s">
        <v>156</v>
      </c>
      <c r="B7" t="s">
        <v>145</v>
      </c>
      <c r="D7" s="56">
        <f>AVERAGE(11.8,0.6,0.6,8.4,0.6,5.4,0.6,6.5,6.2,4.3,9.7,0.6,6)/1000000*100</f>
        <v>4.715384615384615E-4</v>
      </c>
      <c r="E7" t="s">
        <v>149</v>
      </c>
      <c r="F7" t="s">
        <v>157</v>
      </c>
    </row>
    <row r="8" spans="1:6" x14ac:dyDescent="0.25">
      <c r="A8" t="s">
        <v>33</v>
      </c>
      <c r="B8" t="s">
        <v>158</v>
      </c>
      <c r="C8" t="s">
        <v>161</v>
      </c>
      <c r="D8">
        <v>1.1E-5</v>
      </c>
      <c r="E8" t="s">
        <v>149</v>
      </c>
      <c r="F8" t="s">
        <v>162</v>
      </c>
    </row>
    <row r="9" spans="1:6" x14ac:dyDescent="0.25">
      <c r="A9" t="s">
        <v>33</v>
      </c>
      <c r="B9" t="s">
        <v>159</v>
      </c>
      <c r="C9" t="s">
        <v>161</v>
      </c>
      <c r="D9">
        <v>1.15E-6</v>
      </c>
      <c r="E9" t="s">
        <v>149</v>
      </c>
      <c r="F9" t="s">
        <v>163</v>
      </c>
    </row>
    <row r="11" spans="1:6" x14ac:dyDescent="0.25">
      <c r="A11" s="57" t="s">
        <v>164</v>
      </c>
    </row>
    <row r="12" spans="1:6" x14ac:dyDescent="0.25">
      <c r="A12" s="57" t="s">
        <v>165</v>
      </c>
    </row>
    <row r="13" spans="1:6" ht="21.75" customHeight="1" x14ac:dyDescent="0.25">
      <c r="A13" s="334" t="s">
        <v>175</v>
      </c>
      <c r="B13" s="335"/>
      <c r="C13" s="335"/>
      <c r="D13" s="335"/>
      <c r="E13" s="335"/>
      <c r="F13" s="335"/>
    </row>
    <row r="14" spans="1:6" x14ac:dyDescent="0.25">
      <c r="F14" s="58"/>
    </row>
    <row r="15" spans="1:6" s="54" customFormat="1" x14ac:dyDescent="0.25">
      <c r="A15" s="54" t="s">
        <v>166</v>
      </c>
      <c r="B15" s="54" t="s">
        <v>167</v>
      </c>
      <c r="C15" s="54" t="s">
        <v>170</v>
      </c>
    </row>
    <row r="16" spans="1:6" x14ac:dyDescent="0.25">
      <c r="A16" t="s">
        <v>47</v>
      </c>
      <c r="B16" s="41">
        <f>AVERAGE(D7)/100</f>
        <v>4.7153846153846152E-6</v>
      </c>
      <c r="C16">
        <f>B16*100</f>
        <v>4.715384615384615E-4</v>
      </c>
    </row>
    <row r="17" spans="1:3" x14ac:dyDescent="0.25">
      <c r="A17" t="s">
        <v>154</v>
      </c>
      <c r="B17" s="41">
        <f>AVERAGE(D5,D2,D4,D3,D6,D8,D9)/100</f>
        <v>1.9945731642857144E-2</v>
      </c>
      <c r="C17">
        <f>B17*100</f>
        <v>1.9945731642857143</v>
      </c>
    </row>
  </sheetData>
  <mergeCells count="1">
    <mergeCell ref="A13:F1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9"/>
  <sheetViews>
    <sheetView workbookViewId="0">
      <selection activeCell="F19" sqref="F19"/>
    </sheetView>
  </sheetViews>
  <sheetFormatPr defaultRowHeight="15" x14ac:dyDescent="0.25"/>
  <cols>
    <col min="1" max="1" width="12.85546875" bestFit="1" customWidth="1"/>
    <col min="2" max="2" width="15.28515625" bestFit="1" customWidth="1"/>
    <col min="3" max="3" width="14.5703125" bestFit="1" customWidth="1"/>
    <col min="4" max="4" width="16.28515625" bestFit="1" customWidth="1"/>
    <col min="5" max="5" width="4.85546875" bestFit="1" customWidth="1"/>
    <col min="6" max="6" width="97.28515625" bestFit="1" customWidth="1"/>
  </cols>
  <sheetData>
    <row r="1" spans="1:6" x14ac:dyDescent="0.25">
      <c r="A1" s="54" t="s">
        <v>47</v>
      </c>
      <c r="B1" s="54" t="s">
        <v>154</v>
      </c>
      <c r="C1" s="54" t="s">
        <v>160</v>
      </c>
      <c r="D1" s="54" t="s">
        <v>148</v>
      </c>
      <c r="E1" s="54" t="s">
        <v>147</v>
      </c>
      <c r="F1" s="54" t="s">
        <v>151</v>
      </c>
    </row>
    <row r="2" spans="1:6" x14ac:dyDescent="0.25">
      <c r="A2" t="s">
        <v>29</v>
      </c>
      <c r="B2" t="s">
        <v>146</v>
      </c>
      <c r="D2">
        <v>1.2E-2</v>
      </c>
      <c r="E2" t="s">
        <v>149</v>
      </c>
      <c r="F2" t="s">
        <v>152</v>
      </c>
    </row>
    <row r="3" spans="1:6" x14ac:dyDescent="0.25">
      <c r="A3" t="s">
        <v>28</v>
      </c>
      <c r="B3" t="s">
        <v>150</v>
      </c>
      <c r="C3" t="s">
        <v>40</v>
      </c>
      <c r="D3">
        <v>0.1</v>
      </c>
      <c r="E3" t="s">
        <v>149</v>
      </c>
      <c r="F3" t="s">
        <v>152</v>
      </c>
    </row>
    <row r="4" spans="1:6" x14ac:dyDescent="0.25">
      <c r="A4" t="s">
        <v>28</v>
      </c>
      <c r="B4" t="s">
        <v>153</v>
      </c>
      <c r="D4">
        <v>3.67</v>
      </c>
      <c r="E4" t="s">
        <v>149</v>
      </c>
      <c r="F4" t="s">
        <v>152</v>
      </c>
    </row>
    <row r="5" spans="1:6" x14ac:dyDescent="0.25">
      <c r="A5" t="s">
        <v>33</v>
      </c>
      <c r="B5" t="s">
        <v>150</v>
      </c>
      <c r="D5">
        <v>4.83</v>
      </c>
      <c r="E5" t="s">
        <v>149</v>
      </c>
      <c r="F5" t="s">
        <v>152</v>
      </c>
    </row>
    <row r="6" spans="1:6" x14ac:dyDescent="0.25">
      <c r="A6" t="s">
        <v>33</v>
      </c>
      <c r="B6" t="s">
        <v>155</v>
      </c>
      <c r="D6">
        <v>5.35</v>
      </c>
      <c r="E6" t="s">
        <v>149</v>
      </c>
      <c r="F6" t="s">
        <v>152</v>
      </c>
    </row>
    <row r="7" spans="1:6" x14ac:dyDescent="0.25">
      <c r="A7" t="s">
        <v>156</v>
      </c>
      <c r="B7" t="s">
        <v>145</v>
      </c>
      <c r="D7" s="56">
        <f>AVERAGE(11.8,0.6,0.6,8.4,0.6,5.4,0.6,6.5,6.2,4.3,9.7,0.6,6)/1000000*100</f>
        <v>4.715384615384615E-4</v>
      </c>
      <c r="E7" t="s">
        <v>149</v>
      </c>
      <c r="F7" t="s">
        <v>157</v>
      </c>
    </row>
    <row r="8" spans="1:6" x14ac:dyDescent="0.25">
      <c r="A8" t="s">
        <v>33</v>
      </c>
      <c r="B8" t="s">
        <v>158</v>
      </c>
      <c r="C8" t="s">
        <v>161</v>
      </c>
      <c r="D8">
        <v>1.1E-5</v>
      </c>
      <c r="E8" t="s">
        <v>149</v>
      </c>
      <c r="F8" t="s">
        <v>162</v>
      </c>
    </row>
    <row r="9" spans="1:6" x14ac:dyDescent="0.25">
      <c r="A9" t="s">
        <v>33</v>
      </c>
      <c r="B9" t="s">
        <v>159</v>
      </c>
      <c r="C9" t="s">
        <v>161</v>
      </c>
      <c r="D9">
        <v>1.15E-6</v>
      </c>
      <c r="E9" t="s">
        <v>149</v>
      </c>
      <c r="F9" t="s">
        <v>163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1"/>
  <sheetViews>
    <sheetView workbookViewId="0">
      <selection activeCell="F20" sqref="F20"/>
    </sheetView>
  </sheetViews>
  <sheetFormatPr defaultRowHeight="15" x14ac:dyDescent="0.25"/>
  <cols>
    <col min="1" max="1" width="17.5703125" style="1" bestFit="1" customWidth="1"/>
    <col min="7" max="7" width="16.42578125" bestFit="1" customWidth="1"/>
    <col min="8" max="8" width="23.85546875" customWidth="1"/>
  </cols>
  <sheetData>
    <row r="1" spans="1:7" x14ac:dyDescent="0.25">
      <c r="A1" s="1">
        <v>0</v>
      </c>
      <c r="B1">
        <v>1</v>
      </c>
    </row>
    <row r="2" spans="1:7" x14ac:dyDescent="0.25">
      <c r="A2" s="1">
        <v>38770.205318645792</v>
      </c>
      <c r="B2">
        <v>1.1000000000000001</v>
      </c>
    </row>
    <row r="3" spans="1:7" x14ac:dyDescent="0.25">
      <c r="A3" s="1">
        <v>300000</v>
      </c>
      <c r="B3">
        <v>1.5</v>
      </c>
    </row>
    <row r="4" spans="1:7" x14ac:dyDescent="0.25">
      <c r="A4" s="1">
        <v>717667.18323490303</v>
      </c>
      <c r="B4">
        <v>1.75</v>
      </c>
    </row>
    <row r="5" spans="1:7" x14ac:dyDescent="0.25">
      <c r="A5" s="1">
        <v>1583357.9036974791</v>
      </c>
      <c r="B5">
        <v>2</v>
      </c>
    </row>
    <row r="6" spans="1:7" x14ac:dyDescent="0.25">
      <c r="A6" s="1">
        <v>3020000.0000000005</v>
      </c>
      <c r="B6">
        <v>3</v>
      </c>
    </row>
    <row r="7" spans="1:7" x14ac:dyDescent="0.25">
      <c r="A7" s="1">
        <v>3020000.0000000005</v>
      </c>
      <c r="B7">
        <v>3</v>
      </c>
    </row>
    <row r="8" spans="1:7" x14ac:dyDescent="0.25">
      <c r="A8" s="1">
        <v>3566001.1204481795</v>
      </c>
      <c r="B8">
        <v>3.1</v>
      </c>
    </row>
    <row r="9" spans="1:7" x14ac:dyDescent="0.25">
      <c r="A9" s="1">
        <v>5633280.0000000019</v>
      </c>
      <c r="B9">
        <v>3.5</v>
      </c>
    </row>
    <row r="10" spans="1:7" x14ac:dyDescent="0.25">
      <c r="A10" s="1">
        <v>6726218.0974477958</v>
      </c>
      <c r="B10">
        <v>3.75</v>
      </c>
    </row>
    <row r="11" spans="1:7" x14ac:dyDescent="0.25">
      <c r="A11" s="1">
        <v>11382830.626450116</v>
      </c>
      <c r="B11">
        <v>4</v>
      </c>
    </row>
    <row r="12" spans="1:7" x14ac:dyDescent="0.25">
      <c r="A12" s="1">
        <v>27043300</v>
      </c>
      <c r="B12">
        <v>4.5</v>
      </c>
    </row>
    <row r="13" spans="1:7" x14ac:dyDescent="0.25">
      <c r="A13" s="1">
        <v>28892160</v>
      </c>
      <c r="B13">
        <v>4.5</v>
      </c>
    </row>
    <row r="14" spans="1:7" x14ac:dyDescent="0.25">
      <c r="A14" s="1">
        <v>31056653.300784312</v>
      </c>
      <c r="B14">
        <v>5</v>
      </c>
    </row>
    <row r="15" spans="1:7" x14ac:dyDescent="0.25">
      <c r="A15" s="1">
        <v>34525440</v>
      </c>
      <c r="B15">
        <v>5.2</v>
      </c>
      <c r="G15" s="88"/>
    </row>
    <row r="16" spans="1:7" x14ac:dyDescent="0.25">
      <c r="A16" s="1">
        <v>35621240.999163151</v>
      </c>
      <c r="B16">
        <v>5.3</v>
      </c>
    </row>
    <row r="17" spans="1:7" x14ac:dyDescent="0.25">
      <c r="A17" s="1">
        <v>35660011.204481803</v>
      </c>
      <c r="B17">
        <v>5.3</v>
      </c>
    </row>
    <row r="18" spans="1:7" x14ac:dyDescent="0.25">
      <c r="A18" s="1">
        <v>38900000</v>
      </c>
      <c r="B18">
        <v>5.6</v>
      </c>
    </row>
    <row r="19" spans="1:7" x14ac:dyDescent="0.25">
      <c r="A19" s="1">
        <v>43025761.344537817</v>
      </c>
      <c r="B19">
        <v>6</v>
      </c>
    </row>
    <row r="20" spans="1:7" x14ac:dyDescent="0.25">
      <c r="A20" s="1">
        <v>61600000</v>
      </c>
      <c r="B20">
        <v>6.7</v>
      </c>
    </row>
    <row r="21" spans="1:7" x14ac:dyDescent="0.25">
      <c r="A21" s="1">
        <v>65970900</v>
      </c>
      <c r="B21">
        <v>7</v>
      </c>
    </row>
    <row r="22" spans="1:7" x14ac:dyDescent="0.25">
      <c r="A22" s="1">
        <v>74000000</v>
      </c>
      <c r="B22">
        <v>7.25</v>
      </c>
    </row>
    <row r="23" spans="1:7" x14ac:dyDescent="0.25">
      <c r="A23" s="1">
        <v>95700000</v>
      </c>
      <c r="B23">
        <v>7.5</v>
      </c>
    </row>
    <row r="24" spans="1:7" x14ac:dyDescent="0.25">
      <c r="A24" s="1">
        <v>118990520</v>
      </c>
      <c r="B24">
        <v>8</v>
      </c>
    </row>
    <row r="25" spans="1:7" x14ac:dyDescent="0.25">
      <c r="A25" s="1">
        <v>120151789.99999999</v>
      </c>
      <c r="B25">
        <v>8</v>
      </c>
    </row>
    <row r="26" spans="1:7" x14ac:dyDescent="0.25">
      <c r="A26" s="1">
        <v>120151932.78999999</v>
      </c>
      <c r="B26">
        <v>8</v>
      </c>
    </row>
    <row r="27" spans="1:7" x14ac:dyDescent="0.25">
      <c r="A27" s="1">
        <v>142767650.81232494</v>
      </c>
      <c r="B27">
        <v>8.1999999999999993</v>
      </c>
    </row>
    <row r="28" spans="1:7" x14ac:dyDescent="0.25">
      <c r="A28" s="1">
        <v>257088605.34453782</v>
      </c>
      <c r="B28">
        <v>9.5</v>
      </c>
    </row>
    <row r="29" spans="1:7" x14ac:dyDescent="0.25">
      <c r="A29" s="1">
        <v>292410014.41092783</v>
      </c>
      <c r="B29">
        <v>10</v>
      </c>
    </row>
    <row r="31" spans="1:7" x14ac:dyDescent="0.25">
      <c r="G31" s="88"/>
    </row>
  </sheetData>
  <sortState xmlns:xlrd2="http://schemas.microsoft.com/office/spreadsheetml/2017/richdata2" ref="A1:A5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E23"/>
  <sheetViews>
    <sheetView workbookViewId="0">
      <pane ySplit="1" topLeftCell="A20" activePane="bottomLeft" state="frozen"/>
      <selection pane="bottomLeft" activeCell="C24" sqref="C24"/>
    </sheetView>
  </sheetViews>
  <sheetFormatPr defaultRowHeight="15" x14ac:dyDescent="0.25"/>
  <cols>
    <col min="1" max="1" width="48.5703125" style="113" customWidth="1"/>
    <col min="2" max="2" width="46.42578125" style="113" customWidth="1"/>
    <col min="3" max="3" width="74.42578125" style="113" customWidth="1"/>
    <col min="4" max="4" width="44.85546875" style="113" customWidth="1"/>
    <col min="5" max="5" width="30.7109375" style="113" customWidth="1"/>
    <col min="6" max="16384" width="9.140625" style="113"/>
  </cols>
  <sheetData>
    <row r="1" spans="1:5" x14ac:dyDescent="0.25">
      <c r="A1" s="112" t="s">
        <v>86</v>
      </c>
      <c r="B1" s="112" t="s">
        <v>87</v>
      </c>
      <c r="C1" s="112" t="s">
        <v>90</v>
      </c>
      <c r="D1" s="112" t="s">
        <v>194</v>
      </c>
      <c r="E1" s="150"/>
    </row>
    <row r="2" spans="1:5" ht="90" x14ac:dyDescent="0.25">
      <c r="A2" s="150" t="s">
        <v>89</v>
      </c>
      <c r="B2" s="150" t="s">
        <v>88</v>
      </c>
      <c r="C2" s="150" t="s">
        <v>91</v>
      </c>
      <c r="D2" s="150"/>
      <c r="E2" s="150"/>
    </row>
    <row r="3" spans="1:5" ht="29.25" customHeight="1" x14ac:dyDescent="0.25">
      <c r="A3" s="150" t="s">
        <v>92</v>
      </c>
      <c r="B3" s="150" t="s">
        <v>93</v>
      </c>
      <c r="C3" s="150" t="s">
        <v>195</v>
      </c>
      <c r="D3" s="151" t="s">
        <v>94</v>
      </c>
      <c r="E3" s="150"/>
    </row>
    <row r="4" spans="1:5" ht="105" x14ac:dyDescent="0.25">
      <c r="A4" s="150" t="s">
        <v>95</v>
      </c>
      <c r="B4" s="150" t="s">
        <v>96</v>
      </c>
      <c r="C4" s="150" t="s">
        <v>97</v>
      </c>
      <c r="D4" s="150"/>
      <c r="E4" s="150"/>
    </row>
    <row r="5" spans="1:5" ht="90" x14ac:dyDescent="0.25">
      <c r="A5" s="150" t="s">
        <v>269</v>
      </c>
      <c r="B5" s="150" t="s">
        <v>270</v>
      </c>
      <c r="C5" s="114" t="s">
        <v>272</v>
      </c>
      <c r="D5" s="151" t="s">
        <v>271</v>
      </c>
      <c r="E5" s="150"/>
    </row>
    <row r="6" spans="1:5" ht="105" x14ac:dyDescent="0.25">
      <c r="A6" s="150" t="s">
        <v>102</v>
      </c>
      <c r="B6" s="150" t="s">
        <v>108</v>
      </c>
      <c r="C6" s="150" t="s">
        <v>109</v>
      </c>
      <c r="D6" s="150"/>
      <c r="E6" s="150"/>
    </row>
    <row r="7" spans="1:5" ht="30" x14ac:dyDescent="0.25">
      <c r="A7" s="152" t="s">
        <v>110</v>
      </c>
      <c r="B7" s="152" t="s">
        <v>112</v>
      </c>
      <c r="C7" s="152" t="s">
        <v>111</v>
      </c>
      <c r="D7" s="150"/>
      <c r="E7" s="150"/>
    </row>
    <row r="8" spans="1:5" ht="105" x14ac:dyDescent="0.25">
      <c r="A8" s="150" t="s">
        <v>120</v>
      </c>
      <c r="B8" s="150" t="s">
        <v>128</v>
      </c>
      <c r="C8" s="151" t="s">
        <v>121</v>
      </c>
      <c r="D8" s="150"/>
      <c r="E8" s="150"/>
    </row>
    <row r="9" spans="1:5" ht="60" x14ac:dyDescent="0.25">
      <c r="A9" s="150" t="s">
        <v>168</v>
      </c>
      <c r="B9" s="150" t="s">
        <v>171</v>
      </c>
      <c r="C9" s="150" t="s">
        <v>169</v>
      </c>
      <c r="D9" s="150"/>
      <c r="E9" s="150"/>
    </row>
    <row r="10" spans="1:5" ht="60" x14ac:dyDescent="0.25">
      <c r="A10" s="150" t="s">
        <v>172</v>
      </c>
      <c r="B10" s="150" t="s">
        <v>173</v>
      </c>
      <c r="C10" s="150" t="s">
        <v>174</v>
      </c>
      <c r="D10" s="150"/>
      <c r="E10" s="150"/>
    </row>
    <row r="11" spans="1:5" ht="120" x14ac:dyDescent="0.25">
      <c r="A11" s="150" t="s">
        <v>176</v>
      </c>
      <c r="B11" s="150" t="s">
        <v>177</v>
      </c>
      <c r="C11" s="150" t="s">
        <v>178</v>
      </c>
      <c r="D11" s="150"/>
      <c r="E11" s="150"/>
    </row>
    <row r="12" spans="1:5" ht="120" x14ac:dyDescent="0.25">
      <c r="A12" s="150" t="s">
        <v>196</v>
      </c>
      <c r="B12" s="150" t="s">
        <v>201</v>
      </c>
      <c r="C12" s="150" t="s">
        <v>197</v>
      </c>
      <c r="D12" s="150" t="s">
        <v>193</v>
      </c>
      <c r="E12" s="150"/>
    </row>
    <row r="13" spans="1:5" s="115" customFormat="1" ht="45" x14ac:dyDescent="0.25">
      <c r="A13" s="153" t="s">
        <v>211</v>
      </c>
      <c r="B13" s="154" t="s">
        <v>212</v>
      </c>
      <c r="C13" s="154" t="s">
        <v>210</v>
      </c>
      <c r="D13" s="154"/>
      <c r="E13" s="154"/>
    </row>
    <row r="14" spans="1:5" ht="45" x14ac:dyDescent="0.25">
      <c r="A14" s="150" t="s">
        <v>217</v>
      </c>
      <c r="B14" s="150" t="s">
        <v>220</v>
      </c>
      <c r="C14" s="150" t="s">
        <v>219</v>
      </c>
      <c r="D14" s="150" t="s">
        <v>218</v>
      </c>
      <c r="E14" s="150"/>
    </row>
    <row r="15" spans="1:5" ht="105" x14ac:dyDescent="0.25">
      <c r="A15" s="155" t="s">
        <v>311</v>
      </c>
      <c r="B15" s="155" t="s">
        <v>313</v>
      </c>
      <c r="C15" s="155" t="s">
        <v>312</v>
      </c>
      <c r="D15" s="155" t="s">
        <v>238</v>
      </c>
      <c r="E15" s="156" t="s">
        <v>310</v>
      </c>
    </row>
    <row r="16" spans="1:5" ht="90" x14ac:dyDescent="0.25">
      <c r="A16" s="150" t="s">
        <v>239</v>
      </c>
      <c r="B16" s="150" t="s">
        <v>240</v>
      </c>
      <c r="C16" s="150" t="s">
        <v>241</v>
      </c>
      <c r="D16" s="150"/>
      <c r="E16" s="150"/>
    </row>
    <row r="17" spans="1:5" ht="75" x14ac:dyDescent="0.25">
      <c r="A17" s="150" t="s">
        <v>264</v>
      </c>
      <c r="B17" s="150" t="s">
        <v>263</v>
      </c>
      <c r="C17" s="150" t="s">
        <v>262</v>
      </c>
      <c r="D17" s="155" t="s">
        <v>238</v>
      </c>
      <c r="E17" s="150"/>
    </row>
    <row r="18" spans="1:5" ht="90" x14ac:dyDescent="0.25">
      <c r="A18" s="150" t="s">
        <v>275</v>
      </c>
      <c r="B18" s="150" t="s">
        <v>276</v>
      </c>
      <c r="C18" s="150" t="s">
        <v>278</v>
      </c>
      <c r="D18" s="155" t="s">
        <v>277</v>
      </c>
      <c r="E18" s="150"/>
    </row>
    <row r="19" spans="1:5" ht="60" x14ac:dyDescent="0.25">
      <c r="A19" s="150" t="s">
        <v>265</v>
      </c>
      <c r="B19" s="150" t="s">
        <v>267</v>
      </c>
      <c r="C19" s="150" t="s">
        <v>266</v>
      </c>
      <c r="D19" s="150"/>
      <c r="E19" s="150"/>
    </row>
    <row r="20" spans="1:5" ht="45" x14ac:dyDescent="0.25">
      <c r="A20" s="150" t="s">
        <v>302</v>
      </c>
      <c r="B20" s="150" t="s">
        <v>303</v>
      </c>
      <c r="C20" s="150" t="s">
        <v>304</v>
      </c>
      <c r="D20" s="157" t="s">
        <v>305</v>
      </c>
      <c r="E20" s="150"/>
    </row>
    <row r="21" spans="1:5" ht="60" x14ac:dyDescent="0.25">
      <c r="A21" s="150" t="s">
        <v>307</v>
      </c>
      <c r="B21" s="150" t="s">
        <v>308</v>
      </c>
      <c r="C21" s="150" t="s">
        <v>309</v>
      </c>
      <c r="D21" s="158" t="s">
        <v>310</v>
      </c>
      <c r="E21" s="150"/>
    </row>
    <row r="22" spans="1:5" ht="184.5" x14ac:dyDescent="0.25">
      <c r="A22" s="150" t="s">
        <v>334</v>
      </c>
      <c r="B22" s="150" t="s">
        <v>335</v>
      </c>
      <c r="C22" s="33" t="s">
        <v>337</v>
      </c>
      <c r="D22" s="159" t="s">
        <v>336</v>
      </c>
      <c r="E22" s="150"/>
    </row>
    <row r="23" spans="1:5" ht="60" x14ac:dyDescent="0.25">
      <c r="A23" s="113" t="s">
        <v>473</v>
      </c>
      <c r="B23" s="113" t="s">
        <v>474</v>
      </c>
      <c r="C23" s="113" t="s">
        <v>499</v>
      </c>
    </row>
  </sheetData>
  <hyperlinks>
    <hyperlink ref="D3" r:id="rId1" location=":~:text=Of%20the%20260%20million%20tons,damaging%20life%20on%20the%20seabed." xr:uid="{00000000-0004-0000-0200-000000000000}"/>
    <hyperlink ref="C8" r:id="rId2" xr:uid="{00000000-0004-0000-0200-000001000000}"/>
    <hyperlink ref="D5" r:id="rId3" display="http://science.sciencemag.org/content/347/6223/768" xr:uid="{00000000-0004-0000-0200-000002000000}"/>
    <hyperlink ref="D20" r:id="rId4" xr:uid="{00000000-0004-0000-0200-000003000000}"/>
    <hyperlink ref="D21" r:id="rId5" xr:uid="{00000000-0004-0000-0200-000004000000}"/>
    <hyperlink ref="E15" r:id="rId6" xr:uid="{00000000-0004-0000-0200-000005000000}"/>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M114"/>
  <sheetViews>
    <sheetView tabSelected="1" zoomScale="86" zoomScaleNormal="86" workbookViewId="0">
      <selection activeCell="K34" sqref="K34"/>
    </sheetView>
  </sheetViews>
  <sheetFormatPr defaultRowHeight="15" x14ac:dyDescent="0.25"/>
  <cols>
    <col min="1" max="1" width="79.140625" style="53" customWidth="1"/>
    <col min="2" max="2" width="17.5703125" bestFit="1" customWidth="1"/>
    <col min="3" max="3" width="19.7109375" customWidth="1"/>
    <col min="4" max="4" width="17.5703125" customWidth="1"/>
    <col min="5" max="5" width="15.85546875" customWidth="1"/>
    <col min="6" max="6" width="30.7109375" customWidth="1"/>
    <col min="7" max="7" width="59.5703125" customWidth="1"/>
    <col min="9" max="9" width="13.5703125" customWidth="1"/>
    <col min="10" max="10" width="63.5703125" customWidth="1"/>
    <col min="11" max="11" width="33.42578125" bestFit="1" customWidth="1"/>
    <col min="12" max="12" width="63.140625" customWidth="1"/>
    <col min="13" max="13" width="27.28515625" customWidth="1"/>
  </cols>
  <sheetData>
    <row r="1" spans="1:12" x14ac:dyDescent="0.25">
      <c r="A1" s="50" t="s">
        <v>18</v>
      </c>
      <c r="B1" s="27" t="s">
        <v>17</v>
      </c>
      <c r="C1" s="54" t="s">
        <v>495</v>
      </c>
      <c r="G1" s="87" t="s">
        <v>70</v>
      </c>
    </row>
    <row r="2" spans="1:12" x14ac:dyDescent="0.25">
      <c r="A2" s="51" t="s">
        <v>20</v>
      </c>
      <c r="B2" s="92">
        <v>292360000</v>
      </c>
      <c r="D2" s="89"/>
    </row>
    <row r="3" spans="1:12" x14ac:dyDescent="0.25">
      <c r="A3" s="51" t="s">
        <v>21</v>
      </c>
      <c r="B3" s="92">
        <v>35680000</v>
      </c>
      <c r="D3" s="149"/>
    </row>
    <row r="4" spans="1:12" x14ac:dyDescent="0.25">
      <c r="A4" s="289" t="s">
        <v>314</v>
      </c>
      <c r="B4" s="18">
        <v>8.4000000000000005E-2</v>
      </c>
      <c r="J4" s="139" t="s">
        <v>325</v>
      </c>
      <c r="K4" s="140"/>
      <c r="L4" s="143"/>
    </row>
    <row r="5" spans="1:12" x14ac:dyDescent="0.25">
      <c r="A5" s="288" t="s">
        <v>487</v>
      </c>
      <c r="B5" s="91">
        <f>B4-B11</f>
        <v>3.8329372197309419E-2</v>
      </c>
      <c r="D5" s="130" t="s">
        <v>315</v>
      </c>
      <c r="E5" s="40"/>
      <c r="F5" s="40"/>
      <c r="J5" s="141" t="s">
        <v>478</v>
      </c>
      <c r="K5" s="142">
        <f>B5</f>
        <v>3.8329372197309419E-2</v>
      </c>
      <c r="L5" s="144"/>
    </row>
    <row r="6" spans="1:12" x14ac:dyDescent="0.25">
      <c r="A6" s="288" t="s">
        <v>504</v>
      </c>
      <c r="B6" s="18">
        <v>0.66700000000000004</v>
      </c>
      <c r="C6" s="41" t="s">
        <v>494</v>
      </c>
      <c r="D6" s="54"/>
      <c r="J6" s="141" t="s">
        <v>327</v>
      </c>
      <c r="K6" s="147" t="s">
        <v>328</v>
      </c>
      <c r="L6" s="144"/>
    </row>
    <row r="7" spans="1:12" x14ac:dyDescent="0.25">
      <c r="A7" s="76" t="s">
        <v>502</v>
      </c>
      <c r="B7" s="18">
        <v>0.95</v>
      </c>
      <c r="C7" s="41" t="s">
        <v>494</v>
      </c>
      <c r="D7" s="54" t="s">
        <v>294</v>
      </c>
      <c r="E7" s="24"/>
      <c r="F7" s="24"/>
      <c r="G7" t="s">
        <v>319</v>
      </c>
      <c r="J7" s="141" t="s">
        <v>329</v>
      </c>
      <c r="K7" s="142">
        <f>B6</f>
        <v>0.66700000000000004</v>
      </c>
      <c r="L7" s="144"/>
    </row>
    <row r="8" spans="1:12" x14ac:dyDescent="0.25">
      <c r="A8" s="76" t="s">
        <v>505</v>
      </c>
      <c r="B8" s="174">
        <f>(1-B4)*B7</f>
        <v>0.87019999999999997</v>
      </c>
      <c r="C8" s="41" t="s">
        <v>494</v>
      </c>
      <c r="D8" s="135" t="s">
        <v>25</v>
      </c>
      <c r="E8" s="135" t="s">
        <v>26</v>
      </c>
      <c r="F8" s="135" t="s">
        <v>317</v>
      </c>
      <c r="G8" s="136" t="s">
        <v>318</v>
      </c>
      <c r="J8" s="141" t="s">
        <v>507</v>
      </c>
      <c r="K8" s="142">
        <f>B7</f>
        <v>0.95</v>
      </c>
      <c r="L8" s="144"/>
    </row>
    <row r="9" spans="1:12" x14ac:dyDescent="0.25">
      <c r="A9" s="76" t="s">
        <v>503</v>
      </c>
      <c r="B9" s="18">
        <v>0.6</v>
      </c>
      <c r="C9" t="s">
        <v>496</v>
      </c>
      <c r="D9" s="6" t="s">
        <v>27</v>
      </c>
      <c r="E9" s="16">
        <f t="shared" ref="E9:E16" si="0">F9/$F$17</f>
        <v>0.30132450331125826</v>
      </c>
      <c r="F9" s="307">
        <v>910000</v>
      </c>
      <c r="G9" s="133">
        <f t="shared" ref="G9:G16" si="1">$G$17*E9</f>
        <v>903105.69536423835</v>
      </c>
      <c r="J9" s="286"/>
      <c r="K9" s="286"/>
      <c r="L9" s="144"/>
    </row>
    <row r="10" spans="1:12" x14ac:dyDescent="0.25">
      <c r="A10" s="76" t="s">
        <v>506</v>
      </c>
      <c r="B10" s="174">
        <f>(1-B4)*B9</f>
        <v>0.54959999999999998</v>
      </c>
      <c r="C10" t="s">
        <v>496</v>
      </c>
      <c r="D10" s="6" t="s">
        <v>28</v>
      </c>
      <c r="E10" s="16">
        <f t="shared" si="0"/>
        <v>0.18543046357615894</v>
      </c>
      <c r="F10" s="307">
        <v>560000</v>
      </c>
      <c r="G10" s="133">
        <f t="shared" si="1"/>
        <v>555757.35099337751</v>
      </c>
      <c r="J10" s="280"/>
      <c r="K10" s="281"/>
    </row>
    <row r="11" spans="1:12" x14ac:dyDescent="0.25">
      <c r="A11" s="64" t="s">
        <v>289</v>
      </c>
      <c r="B11" s="91">
        <f>SUM(F22:F25)/B3</f>
        <v>4.5670627802690586E-2</v>
      </c>
      <c r="C11" t="s">
        <v>477</v>
      </c>
      <c r="D11" s="6" t="s">
        <v>29</v>
      </c>
      <c r="E11" s="16">
        <f t="shared" si="0"/>
        <v>0</v>
      </c>
      <c r="F11" s="307">
        <v>0</v>
      </c>
      <c r="G11" s="133">
        <f t="shared" si="1"/>
        <v>0</v>
      </c>
      <c r="J11" s="141" t="s">
        <v>475</v>
      </c>
      <c r="K11" s="282">
        <f>'US Mat Flow Analysis 2018'!X43+'US Mat Flow Analysis 2018'!AD43+'US Mat Flow Analysis 2018'!S43</f>
        <v>56341.270299704083</v>
      </c>
      <c r="L11" t="s">
        <v>476</v>
      </c>
    </row>
    <row r="12" spans="1:12" x14ac:dyDescent="0.25">
      <c r="A12" s="64" t="s">
        <v>324</v>
      </c>
      <c r="B12" s="91">
        <f>SUM(G22:G25)/B3</f>
        <v>2.3388452914798206E-4</v>
      </c>
      <c r="C12" t="s">
        <v>477</v>
      </c>
      <c r="D12" s="6" t="s">
        <v>30</v>
      </c>
      <c r="E12" s="16">
        <f t="shared" si="0"/>
        <v>0.12251655629139073</v>
      </c>
      <c r="F12" s="307">
        <v>370000</v>
      </c>
      <c r="G12" s="133">
        <f t="shared" si="1"/>
        <v>367196.82119205297</v>
      </c>
      <c r="J12" s="141"/>
      <c r="K12" s="282"/>
    </row>
    <row r="13" spans="1:12" x14ac:dyDescent="0.25">
      <c r="A13" s="287" t="s">
        <v>490</v>
      </c>
      <c r="B13" s="91">
        <f>(1-B4-B8)*0.172271</f>
        <v>7.8900118000000113E-3</v>
      </c>
      <c r="C13" s="41" t="s">
        <v>494</v>
      </c>
      <c r="D13" s="6" t="s">
        <v>31</v>
      </c>
      <c r="E13" s="16">
        <f t="shared" si="0"/>
        <v>0</v>
      </c>
      <c r="F13" s="307">
        <v>0</v>
      </c>
      <c r="G13" s="133">
        <f t="shared" si="1"/>
        <v>0</v>
      </c>
      <c r="J13" s="141"/>
      <c r="K13" s="282"/>
    </row>
    <row r="14" spans="1:12" x14ac:dyDescent="0.25">
      <c r="A14" s="287" t="s">
        <v>491</v>
      </c>
      <c r="B14" s="91">
        <f>(1-B4-B10)*0.172271</f>
        <v>6.3120094400000007E-2</v>
      </c>
      <c r="C14" t="s">
        <v>496</v>
      </c>
      <c r="D14" s="6" t="s">
        <v>32</v>
      </c>
      <c r="E14" s="16">
        <f t="shared" si="0"/>
        <v>1.6556291390728478E-2</v>
      </c>
      <c r="F14" s="307">
        <v>50000</v>
      </c>
      <c r="G14" s="133">
        <f t="shared" si="1"/>
        <v>49621.192052980135</v>
      </c>
      <c r="J14" s="141" t="s">
        <v>330</v>
      </c>
      <c r="K14" s="282">
        <f>SUM('US Mat Flow Analysis 2018'!H46,'US Mat Flow Analysis 2018'!P46,'US Mat Flow Analysis 2018'!J46,'US Mat Flow Analysis 2018'!R46,'US Mat Flow Analysis 2018'!U46,'US Mat Flow Analysis 2018'!Z46,'US Mat Flow Analysis 2018'!AG46,'US Mat Flow Analysis 2018'!AF46)</f>
        <v>191556327.83200827</v>
      </c>
      <c r="L14" s="148"/>
    </row>
    <row r="15" spans="1:12" x14ac:dyDescent="0.25">
      <c r="A15" s="104" t="s">
        <v>488</v>
      </c>
      <c r="B15" s="91">
        <f>1-B4-B13-B8</f>
        <v>3.7909988200000022E-2</v>
      </c>
      <c r="C15" s="41" t="s">
        <v>494</v>
      </c>
      <c r="D15" s="6" t="s">
        <v>33</v>
      </c>
      <c r="E15" s="16">
        <f t="shared" si="0"/>
        <v>6.6225165562913907E-3</v>
      </c>
      <c r="F15" s="307">
        <v>20000</v>
      </c>
      <c r="G15" s="133">
        <f t="shared" si="1"/>
        <v>19848.476821192053</v>
      </c>
      <c r="J15" s="141" t="s">
        <v>472</v>
      </c>
      <c r="K15" s="282">
        <f>'CO2-Energy FootPrint - REMADE'!M17</f>
        <v>7235179.3234982109</v>
      </c>
    </row>
    <row r="16" spans="1:12" ht="15.75" thickBot="1" x14ac:dyDescent="0.3">
      <c r="A16" s="104" t="s">
        <v>489</v>
      </c>
      <c r="B16" s="91">
        <f>1-B4-B14-B10</f>
        <v>0.30327990560000007</v>
      </c>
      <c r="C16" t="s">
        <v>496</v>
      </c>
      <c r="D16" s="6" t="s">
        <v>34</v>
      </c>
      <c r="E16" s="16">
        <f t="shared" si="0"/>
        <v>0.36754966887417218</v>
      </c>
      <c r="F16" s="307">
        <v>1110000</v>
      </c>
      <c r="G16" s="133">
        <f t="shared" si="1"/>
        <v>1101590.463576159</v>
      </c>
      <c r="J16" s="141" t="s">
        <v>471</v>
      </c>
      <c r="K16" s="282">
        <f>'CO2-Energy FootPrint - REMADE'!M16</f>
        <v>151004022500.52164</v>
      </c>
    </row>
    <row r="17" spans="1:13" ht="15.75" thickBot="1" x14ac:dyDescent="0.3">
      <c r="A17" s="52" t="s">
        <v>191</v>
      </c>
      <c r="B17" s="26"/>
      <c r="D17" s="122" t="s">
        <v>144</v>
      </c>
      <c r="E17" s="123">
        <f>SUM(E9:E16)</f>
        <v>1</v>
      </c>
      <c r="F17" s="124">
        <f>SUM(F9:F16)</f>
        <v>3020000</v>
      </c>
      <c r="G17" s="124">
        <f>B3*B4</f>
        <v>2997120</v>
      </c>
      <c r="J17" s="271" t="s">
        <v>326</v>
      </c>
      <c r="K17" s="272"/>
      <c r="L17" s="272"/>
      <c r="M17" s="273"/>
    </row>
    <row r="18" spans="1:13" x14ac:dyDescent="0.25">
      <c r="A18" s="51" t="s">
        <v>273</v>
      </c>
      <c r="B18" s="131">
        <v>0.02</v>
      </c>
      <c r="J18" s="302" t="s">
        <v>511</v>
      </c>
      <c r="K18" s="303"/>
      <c r="L18" s="303"/>
      <c r="M18" s="304"/>
    </row>
    <row r="19" spans="1:13" x14ac:dyDescent="0.25">
      <c r="A19" s="51" t="s">
        <v>192</v>
      </c>
      <c r="B19" s="91">
        <v>0.1</v>
      </c>
      <c r="J19" s="146">
        <v>22.8</v>
      </c>
      <c r="K19" s="145">
        <v>1050010.0036809808</v>
      </c>
      <c r="L19" s="145">
        <v>96251835.708249345</v>
      </c>
      <c r="M19" s="279">
        <v>1983440937273.5659</v>
      </c>
    </row>
    <row r="20" spans="1:13" x14ac:dyDescent="0.25">
      <c r="A20" s="51" t="s">
        <v>198</v>
      </c>
      <c r="B20" s="91">
        <v>0.01</v>
      </c>
      <c r="D20" s="54" t="s">
        <v>296</v>
      </c>
      <c r="J20" s="146">
        <v>28.5</v>
      </c>
      <c r="K20" s="145">
        <v>961814.55397258326</v>
      </c>
      <c r="L20" s="145">
        <v>88350949.046880871</v>
      </c>
      <c r="M20" s="279">
        <v>1820798607559.9822</v>
      </c>
    </row>
    <row r="21" spans="1:13" x14ac:dyDescent="0.25">
      <c r="A21" s="51" t="s">
        <v>199</v>
      </c>
      <c r="B21" s="91">
        <f>1+B20</f>
        <v>1.01</v>
      </c>
      <c r="D21" s="134" t="s">
        <v>25</v>
      </c>
      <c r="E21" s="134" t="s">
        <v>297</v>
      </c>
      <c r="F21" s="134" t="s">
        <v>298</v>
      </c>
      <c r="G21" s="134" t="s">
        <v>301</v>
      </c>
      <c r="J21" s="146">
        <v>47.5</v>
      </c>
      <c r="K21" s="145">
        <v>667830</v>
      </c>
      <c r="L21" s="145">
        <v>62014660</v>
      </c>
      <c r="M21" s="279">
        <v>1278657508515</v>
      </c>
    </row>
    <row r="22" spans="1:13" x14ac:dyDescent="0.25">
      <c r="A22" s="51" t="s">
        <v>200</v>
      </c>
      <c r="B22" s="92">
        <f>SUM('US Mat Flow Analysis 2018'!$N$29,'US Mat Flow Analysis 2018'!$N$30)*'US 2018 Facts - Sensitivity'!B21 - SUM('US Mat Flow Analysis 2018'!$N$29:$N$30)</f>
        <v>426000</v>
      </c>
      <c r="D22" s="122" t="s">
        <v>299</v>
      </c>
      <c r="E22" s="306">
        <v>139791</v>
      </c>
      <c r="F22" s="306">
        <v>920477</v>
      </c>
      <c r="G22" s="306">
        <v>7246</v>
      </c>
      <c r="J22" s="146">
        <v>76</v>
      </c>
      <c r="K22" s="145">
        <v>226852.47306927227</v>
      </c>
      <c r="L22" s="145">
        <v>22510226.868810531</v>
      </c>
      <c r="M22" s="279">
        <v>465445859946.78369</v>
      </c>
    </row>
    <row r="23" spans="1:13" x14ac:dyDescent="0.25">
      <c r="A23" s="51" t="s">
        <v>316</v>
      </c>
      <c r="B23" s="131">
        <v>0.02</v>
      </c>
      <c r="D23" s="122" t="s">
        <v>300</v>
      </c>
      <c r="E23" s="306">
        <v>36647</v>
      </c>
      <c r="F23" s="306">
        <v>137493</v>
      </c>
      <c r="G23" s="306">
        <v>34</v>
      </c>
      <c r="J23" s="146">
        <v>87</v>
      </c>
      <c r="K23" s="145">
        <v>56341.270299704083</v>
      </c>
      <c r="L23" s="145">
        <v>7235179.3234982109</v>
      </c>
      <c r="M23" s="279">
        <v>151004022500.52164</v>
      </c>
    </row>
    <row r="24" spans="1:13" ht="15.75" thickBot="1" x14ac:dyDescent="0.3">
      <c r="A24" s="51" t="s">
        <v>285</v>
      </c>
      <c r="B24" s="132">
        <v>0.99990000000000001</v>
      </c>
      <c r="D24" s="122" t="s">
        <v>158</v>
      </c>
      <c r="E24" s="306">
        <v>19841</v>
      </c>
      <c r="F24" s="306">
        <v>28071</v>
      </c>
      <c r="G24" s="306">
        <v>27</v>
      </c>
      <c r="J24" s="290">
        <v>95</v>
      </c>
      <c r="K24" s="275">
        <v>0</v>
      </c>
      <c r="L24" s="275">
        <v>0</v>
      </c>
      <c r="M24" s="305">
        <v>0</v>
      </c>
    </row>
    <row r="25" spans="1:13" x14ac:dyDescent="0.25">
      <c r="A25" s="52" t="s">
        <v>183</v>
      </c>
      <c r="B25" s="26"/>
      <c r="D25" s="122" t="s">
        <v>85</v>
      </c>
      <c r="E25" s="306">
        <v>778806</v>
      </c>
      <c r="F25" s="306">
        <v>543487</v>
      </c>
      <c r="G25" s="306">
        <v>1038</v>
      </c>
      <c r="J25" s="276"/>
      <c r="K25" s="145"/>
      <c r="L25" s="145"/>
      <c r="M25" s="336"/>
    </row>
    <row r="26" spans="1:13" x14ac:dyDescent="0.25">
      <c r="A26" s="51" t="s">
        <v>82</v>
      </c>
      <c r="B26" s="92">
        <f>B2</f>
        <v>292360000</v>
      </c>
      <c r="J26" s="277"/>
      <c r="K26" s="277"/>
      <c r="L26" s="277"/>
      <c r="M26" s="277"/>
    </row>
    <row r="27" spans="1:13" x14ac:dyDescent="0.25">
      <c r="A27" s="90" t="s">
        <v>83</v>
      </c>
      <c r="B27" s="129">
        <v>1.3899999999999999E-2</v>
      </c>
      <c r="D27" s="54" t="s">
        <v>320</v>
      </c>
      <c r="J27" s="277"/>
      <c r="K27" s="277"/>
      <c r="L27" s="277"/>
      <c r="M27" s="277"/>
    </row>
    <row r="28" spans="1:13" x14ac:dyDescent="0.25">
      <c r="A28" s="90" t="s">
        <v>8</v>
      </c>
      <c r="B28" s="129">
        <v>1.5599999999999999E-2</v>
      </c>
      <c r="E28" t="s">
        <v>321</v>
      </c>
      <c r="F28" t="s">
        <v>323</v>
      </c>
      <c r="G28" t="s">
        <v>322</v>
      </c>
      <c r="J28" s="277"/>
      <c r="K28" s="277"/>
      <c r="L28" s="277"/>
      <c r="M28" s="277"/>
    </row>
    <row r="29" spans="1:13" x14ac:dyDescent="0.25">
      <c r="A29" s="90" t="s">
        <v>187</v>
      </c>
      <c r="B29" s="129">
        <v>0.121</v>
      </c>
      <c r="D29" s="134" t="s">
        <v>25</v>
      </c>
      <c r="E29" s="134" t="s">
        <v>297</v>
      </c>
      <c r="F29" s="134" t="s">
        <v>298</v>
      </c>
      <c r="G29" s="134" t="s">
        <v>301</v>
      </c>
      <c r="J29" s="277"/>
      <c r="K29" s="277"/>
      <c r="L29" s="277"/>
      <c r="M29" s="277"/>
    </row>
    <row r="30" spans="1:13" x14ac:dyDescent="0.25">
      <c r="A30" s="90" t="s">
        <v>84</v>
      </c>
      <c r="B30" s="129">
        <v>0.21590000000000001</v>
      </c>
      <c r="D30" s="122" t="s">
        <v>299</v>
      </c>
      <c r="E30" s="137">
        <f>E22/(SUM(E$22:E$25))*SUM(E$22:E$25)</f>
        <v>139791</v>
      </c>
      <c r="F30" s="138">
        <f>F22/(SUM(F$22:F$25)) * B$3*B$11</f>
        <v>920477</v>
      </c>
      <c r="G30" s="137">
        <f>G22/(SUM(G$22:G$25)) *B$3*B$12</f>
        <v>7246</v>
      </c>
      <c r="J30" s="277"/>
      <c r="K30" s="277"/>
      <c r="L30" s="277"/>
      <c r="M30" s="277"/>
    </row>
    <row r="31" spans="1:13" x14ac:dyDescent="0.25">
      <c r="A31" s="64" t="s">
        <v>76</v>
      </c>
      <c r="B31" s="91">
        <v>8.9599999999999999E-2</v>
      </c>
      <c r="D31" s="122" t="s">
        <v>300</v>
      </c>
      <c r="E31" s="137">
        <f>E23/(SUM(E$22:E$25))*SUM(E$22:E$25)</f>
        <v>36647</v>
      </c>
      <c r="F31" s="138">
        <f>F23/(SUM(F$22:F$25)) * B$3*B$11</f>
        <v>137493.00000000003</v>
      </c>
      <c r="G31" s="137">
        <f>G23/(SUM(G$22:G$25)) *B$3*B$12</f>
        <v>34</v>
      </c>
      <c r="J31" s="277"/>
      <c r="K31" s="277"/>
      <c r="L31" s="277"/>
      <c r="M31" s="277"/>
    </row>
    <row r="32" spans="1:13" x14ac:dyDescent="0.25">
      <c r="A32" s="64" t="s">
        <v>77</v>
      </c>
      <c r="B32" s="91">
        <v>6.1899999999999997E-2</v>
      </c>
      <c r="D32" s="122" t="s">
        <v>158</v>
      </c>
      <c r="E32" s="137">
        <f>E24/(SUM(E$22:E$25))*SUM(E$22:E$25)</f>
        <v>19841</v>
      </c>
      <c r="F32" s="138">
        <f>F24/(SUM(F$22:F$25)) * B$3*B$11</f>
        <v>28070.999999999996</v>
      </c>
      <c r="G32" s="137">
        <f>G24/(SUM(G$22:G$25)) *B$3*B$12</f>
        <v>27</v>
      </c>
      <c r="J32" s="277"/>
      <c r="K32" s="277"/>
      <c r="L32" s="277"/>
      <c r="M32" s="277"/>
    </row>
    <row r="33" spans="1:13" x14ac:dyDescent="0.25">
      <c r="A33" s="64" t="s">
        <v>78</v>
      </c>
      <c r="B33" s="91">
        <v>8.7599999999999997E-2</v>
      </c>
      <c r="D33" s="122" t="s">
        <v>85</v>
      </c>
      <c r="E33" s="137">
        <f>E25/(SUM(E$22:E$25))*SUM(E$22:E$25)</f>
        <v>778806</v>
      </c>
      <c r="F33" s="138">
        <f>F25/(SUM(F$22:F$25)) * B$3*B$11</f>
        <v>543487.00000000012</v>
      </c>
      <c r="G33" s="137">
        <f>G25/(SUM(G$22:G$25)) *B$3*B$12</f>
        <v>1038</v>
      </c>
      <c r="J33" s="277"/>
      <c r="K33" s="277"/>
      <c r="L33" s="277"/>
      <c r="M33" s="277"/>
    </row>
    <row r="34" spans="1:13" x14ac:dyDescent="0.25">
      <c r="A34" s="64" t="s">
        <v>79</v>
      </c>
      <c r="B34" s="91">
        <v>4.19E-2</v>
      </c>
      <c r="J34" s="278"/>
      <c r="K34" s="145"/>
      <c r="L34" s="145"/>
      <c r="M34" s="336"/>
    </row>
    <row r="35" spans="1:13" x14ac:dyDescent="0.25">
      <c r="A35" s="64" t="s">
        <v>80</v>
      </c>
      <c r="B35" s="91">
        <v>0.23050000000000001</v>
      </c>
      <c r="J35" s="278"/>
      <c r="K35" s="145"/>
      <c r="L35" s="145"/>
      <c r="M35" s="336"/>
    </row>
    <row r="36" spans="1:13" x14ac:dyDescent="0.25">
      <c r="A36" s="64" t="s">
        <v>81</v>
      </c>
      <c r="B36" s="91">
        <v>0.122</v>
      </c>
      <c r="J36" s="278"/>
      <c r="K36" s="145"/>
      <c r="L36" s="274"/>
      <c r="M36" s="336"/>
    </row>
    <row r="37" spans="1:13" x14ac:dyDescent="0.25">
      <c r="A37" s="52" t="s">
        <v>182</v>
      </c>
      <c r="B37" s="26"/>
      <c r="J37" s="278"/>
      <c r="K37" s="145"/>
      <c r="L37" s="145"/>
      <c r="M37" s="336"/>
    </row>
    <row r="38" spans="1:13" x14ac:dyDescent="0.25">
      <c r="A38" s="51" t="s">
        <v>75</v>
      </c>
      <c r="B38" s="92">
        <v>69000000</v>
      </c>
      <c r="C38" s="89"/>
      <c r="J38" s="278"/>
      <c r="K38" s="274"/>
      <c r="L38" s="274"/>
      <c r="M38" s="336"/>
    </row>
    <row r="39" spans="1:13" x14ac:dyDescent="0.25">
      <c r="A39" s="64" t="s">
        <v>83</v>
      </c>
      <c r="B39" s="91">
        <v>0</v>
      </c>
      <c r="J39" s="278"/>
      <c r="K39" s="145"/>
      <c r="L39" s="145"/>
      <c r="M39" s="336"/>
    </row>
    <row r="40" spans="1:13" x14ac:dyDescent="0.25">
      <c r="A40" s="64" t="s">
        <v>8</v>
      </c>
      <c r="B40" s="91">
        <v>1.4E-2</v>
      </c>
      <c r="J40" s="278"/>
      <c r="K40" s="337"/>
      <c r="L40" s="337"/>
      <c r="M40" s="337"/>
    </row>
    <row r="41" spans="1:13" x14ac:dyDescent="0.25">
      <c r="A41" s="64" t="s">
        <v>187</v>
      </c>
      <c r="B41" s="91">
        <v>0</v>
      </c>
      <c r="J41" s="276"/>
      <c r="K41" s="145"/>
      <c r="L41" s="145"/>
      <c r="M41" s="336"/>
    </row>
    <row r="42" spans="1:13" x14ac:dyDescent="0.25">
      <c r="A42" s="64" t="s">
        <v>84</v>
      </c>
      <c r="B42" s="91">
        <v>0</v>
      </c>
      <c r="J42" s="276"/>
      <c r="K42" s="145"/>
      <c r="L42" s="145"/>
      <c r="M42" s="336"/>
    </row>
    <row r="43" spans="1:13" x14ac:dyDescent="0.25">
      <c r="A43" s="64" t="s">
        <v>76</v>
      </c>
      <c r="B43" s="91">
        <v>6.0600000000000001E-2</v>
      </c>
      <c r="J43" s="276"/>
      <c r="K43" s="145"/>
      <c r="L43" s="145"/>
      <c r="M43" s="336"/>
    </row>
    <row r="44" spans="1:13" x14ac:dyDescent="0.25">
      <c r="A44" s="64" t="s">
        <v>77</v>
      </c>
      <c r="B44" s="91">
        <v>4.4900000000000002E-2</v>
      </c>
      <c r="J44" s="276"/>
      <c r="K44" s="145"/>
      <c r="L44" s="145"/>
      <c r="M44" s="336"/>
    </row>
    <row r="45" spans="1:13" x14ac:dyDescent="0.25">
      <c r="A45" s="64" t="s">
        <v>78</v>
      </c>
      <c r="B45" s="91">
        <v>0.1263</v>
      </c>
      <c r="J45" s="276"/>
      <c r="K45" s="145"/>
      <c r="L45" s="145"/>
      <c r="M45" s="336"/>
    </row>
    <row r="46" spans="1:13" x14ac:dyDescent="0.25">
      <c r="A46" s="64" t="s">
        <v>79</v>
      </c>
      <c r="B46" s="91">
        <v>4.4299999999999999E-2</v>
      </c>
      <c r="J46" s="276"/>
      <c r="K46" s="145"/>
      <c r="L46" s="145"/>
      <c r="M46" s="336"/>
    </row>
    <row r="47" spans="1:13" x14ac:dyDescent="0.25">
      <c r="A47" s="64" t="s">
        <v>80</v>
      </c>
      <c r="B47" s="91">
        <v>0.66600000000000004</v>
      </c>
      <c r="J47" s="276"/>
      <c r="K47" s="145"/>
      <c r="L47" s="145"/>
      <c r="M47" s="336"/>
    </row>
    <row r="48" spans="1:13" x14ac:dyDescent="0.25">
      <c r="A48" s="64" t="s">
        <v>81</v>
      </c>
      <c r="B48" s="91">
        <v>4.3799999999999999E-2</v>
      </c>
      <c r="J48" s="276"/>
      <c r="K48" s="145"/>
      <c r="L48" s="145"/>
      <c r="M48" s="336"/>
    </row>
    <row r="49" spans="1:13" x14ac:dyDescent="0.25">
      <c r="A49" s="52" t="s">
        <v>185</v>
      </c>
      <c r="B49" s="26"/>
      <c r="J49" s="276"/>
      <c r="K49" s="145"/>
      <c r="L49" s="145"/>
      <c r="M49" s="336"/>
    </row>
    <row r="50" spans="1:13" x14ac:dyDescent="0.25">
      <c r="A50" s="51" t="s">
        <v>186</v>
      </c>
      <c r="B50" s="92">
        <v>34560000</v>
      </c>
      <c r="J50" s="276"/>
      <c r="K50" s="145"/>
      <c r="L50" s="145"/>
      <c r="M50" s="336"/>
    </row>
    <row r="51" spans="1:13" x14ac:dyDescent="0.25">
      <c r="A51" s="90" t="s">
        <v>83</v>
      </c>
      <c r="B51" s="91">
        <v>2.3E-2</v>
      </c>
      <c r="J51" s="276"/>
      <c r="K51" s="145"/>
      <c r="L51" s="145"/>
      <c r="M51" s="336"/>
    </row>
    <row r="52" spans="1:13" x14ac:dyDescent="0.25">
      <c r="A52" s="90" t="s">
        <v>8</v>
      </c>
      <c r="B52" s="91">
        <v>1.9E-2</v>
      </c>
      <c r="J52" s="277"/>
      <c r="K52" s="277"/>
      <c r="L52" s="277"/>
      <c r="M52" s="277"/>
    </row>
    <row r="53" spans="1:13" x14ac:dyDescent="0.25">
      <c r="A53" s="90" t="s">
        <v>187</v>
      </c>
      <c r="B53" s="91">
        <v>7.3999999999999996E-2</v>
      </c>
    </row>
    <row r="54" spans="1:13" x14ac:dyDescent="0.25">
      <c r="A54" s="90" t="s">
        <v>84</v>
      </c>
      <c r="B54" s="91">
        <v>0.218</v>
      </c>
    </row>
    <row r="55" spans="1:13" x14ac:dyDescent="0.25">
      <c r="A55" s="64" t="s">
        <v>76</v>
      </c>
      <c r="B55" s="91">
        <v>0.16600000000000001</v>
      </c>
    </row>
    <row r="56" spans="1:13" x14ac:dyDescent="0.25">
      <c r="A56" s="64" t="s">
        <v>77</v>
      </c>
      <c r="B56" s="91">
        <v>8.2000000000000003E-2</v>
      </c>
    </row>
    <row r="57" spans="1:13" x14ac:dyDescent="0.25">
      <c r="A57" s="64" t="s">
        <v>78</v>
      </c>
      <c r="B57" s="91">
        <v>8.5000000000000006E-2</v>
      </c>
    </row>
    <row r="58" spans="1:13" x14ac:dyDescent="0.25">
      <c r="A58" s="64" t="s">
        <v>79</v>
      </c>
      <c r="B58" s="91">
        <v>4.7E-2</v>
      </c>
    </row>
    <row r="59" spans="1:13" x14ac:dyDescent="0.25">
      <c r="A59" s="64" t="s">
        <v>80</v>
      </c>
      <c r="B59" s="91">
        <v>0.122</v>
      </c>
    </row>
    <row r="60" spans="1:13" x14ac:dyDescent="0.25">
      <c r="A60" s="64" t="s">
        <v>81</v>
      </c>
      <c r="B60" s="18">
        <v>0.16300000000000001</v>
      </c>
      <c r="J60" s="276"/>
      <c r="K60" s="145"/>
      <c r="L60" s="145"/>
      <c r="M60" s="277"/>
    </row>
    <row r="61" spans="1:13" x14ac:dyDescent="0.25">
      <c r="A61" s="52" t="s">
        <v>184</v>
      </c>
      <c r="B61" s="26"/>
    </row>
    <row r="62" spans="1:13" x14ac:dyDescent="0.25">
      <c r="A62" s="51" t="s">
        <v>188</v>
      </c>
      <c r="B62" s="92">
        <v>146180000</v>
      </c>
    </row>
    <row r="63" spans="1:13" x14ac:dyDescent="0.25">
      <c r="A63" s="90" t="s">
        <v>83</v>
      </c>
      <c r="B63" s="91">
        <v>2.1999999999999999E-2</v>
      </c>
      <c r="C63" s="1"/>
    </row>
    <row r="64" spans="1:13" x14ac:dyDescent="0.25">
      <c r="A64" s="90" t="s">
        <v>8</v>
      </c>
      <c r="B64" s="91">
        <v>0.02</v>
      </c>
      <c r="C64" s="1"/>
    </row>
    <row r="65" spans="1:13" x14ac:dyDescent="0.25">
      <c r="A65" s="90" t="s">
        <v>187</v>
      </c>
      <c r="B65" s="91">
        <v>7.1999999999999995E-2</v>
      </c>
      <c r="C65" s="1"/>
    </row>
    <row r="66" spans="1:13" x14ac:dyDescent="0.25">
      <c r="A66" s="90" t="s">
        <v>84</v>
      </c>
      <c r="B66" s="91">
        <v>0.24099999999999999</v>
      </c>
      <c r="C66" s="1"/>
    </row>
    <row r="67" spans="1:13" x14ac:dyDescent="0.25">
      <c r="A67" s="64" t="s">
        <v>76</v>
      </c>
      <c r="B67" s="91">
        <v>0.111</v>
      </c>
      <c r="C67" s="1"/>
    </row>
    <row r="68" spans="1:13" x14ac:dyDescent="0.25">
      <c r="A68" s="64" t="s">
        <v>77</v>
      </c>
      <c r="B68" s="91">
        <v>8.3000000000000004E-2</v>
      </c>
      <c r="C68" s="1"/>
    </row>
    <row r="69" spans="1:13" x14ac:dyDescent="0.25">
      <c r="A69" s="64" t="s">
        <v>78</v>
      </c>
      <c r="B69" s="91">
        <v>9.5000000000000001E-2</v>
      </c>
      <c r="C69" s="1"/>
    </row>
    <row r="70" spans="1:13" x14ac:dyDescent="0.25">
      <c r="A70" s="64" t="s">
        <v>79</v>
      </c>
      <c r="B70" s="91">
        <v>5.1999999999999998E-2</v>
      </c>
      <c r="C70" s="1"/>
    </row>
    <row r="71" spans="1:13" x14ac:dyDescent="0.25">
      <c r="A71" s="64" t="s">
        <v>80</v>
      </c>
      <c r="B71" s="91">
        <v>0.11799999999999999</v>
      </c>
      <c r="C71" s="1"/>
    </row>
    <row r="72" spans="1:13" x14ac:dyDescent="0.25">
      <c r="A72" s="64" t="s">
        <v>81</v>
      </c>
      <c r="B72" s="18">
        <v>0.185</v>
      </c>
      <c r="C72" s="1"/>
    </row>
    <row r="73" spans="1:13" x14ac:dyDescent="0.25">
      <c r="A73" s="52" t="s">
        <v>189</v>
      </c>
      <c r="B73" s="26"/>
    </row>
    <row r="74" spans="1:13" x14ac:dyDescent="0.25">
      <c r="A74" s="51" t="s">
        <v>190</v>
      </c>
      <c r="B74" s="92">
        <v>42600000</v>
      </c>
    </row>
    <row r="75" spans="1:13" x14ac:dyDescent="0.25">
      <c r="A75" s="90" t="s">
        <v>83</v>
      </c>
      <c r="B75" s="91">
        <v>0</v>
      </c>
    </row>
    <row r="76" spans="1:13" x14ac:dyDescent="0.25">
      <c r="A76" s="90" t="s">
        <v>8</v>
      </c>
      <c r="B76" s="91">
        <v>0</v>
      </c>
    </row>
    <row r="77" spans="1:13" x14ac:dyDescent="0.25">
      <c r="A77" s="90" t="s">
        <v>187</v>
      </c>
      <c r="B77" s="91">
        <v>0.52300000000000002</v>
      </c>
    </row>
    <row r="78" spans="1:13" x14ac:dyDescent="0.25">
      <c r="A78" s="90" t="s">
        <v>84</v>
      </c>
      <c r="B78" s="91">
        <v>0.47699999999999998</v>
      </c>
    </row>
    <row r="79" spans="1:13" x14ac:dyDescent="0.25">
      <c r="A79" s="64" t="s">
        <v>76</v>
      </c>
      <c r="B79" s="91">
        <v>0</v>
      </c>
      <c r="J79" s="276"/>
      <c r="K79" s="145"/>
      <c r="L79" s="145"/>
      <c r="M79" s="277"/>
    </row>
    <row r="80" spans="1:13" x14ac:dyDescent="0.25">
      <c r="A80" s="64" t="s">
        <v>77</v>
      </c>
      <c r="B80" s="91">
        <v>0</v>
      </c>
      <c r="J80" s="278"/>
      <c r="K80" s="145"/>
      <c r="L80" s="145"/>
      <c r="M80" s="277"/>
    </row>
    <row r="81" spans="1:13" x14ac:dyDescent="0.25">
      <c r="A81" s="64" t="s">
        <v>78</v>
      </c>
      <c r="B81" s="91">
        <v>0</v>
      </c>
      <c r="J81" s="278"/>
      <c r="K81" s="145"/>
      <c r="L81" s="145"/>
      <c r="M81" s="277"/>
    </row>
    <row r="82" spans="1:13" x14ac:dyDescent="0.25">
      <c r="A82" s="64" t="s">
        <v>79</v>
      </c>
      <c r="B82" s="91">
        <v>0</v>
      </c>
      <c r="J82" s="278"/>
      <c r="K82" s="145"/>
      <c r="L82" s="145"/>
      <c r="M82" s="277"/>
    </row>
    <row r="83" spans="1:13" x14ac:dyDescent="0.25">
      <c r="A83" s="64" t="s">
        <v>80</v>
      </c>
      <c r="B83" s="91">
        <v>0</v>
      </c>
      <c r="J83" s="278"/>
      <c r="K83" s="145"/>
      <c r="L83" s="145"/>
      <c r="M83" s="277"/>
    </row>
    <row r="84" spans="1:13" x14ac:dyDescent="0.25">
      <c r="A84" s="64" t="s">
        <v>81</v>
      </c>
      <c r="B84" s="91">
        <v>0</v>
      </c>
      <c r="J84" s="278"/>
      <c r="K84" s="274"/>
      <c r="L84" s="274"/>
      <c r="M84" s="277"/>
    </row>
    <row r="85" spans="1:13" x14ac:dyDescent="0.25">
      <c r="A85" s="52" t="s">
        <v>284</v>
      </c>
      <c r="B85" s="38"/>
      <c r="C85" s="93" t="s">
        <v>203</v>
      </c>
      <c r="J85" s="278"/>
      <c r="K85" s="145"/>
      <c r="L85" s="145"/>
      <c r="M85" s="277"/>
    </row>
    <row r="86" spans="1:13" x14ac:dyDescent="0.25">
      <c r="A86" s="51" t="s">
        <v>280</v>
      </c>
      <c r="B86" s="17">
        <v>230</v>
      </c>
      <c r="C86" t="s">
        <v>204</v>
      </c>
    </row>
    <row r="87" spans="1:13" x14ac:dyDescent="0.25">
      <c r="A87" s="51" t="s">
        <v>281</v>
      </c>
      <c r="B87" s="32">
        <f>B86*'US Mat Flow Analysis 2018'!K41</f>
        <v>67159320504.458252</v>
      </c>
      <c r="C87" t="s">
        <v>205</v>
      </c>
    </row>
    <row r="88" spans="1:13" x14ac:dyDescent="0.25">
      <c r="A88" s="51" t="s">
        <v>282</v>
      </c>
      <c r="B88" s="49">
        <f>B87*0.00110231</f>
        <v>74030390.585269377</v>
      </c>
      <c r="C88" t="s">
        <v>283</v>
      </c>
    </row>
    <row r="89" spans="1:13" x14ac:dyDescent="0.25">
      <c r="A89" s="52" t="s">
        <v>209</v>
      </c>
      <c r="B89" s="94"/>
    </row>
    <row r="90" spans="1:13" x14ac:dyDescent="0.25">
      <c r="A90" s="51" t="s">
        <v>207</v>
      </c>
      <c r="B90" s="96">
        <v>109000000</v>
      </c>
      <c r="C90" s="43" t="s">
        <v>206</v>
      </c>
    </row>
    <row r="91" spans="1:13" x14ac:dyDescent="0.25">
      <c r="A91" s="51" t="s">
        <v>208</v>
      </c>
      <c r="B91" s="95">
        <f>B90*1.10231131</f>
        <v>120151932.78999999</v>
      </c>
    </row>
    <row r="92" spans="1:13" x14ac:dyDescent="0.25">
      <c r="A92" s="52" t="s">
        <v>113</v>
      </c>
      <c r="B92" s="38"/>
      <c r="C92" s="43"/>
    </row>
    <row r="93" spans="1:13" x14ac:dyDescent="0.25">
      <c r="A93" s="51" t="s">
        <v>222</v>
      </c>
      <c r="B93" s="102">
        <v>2.5000000000000001E-3</v>
      </c>
      <c r="C93" t="s">
        <v>223</v>
      </c>
    </row>
    <row r="94" spans="1:13" x14ac:dyDescent="0.25">
      <c r="A94" s="51" t="s">
        <v>224</v>
      </c>
      <c r="B94" s="42">
        <f>B93*'US Mat Flow Analysis 2018'!E41</f>
        <v>89150.028011204515</v>
      </c>
    </row>
    <row r="95" spans="1:13" x14ac:dyDescent="0.25">
      <c r="A95" s="98" t="s">
        <v>221</v>
      </c>
      <c r="B95" s="38"/>
      <c r="C95" s="43" t="s">
        <v>118</v>
      </c>
    </row>
    <row r="96" spans="1:13" x14ac:dyDescent="0.25">
      <c r="A96" s="97" t="s">
        <v>116</v>
      </c>
      <c r="B96" s="18">
        <v>6500000</v>
      </c>
    </row>
    <row r="97" spans="1:3" x14ac:dyDescent="0.25">
      <c r="A97" s="97" t="s">
        <v>114</v>
      </c>
      <c r="B97" s="18">
        <v>34480000</v>
      </c>
    </row>
    <row r="98" spans="1:3" x14ac:dyDescent="0.25">
      <c r="A98" s="97" t="s">
        <v>115</v>
      </c>
      <c r="B98" s="32">
        <f>B3</f>
        <v>35680000</v>
      </c>
    </row>
    <row r="99" spans="1:3" x14ac:dyDescent="0.25">
      <c r="A99" s="97" t="s">
        <v>117</v>
      </c>
      <c r="B99" s="42">
        <f>(B96/B97)*B98</f>
        <v>6726218.0974477958</v>
      </c>
    </row>
    <row r="100" spans="1:3" x14ac:dyDescent="0.25">
      <c r="A100" s="52" t="s">
        <v>129</v>
      </c>
      <c r="B100" s="38"/>
    </row>
    <row r="101" spans="1:3" x14ac:dyDescent="0.25">
      <c r="A101" s="51" t="s">
        <v>130</v>
      </c>
      <c r="B101" s="45">
        <f>'Stream 6 - PWaste Generated'!M28</f>
        <v>4.1377546020165273E-4</v>
      </c>
    </row>
    <row r="102" spans="1:3" x14ac:dyDescent="0.25">
      <c r="A102" s="51" t="s">
        <v>131</v>
      </c>
      <c r="B102" s="28">
        <f>'US Mat Flow Analysis 2018'!Y41</f>
        <v>281515.62102400052</v>
      </c>
    </row>
    <row r="103" spans="1:3" x14ac:dyDescent="0.25">
      <c r="A103" s="51" t="s">
        <v>132</v>
      </c>
      <c r="B103" s="28">
        <f>B102/B101</f>
        <v>680358426.49248552</v>
      </c>
    </row>
    <row r="104" spans="1:3" x14ac:dyDescent="0.25">
      <c r="A104" s="51" t="s">
        <v>134</v>
      </c>
      <c r="B104" s="46">
        <v>0.01</v>
      </c>
      <c r="C104" s="43" t="s">
        <v>133</v>
      </c>
    </row>
    <row r="105" spans="1:3" x14ac:dyDescent="0.25">
      <c r="A105" s="51" t="s">
        <v>135</v>
      </c>
      <c r="B105" s="39">
        <f>B103*B104</f>
        <v>6803584.264924855</v>
      </c>
    </row>
    <row r="106" spans="1:3" x14ac:dyDescent="0.25">
      <c r="A106" s="51" t="s">
        <v>136</v>
      </c>
      <c r="B106" s="47">
        <f>2.05*0.0000011023</f>
        <v>2.2597149999999999E-6</v>
      </c>
      <c r="C106" t="s">
        <v>137</v>
      </c>
    </row>
    <row r="107" spans="1:3" x14ac:dyDescent="0.25">
      <c r="A107" s="51" t="s">
        <v>138</v>
      </c>
      <c r="B107" s="48">
        <f>B106*B105</f>
        <v>15.374161417214669</v>
      </c>
    </row>
    <row r="108" spans="1:3" x14ac:dyDescent="0.25">
      <c r="A108" s="52" t="s">
        <v>140</v>
      </c>
      <c r="B108" s="38"/>
    </row>
    <row r="109" spans="1:3" x14ac:dyDescent="0.25">
      <c r="A109" s="51" t="s">
        <v>141</v>
      </c>
      <c r="B109" s="17">
        <v>109000000</v>
      </c>
      <c r="C109" t="s">
        <v>142</v>
      </c>
    </row>
    <row r="110" spans="1:3" x14ac:dyDescent="0.25">
      <c r="A110" s="51" t="s">
        <v>143</v>
      </c>
      <c r="B110" s="49">
        <f>B109*1.10231</f>
        <v>120151789.99999999</v>
      </c>
    </row>
    <row r="111" spans="1:3" x14ac:dyDescent="0.25">
      <c r="A111" s="52" t="s">
        <v>233</v>
      </c>
      <c r="B111" s="38"/>
      <c r="C111" t="s">
        <v>230</v>
      </c>
    </row>
    <row r="112" spans="1:3" x14ac:dyDescent="0.25">
      <c r="A112" s="51" t="s">
        <v>236</v>
      </c>
      <c r="B112" s="17">
        <v>630000000</v>
      </c>
      <c r="C112" t="s">
        <v>232</v>
      </c>
    </row>
    <row r="113" spans="1:3" x14ac:dyDescent="0.25">
      <c r="A113" s="51" t="s">
        <v>234</v>
      </c>
      <c r="B113" s="106">
        <v>0.15</v>
      </c>
      <c r="C113" t="s">
        <v>235</v>
      </c>
    </row>
    <row r="114" spans="1:3" x14ac:dyDescent="0.25">
      <c r="A114" s="51" t="s">
        <v>231</v>
      </c>
      <c r="B114" s="49">
        <f>B112*B113</f>
        <v>94500000</v>
      </c>
    </row>
  </sheetData>
  <hyperlinks>
    <hyperlink ref="C104" r:id="rId1" display="https://www.nap.edu/read/9190/chapter/6" xr:uid="{00000000-0004-0000-0300-000000000000}"/>
    <hyperlink ref="G1" r:id="rId2" location=":~:text=In%202018%2C%20plastic%20products%20generation,to%2012.2%20percent%20in%202018." xr:uid="{00000000-0004-0000-0300-000001000000}"/>
    <hyperlink ref="C90" r:id="rId3" location="/facility/?q=Find%20a%20Facility%20or%20Location&amp;st=&amp;bs=&amp;et=&amp;fid=&amp;sf=11001000&amp;lowE=0&amp;highE=23000000&amp;g1=1&amp;g2=1&amp;g3=1&amp;g4=1&amp;g5=1&amp;g6=0&amp;g7=1&amp;g8=1&amp;g9=1&amp;g10=1&amp;g11=1&amp;g12=1&amp;s1=1&amp;s2=1&amp;s3=0&amp;s4=1&amp;s5=1&amp;s6=1&amp;s7=1&amp;s8=1&amp;s9=1&amp;s10=1&amp;s201=" xr:uid="{00000000-0004-0000-0300-000002000000}"/>
    <hyperlink ref="C95" r:id="rId4" xr:uid="{00000000-0004-0000-0300-000003000000}"/>
  </hyperlinks>
  <pageMargins left="0.7" right="0.7" top="0.75" bottom="0.75" header="0.3" footer="0.3"/>
  <pageSetup orientation="portrait" r:id="rId5"/>
  <drawing r:id="rId6"/>
  <legacyDrawing r:id="rId7"/>
  <oleObjects>
    <mc:AlternateContent xmlns:mc="http://schemas.openxmlformats.org/markup-compatibility/2006">
      <mc:Choice Requires="x14">
        <oleObject progId="Visio.Drawing.15" shapeId="2049" r:id="rId8">
          <objectPr defaultSize="0" autoPict="0" r:id="rId9">
            <anchor moveWithCells="1" sizeWithCells="1">
              <from>
                <xdr:col>2</xdr:col>
                <xdr:colOff>638175</xdr:colOff>
                <xdr:row>50</xdr:row>
                <xdr:rowOff>9525</xdr:rowOff>
              </from>
              <to>
                <xdr:col>9</xdr:col>
                <xdr:colOff>1190625</xdr:colOff>
                <xdr:row>93</xdr:row>
                <xdr:rowOff>57150</xdr:rowOff>
              </to>
            </anchor>
          </objectPr>
        </oleObject>
      </mc:Choice>
      <mc:Fallback>
        <oleObject progId="Visio.Drawing.15" shapeId="2049" r:id="rId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29"/>
  <sheetViews>
    <sheetView topLeftCell="A4" workbookViewId="0">
      <selection activeCell="L17" sqref="L17"/>
    </sheetView>
  </sheetViews>
  <sheetFormatPr defaultRowHeight="15" x14ac:dyDescent="0.25"/>
  <cols>
    <col min="1" max="1" width="11.42578125" bestFit="1" customWidth="1"/>
    <col min="2" max="2" width="26.7109375" customWidth="1"/>
    <col min="3" max="3" width="32.5703125" customWidth="1"/>
    <col min="4" max="4" width="23" customWidth="1"/>
    <col min="5" max="5" width="22.42578125" customWidth="1"/>
    <col min="6" max="6" width="30.7109375" customWidth="1"/>
    <col min="7" max="7" width="29.140625" customWidth="1"/>
    <col min="8" max="8" width="22.42578125" bestFit="1" customWidth="1"/>
    <col min="9" max="9" width="12.7109375" customWidth="1"/>
    <col min="10" max="11" width="14.140625" customWidth="1"/>
    <col min="12" max="12" width="25.28515625" customWidth="1"/>
  </cols>
  <sheetData>
    <row r="1" spans="2:14" s="54" customFormat="1" x14ac:dyDescent="0.25"/>
    <row r="2" spans="2:14" ht="27" customHeight="1" x14ac:dyDescent="0.25">
      <c r="B2" s="309" t="s">
        <v>380</v>
      </c>
      <c r="C2" s="309"/>
      <c r="D2" s="309"/>
      <c r="E2" s="309"/>
      <c r="F2" s="309"/>
      <c r="G2" s="309"/>
      <c r="H2" s="309"/>
      <c r="I2" s="309"/>
      <c r="J2" s="309"/>
      <c r="K2" s="309"/>
      <c r="L2" s="309"/>
      <c r="M2" s="309"/>
      <c r="N2" s="309"/>
    </row>
    <row r="3" spans="2:14" ht="65.25" customHeight="1" thickBot="1" x14ac:dyDescent="0.3">
      <c r="B3" s="310" t="s">
        <v>375</v>
      </c>
      <c r="C3" s="310"/>
      <c r="D3" s="310"/>
      <c r="E3" s="310"/>
      <c r="F3" s="310"/>
      <c r="G3" s="310"/>
      <c r="H3" s="310"/>
      <c r="I3" s="310"/>
      <c r="J3" s="310"/>
      <c r="K3" s="310"/>
      <c r="L3" s="310"/>
      <c r="M3" s="310"/>
      <c r="N3" s="310"/>
    </row>
    <row r="4" spans="2:14" ht="62.25" customHeight="1" thickBot="1" x14ac:dyDescent="0.3">
      <c r="B4" s="311" t="s">
        <v>376</v>
      </c>
      <c r="C4" s="312"/>
      <c r="D4" s="312"/>
      <c r="E4" s="312"/>
      <c r="F4" s="312"/>
      <c r="G4" s="312"/>
      <c r="H4" s="312"/>
      <c r="I4" s="312"/>
      <c r="J4" s="312"/>
      <c r="K4" s="312"/>
      <c r="L4" s="312"/>
      <c r="M4" s="312"/>
      <c r="N4" s="313"/>
    </row>
    <row r="5" spans="2:14" ht="23.25" x14ac:dyDescent="0.25">
      <c r="B5" s="175" t="s">
        <v>348</v>
      </c>
      <c r="C5" s="176" t="s">
        <v>349</v>
      </c>
      <c r="D5" s="177" t="s">
        <v>350</v>
      </c>
      <c r="E5" s="177" t="s">
        <v>351</v>
      </c>
      <c r="F5" s="177" t="s">
        <v>352</v>
      </c>
      <c r="G5" s="177" t="s">
        <v>353</v>
      </c>
      <c r="H5" s="177" t="s">
        <v>354</v>
      </c>
      <c r="I5" s="177" t="s">
        <v>355</v>
      </c>
      <c r="J5" s="177" t="s">
        <v>356</v>
      </c>
      <c r="K5" s="177" t="s">
        <v>357</v>
      </c>
      <c r="L5" s="177" t="s">
        <v>509</v>
      </c>
      <c r="M5" s="177" t="s">
        <v>144</v>
      </c>
      <c r="N5" s="177" t="s">
        <v>358</v>
      </c>
    </row>
    <row r="6" spans="2:14" x14ac:dyDescent="0.25">
      <c r="B6" s="178"/>
      <c r="C6" s="178" t="s">
        <v>359</v>
      </c>
      <c r="D6" s="179" t="s">
        <v>27</v>
      </c>
      <c r="E6" s="179" t="s">
        <v>28</v>
      </c>
      <c r="F6" s="179" t="s">
        <v>29</v>
      </c>
      <c r="G6" s="179" t="s">
        <v>122</v>
      </c>
      <c r="H6" s="179" t="s">
        <v>31</v>
      </c>
      <c r="I6" s="179" t="s">
        <v>32</v>
      </c>
      <c r="J6" s="179" t="s">
        <v>33</v>
      </c>
      <c r="K6" s="179" t="s">
        <v>8</v>
      </c>
      <c r="L6" s="179" t="s">
        <v>510</v>
      </c>
      <c r="M6" s="180"/>
      <c r="N6" s="178"/>
    </row>
    <row r="7" spans="2:14" x14ac:dyDescent="0.25">
      <c r="B7" s="178"/>
      <c r="C7" s="178" t="s">
        <v>360</v>
      </c>
      <c r="D7" s="181">
        <f>H21</f>
        <v>0.686409433983734</v>
      </c>
      <c r="E7" s="181">
        <f>H22</f>
        <v>0.69180471655055031</v>
      </c>
      <c r="F7" s="181">
        <f>H23</f>
        <v>0.88466846863317594</v>
      </c>
      <c r="G7" s="181">
        <f>H24</f>
        <v>0.70960317864575551</v>
      </c>
      <c r="H7" s="181">
        <f>H25</f>
        <v>0</v>
      </c>
      <c r="I7" s="181">
        <f>H26</f>
        <v>0.65488728000000007</v>
      </c>
      <c r="J7" s="181">
        <f>H27</f>
        <v>0.88171793775742557</v>
      </c>
      <c r="K7" s="181">
        <f>H28</f>
        <v>0.92494035326327795</v>
      </c>
      <c r="L7" s="181"/>
      <c r="M7" s="182"/>
      <c r="N7" s="178"/>
    </row>
    <row r="8" spans="2:14" x14ac:dyDescent="0.25">
      <c r="B8" s="178"/>
      <c r="C8" s="178" t="s">
        <v>361</v>
      </c>
      <c r="D8" s="183">
        <f>'US 2018 Facts - Sensitivity'!$B$6</f>
        <v>0.66700000000000004</v>
      </c>
      <c r="E8" s="183">
        <f>'US 2018 Facts - Sensitivity'!$B$6</f>
        <v>0.66700000000000004</v>
      </c>
      <c r="F8" s="183">
        <f>'US 2018 Facts - Sensitivity'!$B$6</f>
        <v>0.66700000000000004</v>
      </c>
      <c r="G8" s="183">
        <f>'US 2018 Facts - Sensitivity'!$B$6</f>
        <v>0.66700000000000004</v>
      </c>
      <c r="H8" s="183">
        <f>'US 2018 Facts - Sensitivity'!$B$6</f>
        <v>0.66700000000000004</v>
      </c>
      <c r="I8" s="183">
        <f>'US 2018 Facts - Sensitivity'!$B$6</f>
        <v>0.66700000000000004</v>
      </c>
      <c r="J8" s="183">
        <f>'US 2018 Facts - Sensitivity'!$B$6</f>
        <v>0.66700000000000004</v>
      </c>
      <c r="K8" s="183">
        <f>'US 2018 Facts - Sensitivity'!$B$6</f>
        <v>0.66700000000000004</v>
      </c>
      <c r="L8" s="183">
        <f>'US 2018 Facts - Sensitivity'!B8</f>
        <v>0.87019999999999997</v>
      </c>
      <c r="M8" s="182"/>
      <c r="N8" s="178"/>
    </row>
    <row r="9" spans="2:14" x14ac:dyDescent="0.25">
      <c r="B9" s="178"/>
      <c r="C9" s="184" t="s">
        <v>362</v>
      </c>
      <c r="D9" s="185">
        <v>85</v>
      </c>
      <c r="E9" s="268">
        <v>80</v>
      </c>
      <c r="F9" s="185">
        <v>59</v>
      </c>
      <c r="G9" s="185">
        <v>67.5</v>
      </c>
      <c r="H9" s="185">
        <v>51.5</v>
      </c>
      <c r="I9" s="185">
        <v>79</v>
      </c>
      <c r="J9" s="185">
        <v>97</v>
      </c>
      <c r="K9" s="185">
        <v>87</v>
      </c>
      <c r="L9" s="185"/>
      <c r="M9" s="182"/>
      <c r="N9" s="178" t="s">
        <v>363</v>
      </c>
    </row>
    <row r="10" spans="2:14" x14ac:dyDescent="0.25">
      <c r="B10" s="178"/>
      <c r="C10" s="184" t="s">
        <v>364</v>
      </c>
      <c r="D10" s="185">
        <v>39</v>
      </c>
      <c r="E10" s="268">
        <v>40</v>
      </c>
      <c r="F10" s="185">
        <v>36</v>
      </c>
      <c r="G10" s="185">
        <v>50</v>
      </c>
      <c r="H10" s="185">
        <v>36.5</v>
      </c>
      <c r="I10" s="185">
        <v>50</v>
      </c>
      <c r="J10" s="185">
        <v>47.5</v>
      </c>
      <c r="K10" s="185">
        <v>29.6</v>
      </c>
      <c r="L10" s="185"/>
      <c r="M10" s="182"/>
      <c r="N10" s="178" t="s">
        <v>363</v>
      </c>
    </row>
    <row r="11" spans="2:14" ht="15.75" x14ac:dyDescent="0.3">
      <c r="B11" s="178"/>
      <c r="C11" s="184" t="s">
        <v>365</v>
      </c>
      <c r="D11" s="185">
        <v>3.9</v>
      </c>
      <c r="E11" s="269">
        <v>3.26</v>
      </c>
      <c r="F11" s="185">
        <v>2.5</v>
      </c>
      <c r="G11" s="185">
        <v>2.75</v>
      </c>
      <c r="H11" s="185">
        <v>3.6</v>
      </c>
      <c r="I11" s="185">
        <v>3.05</v>
      </c>
      <c r="J11" s="185">
        <v>3.8</v>
      </c>
      <c r="K11" s="185">
        <v>3.7</v>
      </c>
      <c r="L11" s="185"/>
      <c r="M11" s="182"/>
      <c r="N11" s="178" t="s">
        <v>366</v>
      </c>
    </row>
    <row r="12" spans="2:14" ht="15.75" x14ac:dyDescent="0.3">
      <c r="B12" s="178"/>
      <c r="C12" s="184" t="s">
        <v>367</v>
      </c>
      <c r="D12" s="185">
        <v>2.35</v>
      </c>
      <c r="E12" s="270">
        <v>2.2799999999999998</v>
      </c>
      <c r="F12" s="185">
        <v>2.15</v>
      </c>
      <c r="G12" s="185">
        <v>2.85</v>
      </c>
      <c r="H12" s="185">
        <v>2.2000000000000002</v>
      </c>
      <c r="I12" s="185">
        <v>2.1</v>
      </c>
      <c r="J12" s="185">
        <v>2.85</v>
      </c>
      <c r="K12" s="185">
        <v>1.26</v>
      </c>
      <c r="L12" s="185"/>
      <c r="M12" s="182"/>
      <c r="N12" s="178" t="s">
        <v>366</v>
      </c>
    </row>
    <row r="13" spans="2:14" x14ac:dyDescent="0.25">
      <c r="B13" s="178"/>
      <c r="C13" s="178" t="s">
        <v>368</v>
      </c>
      <c r="D13" s="186">
        <f>((1-D$7)*D9+D$7*D10)/D$8</f>
        <v>80.097700205019848</v>
      </c>
      <c r="E13" s="186">
        <f t="shared" ref="E13:F13" si="0">((1-E$7)*E9+E$7*E10)/E$8</f>
        <v>78.452490761586191</v>
      </c>
      <c r="F13" s="186">
        <f t="shared" si="0"/>
        <v>57.949962850730067</v>
      </c>
      <c r="G13" s="186">
        <f>((1-G$7)*G9+G$7*G10)/G$8</f>
        <v>82.581625747675091</v>
      </c>
      <c r="H13" s="186">
        <f t="shared" ref="H13:K13" si="1">((1-H$7)*H9+H$7*H10)/H$8</f>
        <v>77.211394302848575</v>
      </c>
      <c r="I13" s="186">
        <f t="shared" si="1"/>
        <v>89.967419610194895</v>
      </c>
      <c r="J13" s="186">
        <f t="shared" si="1"/>
        <v>79.992446898062113</v>
      </c>
      <c r="K13" s="186">
        <f t="shared" si="1"/>
        <v>50.837216975543988</v>
      </c>
      <c r="L13" s="186"/>
      <c r="M13" s="187"/>
      <c r="N13" s="178" t="s">
        <v>363</v>
      </c>
    </row>
    <row r="14" spans="2:14" ht="15.75" x14ac:dyDescent="0.3">
      <c r="B14" s="178"/>
      <c r="C14" s="178" t="s">
        <v>369</v>
      </c>
      <c r="D14" s="188">
        <f>((1-D$7)*D11+D$7*D12)/D$8</f>
        <v>4.2519720799478442</v>
      </c>
      <c r="E14" s="188">
        <f t="shared" ref="E14:K14" si="2">((1-E$7)*E11+E$7*E12)/E$8</f>
        <v>3.8711115109152328</v>
      </c>
      <c r="F14" s="188">
        <f t="shared" si="2"/>
        <v>3.2839071004173737</v>
      </c>
      <c r="G14" s="188">
        <f t="shared" si="2"/>
        <v>4.2293258138899184</v>
      </c>
      <c r="H14" s="188">
        <f t="shared" si="2"/>
        <v>5.3973013493253372</v>
      </c>
      <c r="I14" s="188">
        <f t="shared" si="2"/>
        <v>3.6399656431784111</v>
      </c>
      <c r="J14" s="188">
        <f t="shared" si="2"/>
        <v>4.4413312730591388</v>
      </c>
      <c r="K14" s="188">
        <f t="shared" si="2"/>
        <v>2.1636364888119965</v>
      </c>
      <c r="L14" s="188"/>
      <c r="M14" s="187"/>
      <c r="N14" s="178" t="s">
        <v>370</v>
      </c>
    </row>
    <row r="15" spans="2:14" x14ac:dyDescent="0.25">
      <c r="B15" s="178"/>
      <c r="C15" s="178" t="s">
        <v>371</v>
      </c>
      <c r="D15" s="189">
        <f>'CO2-Energy FootPrint - REMADE'!$F$21</f>
        <v>458685.98013245029</v>
      </c>
      <c r="E15" s="189">
        <f>'CO2-Energy FootPrint - REMADE'!$F$22</f>
        <v>300190.21854304639</v>
      </c>
      <c r="F15" s="190">
        <f>'CO2-Energy FootPrint - REMADE'!$F$23</f>
        <v>36647</v>
      </c>
      <c r="G15" s="190">
        <f>'CO2-Energy FootPrint - REMADE'!$F$24</f>
        <v>214149.66225165562</v>
      </c>
      <c r="H15" s="190">
        <f>'CO2-Energy FootPrint - REMADE'!$F$25</f>
        <v>0</v>
      </c>
      <c r="I15" s="190">
        <f>'CO2-Energy FootPrint - REMADE'!$F$26</f>
        <v>22642.251655629141</v>
      </c>
      <c r="J15" s="190">
        <f>'CO2-Energy FootPrint - REMADE'!$F$27</f>
        <v>28897.900662251654</v>
      </c>
      <c r="K15" s="190">
        <f>'CO2-Energy FootPrint - REMADE'!$F$28</f>
        <v>1281463.9867549669</v>
      </c>
      <c r="L15" s="190">
        <f>'US Mat Flow Analysis 2018'!AC41</f>
        <v>432637.72919999994</v>
      </c>
      <c r="M15" s="187"/>
      <c r="N15" s="178" t="s">
        <v>372</v>
      </c>
    </row>
    <row r="16" spans="2:14" x14ac:dyDescent="0.25">
      <c r="B16" s="178"/>
      <c r="C16" s="178" t="s">
        <v>373</v>
      </c>
      <c r="D16" s="191">
        <f>D13*D15*1000</f>
        <v>36739692124.894691</v>
      </c>
      <c r="E16" s="191">
        <f t="shared" ref="E16:K16" si="3">E13*E15*1000</f>
        <v>23550670346.966885</v>
      </c>
      <c r="F16" s="191">
        <f t="shared" si="3"/>
        <v>2123692288.5907044</v>
      </c>
      <c r="G16" s="191">
        <f t="shared" si="3"/>
        <v>17684827262.057247</v>
      </c>
      <c r="H16" s="191">
        <f t="shared" si="3"/>
        <v>0</v>
      </c>
      <c r="I16" s="191">
        <f t="shared" si="3"/>
        <v>2037064955.6216168</v>
      </c>
      <c r="J16" s="191">
        <f t="shared" si="3"/>
        <v>2311613784.1906395</v>
      </c>
      <c r="K16" s="191">
        <f t="shared" si="3"/>
        <v>65146062741.007881</v>
      </c>
      <c r="L16" s="191">
        <f>'US Mat Flow Analysis 2018'!AC47</f>
        <v>1410398997.1919999</v>
      </c>
      <c r="M16" s="192">
        <f>SUM(D16:L16)</f>
        <v>151004022500.52164</v>
      </c>
      <c r="N16" s="184" t="s">
        <v>374</v>
      </c>
    </row>
    <row r="17" spans="2:14" ht="15.75" x14ac:dyDescent="0.3">
      <c r="B17" s="178"/>
      <c r="C17" s="178" t="s">
        <v>377</v>
      </c>
      <c r="D17" s="191">
        <f>D14*D15</f>
        <v>1950319.9809866901</v>
      </c>
      <c r="E17" s="193">
        <f t="shared" ref="E17" si="4">E14*E15</f>
        <v>1162069.8104661463</v>
      </c>
      <c r="F17" s="193">
        <f>F14*F15</f>
        <v>120345.34350899549</v>
      </c>
      <c r="G17" s="193">
        <f t="shared" ref="G17:K17" si="5">G14*G15</f>
        <v>905708.6945967346</v>
      </c>
      <c r="H17" s="193">
        <f t="shared" si="5"/>
        <v>0</v>
      </c>
      <c r="I17" s="193">
        <f t="shared" si="5"/>
        <v>82417.018110689576</v>
      </c>
      <c r="J17" s="193">
        <f t="shared" si="5"/>
        <v>128345.14993701466</v>
      </c>
      <c r="K17" s="193">
        <f t="shared" si="5"/>
        <v>2772622.2408415396</v>
      </c>
      <c r="L17" s="193">
        <f>'US Mat Flow Analysis 2018'!AC46</f>
        <v>113351.08505039998</v>
      </c>
      <c r="M17" s="192">
        <f>SUM(D17:L17)</f>
        <v>7235179.3234982109</v>
      </c>
      <c r="N17" s="184" t="s">
        <v>378</v>
      </c>
    </row>
    <row r="19" spans="2:14" ht="18.75" x14ac:dyDescent="0.3">
      <c r="B19" s="267" t="s">
        <v>379</v>
      </c>
    </row>
    <row r="20" spans="2:14" x14ac:dyDescent="0.25">
      <c r="B20" s="54" t="s">
        <v>341</v>
      </c>
      <c r="C20" s="54" t="s">
        <v>342</v>
      </c>
      <c r="D20" s="54" t="s">
        <v>343</v>
      </c>
      <c r="E20" s="54" t="s">
        <v>344</v>
      </c>
      <c r="F20" s="54" t="s">
        <v>346</v>
      </c>
      <c r="G20" s="54" t="s">
        <v>345</v>
      </c>
      <c r="H20" s="54" t="s">
        <v>347</v>
      </c>
    </row>
    <row r="21" spans="2:14" x14ac:dyDescent="0.25">
      <c r="B21" t="str">
        <f>'Stream 6 - PWaste Generated'!A5</f>
        <v>PET</v>
      </c>
      <c r="C21" s="39">
        <f>'Stream 6 - PWaste Generated'!C5</f>
        <v>5287036.4145658268</v>
      </c>
      <c r="D21" s="39">
        <f>'Stream 27 - Export'!C5</f>
        <v>306825.66666666669</v>
      </c>
      <c r="E21" s="39">
        <f>'Stream 21 - Import'!C5</f>
        <v>46597</v>
      </c>
      <c r="F21" s="39">
        <f>SUM('Stream 16 - MechRecyc'!C5)+E21</f>
        <v>458685.98013245029</v>
      </c>
      <c r="G21" s="39">
        <f>'Stream 20 - Domestic Recyc'!C5</f>
        <v>314846.38399898948</v>
      </c>
      <c r="H21" s="174">
        <f>(G21/F21)</f>
        <v>0.686409433983734</v>
      </c>
    </row>
    <row r="22" spans="2:14" x14ac:dyDescent="0.25">
      <c r="B22" t="str">
        <f>'Stream 6 - PWaste Generated'!A6</f>
        <v>HDPE</v>
      </c>
      <c r="C22" s="39">
        <f>'Stream 6 - PWaste Generated'!C6</f>
        <v>6296470.5882352944</v>
      </c>
      <c r="D22" s="39">
        <f>'Stream 27 - Export'!C6</f>
        <v>306825.66666666669</v>
      </c>
      <c r="E22" s="39">
        <f>'Stream 21 - Import'!C6</f>
        <v>46597</v>
      </c>
      <c r="F22" s="39">
        <f>SUM('Stream 16 - MechRecyc'!C6)+E22</f>
        <v>300190.21854304639</v>
      </c>
      <c r="G22" s="39">
        <f>'Stream 20 - Domestic Recyc'!C6</f>
        <v>207673.00905041996</v>
      </c>
      <c r="H22" s="174">
        <f t="shared" ref="H22:H28" si="6">(G22/F22)</f>
        <v>0.69180471655055031</v>
      </c>
    </row>
    <row r="23" spans="2:14" x14ac:dyDescent="0.25">
      <c r="B23" t="str">
        <f>'Stream 6 - PWaste Generated'!A7</f>
        <v>PVC</v>
      </c>
      <c r="C23" s="39">
        <f>'Stream 6 - PWaste Generated'!C7</f>
        <v>839529.4117647059</v>
      </c>
      <c r="D23" s="39">
        <f>'Stream 27 - Export'!C7</f>
        <v>137493.00000000003</v>
      </c>
      <c r="E23" s="39">
        <f>'Stream 21 - Import'!C7</f>
        <v>36647</v>
      </c>
      <c r="F23" s="39">
        <f>SUM('Stream 16 - MechRecyc'!C7)+E23</f>
        <v>36647</v>
      </c>
      <c r="G23" s="39">
        <f>'Stream 20 - Domestic Recyc'!C7</f>
        <v>32420.445369999998</v>
      </c>
      <c r="H23" s="174">
        <f t="shared" si="6"/>
        <v>0.88466846863317594</v>
      </c>
    </row>
    <row r="24" spans="2:14" x14ac:dyDescent="0.25">
      <c r="B24" t="str">
        <f>'Stream 6 - PWaste Generated'!A8</f>
        <v>LDPE/LLDPE</v>
      </c>
      <c r="C24" s="39">
        <f>'Stream 6 - PWaste Generated'!C8</f>
        <v>8585187.6750700288</v>
      </c>
      <c r="D24" s="39">
        <f>'Stream 27 - Export'!C8</f>
        <v>306825.66666666669</v>
      </c>
      <c r="E24" s="39">
        <f>'Stream 21 - Import'!C8</f>
        <v>46597</v>
      </c>
      <c r="F24" s="39">
        <f>SUM('Stream 16 - MechRecyc'!C8)+E24</f>
        <v>214149.66225165562</v>
      </c>
      <c r="G24" s="39">
        <f>'Stream 20 - Domestic Recyc'!C8</f>
        <v>151961.28103968978</v>
      </c>
      <c r="H24" s="174">
        <f t="shared" si="6"/>
        <v>0.70960317864575551</v>
      </c>
    </row>
    <row r="25" spans="2:14" x14ac:dyDescent="0.25">
      <c r="B25" t="str">
        <f>'Stream 6 - PWaste Generated'!A9</f>
        <v>PLA</v>
      </c>
      <c r="C25" s="39">
        <f>'Stream 6 - PWaste Generated'!C9</f>
        <v>89949.579831932773</v>
      </c>
      <c r="D25" s="39">
        <f>'Stream 27 - Export'!C9</f>
        <v>0</v>
      </c>
      <c r="E25" s="39">
        <f>'Stream 21 - Import'!C9</f>
        <v>0</v>
      </c>
      <c r="F25" s="39">
        <f>SUM('Stream 16 - MechRecyc'!C9)+E25</f>
        <v>0</v>
      </c>
      <c r="G25" s="39">
        <f>'Stream 20 - Domestic Recyc'!C9</f>
        <v>0</v>
      </c>
      <c r="H25" s="174">
        <v>0</v>
      </c>
    </row>
    <row r="26" spans="2:14" x14ac:dyDescent="0.25">
      <c r="B26" t="str">
        <f>'Stream 6 - PWaste Generated'!A10</f>
        <v>PP</v>
      </c>
      <c r="C26" s="39">
        <f>'Stream 6 - PWaste Generated'!C10</f>
        <v>8145434.1736694677</v>
      </c>
      <c r="D26" s="39">
        <f>'Stream 27 - Export'!C10</f>
        <v>0</v>
      </c>
      <c r="E26" s="39">
        <f>'Stream 21 - Import'!C10</f>
        <v>0</v>
      </c>
      <c r="F26" s="39">
        <f>SUM('Stream 16 - MechRecyc'!C10)+E26</f>
        <v>22642.251655629141</v>
      </c>
      <c r="G26" s="39">
        <f>'Stream 20 - Domestic Recyc'!C10</f>
        <v>14828.122599830465</v>
      </c>
      <c r="H26" s="174">
        <f t="shared" si="6"/>
        <v>0.65488728000000007</v>
      </c>
    </row>
    <row r="27" spans="2:14" x14ac:dyDescent="0.25">
      <c r="B27" t="str">
        <f>'Stream 6 - PWaste Generated'!A11</f>
        <v>PS</v>
      </c>
      <c r="C27" s="39">
        <f>'Stream 6 - PWaste Generated'!C11</f>
        <v>2258733.8935574228</v>
      </c>
      <c r="D27" s="39">
        <f>'Stream 27 - Export'!C11</f>
        <v>28070.999999999996</v>
      </c>
      <c r="E27" s="39">
        <f>'Stream 21 - Import'!C11</f>
        <v>19841</v>
      </c>
      <c r="F27" s="39">
        <f>SUM('Stream 16 - MechRecyc'!C11)+E27</f>
        <v>28897.900662251654</v>
      </c>
      <c r="G27" s="39">
        <f>'Stream 20 - Domestic Recyc'!C11</f>
        <v>25479.79737743947</v>
      </c>
      <c r="H27" s="174">
        <f t="shared" si="6"/>
        <v>0.88171793775742557</v>
      </c>
    </row>
    <row r="28" spans="2:14" x14ac:dyDescent="0.25">
      <c r="B28" t="str">
        <f>'Stream 6 - PWaste Generated'!A12</f>
        <v>Other Resin</v>
      </c>
      <c r="C28" s="39">
        <f>'Stream 6 - PWaste Generated'!C12</f>
        <v>4157669.4677871149</v>
      </c>
      <c r="D28" s="39">
        <f>'Stream 27 - Export'!C12</f>
        <v>543487.00000000012</v>
      </c>
      <c r="E28" s="39">
        <f>'Stream 21 - Import'!C12</f>
        <v>778806</v>
      </c>
      <c r="F28" s="39">
        <f>SUM('Stream 16 - MechRecyc'!C12)+E28</f>
        <v>1281463.9867549669</v>
      </c>
      <c r="G28" s="39">
        <f>'Stream 20 - Domestic Recyc'!C12</f>
        <v>1185277.7526033076</v>
      </c>
      <c r="H28" s="174">
        <f t="shared" si="6"/>
        <v>0.92494035326327795</v>
      </c>
    </row>
    <row r="29" spans="2:14" x14ac:dyDescent="0.25">
      <c r="B29" t="s">
        <v>144</v>
      </c>
      <c r="C29" s="39">
        <f>SUM(C21:C28)</f>
        <v>35660011.204481795</v>
      </c>
      <c r="D29" s="39">
        <f>SUM(D21:D28)</f>
        <v>1629528</v>
      </c>
      <c r="E29" s="39">
        <f>SUM(E21:E28)</f>
        <v>975085</v>
      </c>
      <c r="F29" s="39">
        <f>SUM(F21:F28)</f>
        <v>2342677</v>
      </c>
      <c r="G29" s="39">
        <f>SUM(G21:G28)</f>
        <v>1932486.7920396768</v>
      </c>
      <c r="H29" s="53" t="s">
        <v>328</v>
      </c>
    </row>
  </sheetData>
  <mergeCells count="3">
    <mergeCell ref="B2:N2"/>
    <mergeCell ref="B3:N3"/>
    <mergeCell ref="B4:N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7"/>
  <sheetViews>
    <sheetView topLeftCell="A4" workbookViewId="0">
      <selection activeCell="C6" sqref="C6:C8"/>
    </sheetView>
  </sheetViews>
  <sheetFormatPr defaultColWidth="0" defaultRowHeight="12.75" zeroHeight="1" x14ac:dyDescent="0.25"/>
  <cols>
    <col min="1" max="1" width="4.7109375" style="194" customWidth="1"/>
    <col min="2" max="2" width="26.5703125" style="266" bestFit="1" customWidth="1"/>
    <col min="3" max="4" width="19.5703125" style="265" customWidth="1"/>
    <col min="5" max="6" width="19.5703125" style="202" customWidth="1"/>
    <col min="7" max="7" width="19.5703125" style="265" customWidth="1"/>
    <col min="8" max="8" width="19.5703125" style="202" customWidth="1"/>
    <col min="9" max="9" width="19.5703125" style="265" customWidth="1"/>
    <col min="10" max="10" width="19.5703125" style="202" customWidth="1"/>
    <col min="11" max="11" width="19.5703125" style="265" customWidth="1"/>
    <col min="12" max="12" width="19.5703125" style="202" customWidth="1"/>
    <col min="13" max="13" width="19.5703125" style="265" customWidth="1"/>
    <col min="14" max="14" width="19.5703125" style="202" customWidth="1"/>
    <col min="15" max="15" width="50.85546875" style="202" customWidth="1"/>
    <col min="16" max="16" width="12" style="194" bestFit="1" customWidth="1"/>
    <col min="17" max="17" width="12" style="202" hidden="1" customWidth="1"/>
    <col min="18" max="16384" width="9.140625" style="202" hidden="1"/>
  </cols>
  <sheetData>
    <row r="1" spans="1:16" s="194" customFormat="1" x14ac:dyDescent="0.25">
      <c r="C1" s="195"/>
      <c r="D1" s="195"/>
      <c r="G1" s="195"/>
      <c r="I1" s="195"/>
      <c r="K1" s="196" t="s">
        <v>381</v>
      </c>
      <c r="M1" s="195"/>
    </row>
    <row r="2" spans="1:16" s="194" customFormat="1" ht="20.45" customHeight="1" x14ac:dyDescent="0.25">
      <c r="B2" s="197" t="s">
        <v>382</v>
      </c>
      <c r="C2" s="198"/>
      <c r="D2" s="198"/>
      <c r="E2" s="199"/>
      <c r="F2" s="199"/>
      <c r="G2" s="198"/>
      <c r="H2" s="199"/>
      <c r="I2" s="198"/>
      <c r="J2" s="199"/>
      <c r="K2" s="198"/>
      <c r="L2" s="199"/>
      <c r="M2" s="198"/>
      <c r="N2" s="199"/>
      <c r="O2" s="200"/>
      <c r="P2" s="200"/>
    </row>
    <row r="3" spans="1:16" s="194" customFormat="1" ht="16.5" thickBot="1" x14ac:dyDescent="0.3">
      <c r="B3" s="199"/>
      <c r="C3" s="198"/>
      <c r="D3" s="198"/>
      <c r="E3" s="199"/>
      <c r="F3" s="199"/>
      <c r="G3" s="198"/>
      <c r="H3" s="199"/>
      <c r="I3" s="198"/>
      <c r="J3" s="199"/>
      <c r="K3" s="198"/>
      <c r="L3" s="199"/>
      <c r="M3" s="198"/>
      <c r="N3" s="199"/>
      <c r="O3" s="200"/>
      <c r="P3" s="200"/>
    </row>
    <row r="4" spans="1:16" ht="15.75" x14ac:dyDescent="0.25">
      <c r="B4" s="201"/>
      <c r="C4" s="316" t="s">
        <v>383</v>
      </c>
      <c r="D4" s="317"/>
      <c r="E4" s="318" t="s">
        <v>384</v>
      </c>
      <c r="F4" s="319"/>
      <c r="G4" s="320" t="s">
        <v>385</v>
      </c>
      <c r="H4" s="321"/>
      <c r="I4" s="320" t="s">
        <v>386</v>
      </c>
      <c r="J4" s="321"/>
      <c r="K4" s="320" t="s">
        <v>387</v>
      </c>
      <c r="L4" s="321"/>
      <c r="M4" s="320" t="s">
        <v>388</v>
      </c>
      <c r="N4" s="321"/>
      <c r="O4" s="314" t="s">
        <v>389</v>
      </c>
      <c r="P4" s="200"/>
    </row>
    <row r="5" spans="1:16" s="210" customFormat="1" ht="63" customHeight="1" x14ac:dyDescent="0.25">
      <c r="A5" s="203"/>
      <c r="B5" s="204" t="s">
        <v>390</v>
      </c>
      <c r="C5" s="205" t="s">
        <v>391</v>
      </c>
      <c r="D5" s="206" t="s">
        <v>392</v>
      </c>
      <c r="E5" s="207" t="s">
        <v>391</v>
      </c>
      <c r="F5" s="208" t="s">
        <v>392</v>
      </c>
      <c r="G5" s="205" t="s">
        <v>393</v>
      </c>
      <c r="H5" s="207" t="s">
        <v>394</v>
      </c>
      <c r="I5" s="205" t="s">
        <v>393</v>
      </c>
      <c r="J5" s="207" t="s">
        <v>394</v>
      </c>
      <c r="K5" s="205" t="s">
        <v>393</v>
      </c>
      <c r="L5" s="207" t="s">
        <v>394</v>
      </c>
      <c r="M5" s="205" t="s">
        <v>393</v>
      </c>
      <c r="N5" s="207" t="s">
        <v>394</v>
      </c>
      <c r="O5" s="315"/>
      <c r="P5" s="209"/>
    </row>
    <row r="6" spans="1:16" customFormat="1" ht="15" x14ac:dyDescent="0.25">
      <c r="A6" s="211"/>
      <c r="B6" s="212" t="s">
        <v>395</v>
      </c>
      <c r="C6" s="213">
        <v>23</v>
      </c>
      <c r="D6" s="214">
        <v>7.3</v>
      </c>
      <c r="E6" s="215">
        <v>2.19</v>
      </c>
      <c r="F6" s="216">
        <v>0.44</v>
      </c>
      <c r="G6" s="213"/>
      <c r="H6" s="215"/>
      <c r="I6" s="213"/>
      <c r="J6" s="215"/>
      <c r="K6" s="213"/>
      <c r="L6" s="215"/>
      <c r="M6" s="213"/>
      <c r="N6" s="215"/>
      <c r="O6" s="217"/>
      <c r="P6" s="211"/>
    </row>
    <row r="7" spans="1:16" ht="24.6" customHeight="1" x14ac:dyDescent="0.25">
      <c r="B7" s="218" t="s">
        <v>396</v>
      </c>
      <c r="C7" s="213">
        <v>26.5</v>
      </c>
      <c r="D7" s="214">
        <v>7.3</v>
      </c>
      <c r="E7" s="215">
        <v>1.8</v>
      </c>
      <c r="F7" s="219">
        <v>0.44</v>
      </c>
      <c r="G7" s="213">
        <v>11.6</v>
      </c>
      <c r="H7" s="215">
        <v>1.8</v>
      </c>
      <c r="I7" s="213">
        <v>4.5</v>
      </c>
      <c r="J7" s="215">
        <v>0.34</v>
      </c>
      <c r="K7" s="213">
        <v>11.6</v>
      </c>
      <c r="L7" s="215">
        <v>1.8</v>
      </c>
      <c r="M7" s="213">
        <v>4.5</v>
      </c>
      <c r="N7" s="215">
        <v>0.34</v>
      </c>
      <c r="O7" s="220" t="s">
        <v>397</v>
      </c>
      <c r="P7" s="209"/>
    </row>
    <row r="8" spans="1:16" ht="30" x14ac:dyDescent="0.25">
      <c r="B8" s="221" t="s">
        <v>398</v>
      </c>
      <c r="C8" s="213">
        <v>32.5</v>
      </c>
      <c r="D8" s="214">
        <v>8.6</v>
      </c>
      <c r="E8" s="215">
        <v>2</v>
      </c>
      <c r="F8" s="219">
        <v>0.52</v>
      </c>
      <c r="G8" s="213">
        <v>11.5</v>
      </c>
      <c r="H8" s="215">
        <v>0.85</v>
      </c>
      <c r="I8" s="213">
        <v>10.5</v>
      </c>
      <c r="J8" s="215">
        <v>0.8</v>
      </c>
      <c r="K8" s="213">
        <v>11.5</v>
      </c>
      <c r="L8" s="215">
        <v>0.85</v>
      </c>
      <c r="M8" s="213">
        <v>10.5</v>
      </c>
      <c r="N8" s="215">
        <v>0.8</v>
      </c>
      <c r="O8" s="220" t="s">
        <v>397</v>
      </c>
      <c r="P8" s="209"/>
    </row>
    <row r="9" spans="1:16" ht="24.6" customHeight="1" x14ac:dyDescent="0.25">
      <c r="B9" s="222" t="s">
        <v>399</v>
      </c>
      <c r="C9" s="213">
        <v>18</v>
      </c>
      <c r="D9" s="214">
        <v>1.5</v>
      </c>
      <c r="E9" s="215">
        <v>10.5</v>
      </c>
      <c r="F9" s="219">
        <v>0.51</v>
      </c>
      <c r="G9" s="213">
        <v>10.5</v>
      </c>
      <c r="H9" s="215">
        <v>0.79</v>
      </c>
      <c r="I9" s="213"/>
      <c r="J9" s="215"/>
      <c r="K9" s="213">
        <v>10.5</v>
      </c>
      <c r="L9" s="215">
        <v>0.79</v>
      </c>
      <c r="M9" s="213"/>
      <c r="N9" s="215"/>
      <c r="O9" s="220" t="s">
        <v>397</v>
      </c>
      <c r="P9" s="209"/>
    </row>
    <row r="10" spans="1:16" ht="24.6" customHeight="1" x14ac:dyDescent="0.25">
      <c r="B10" s="223" t="s">
        <v>400</v>
      </c>
      <c r="C10" s="224">
        <v>84.5</v>
      </c>
      <c r="D10" s="225">
        <v>12</v>
      </c>
      <c r="E10" s="226">
        <v>4.95</v>
      </c>
      <c r="F10" s="227">
        <v>0.72499999999999998</v>
      </c>
      <c r="G10" s="213">
        <v>11</v>
      </c>
      <c r="H10" s="215">
        <v>0.85</v>
      </c>
      <c r="I10" s="224">
        <v>8.1999999999999993</v>
      </c>
      <c r="J10" s="226">
        <v>0.6</v>
      </c>
      <c r="K10" s="213">
        <v>11</v>
      </c>
      <c r="L10" s="215">
        <v>0.85</v>
      </c>
      <c r="M10" s="224">
        <v>8.1999999999999993</v>
      </c>
      <c r="N10" s="226">
        <v>0.6</v>
      </c>
      <c r="O10" s="220" t="s">
        <v>397</v>
      </c>
      <c r="P10" s="209"/>
    </row>
    <row r="11" spans="1:16" ht="24.6" customHeight="1" x14ac:dyDescent="0.25">
      <c r="B11" s="223" t="s">
        <v>401</v>
      </c>
      <c r="C11" s="224">
        <v>210</v>
      </c>
      <c r="D11" s="225">
        <v>26</v>
      </c>
      <c r="E11" s="226">
        <v>12</v>
      </c>
      <c r="F11" s="227">
        <v>2.1</v>
      </c>
      <c r="G11" s="224">
        <v>11.6</v>
      </c>
      <c r="H11" s="226">
        <v>0.87</v>
      </c>
      <c r="I11" s="224">
        <v>5.0999999999999996</v>
      </c>
      <c r="J11" s="226">
        <v>0.21</v>
      </c>
      <c r="K11" s="224">
        <v>11.6</v>
      </c>
      <c r="L11" s="226">
        <v>0.87</v>
      </c>
      <c r="M11" s="224">
        <v>5.0999999999999996</v>
      </c>
      <c r="N11" s="226">
        <v>0.21</v>
      </c>
      <c r="O11" s="220" t="s">
        <v>397</v>
      </c>
      <c r="P11" s="209"/>
    </row>
    <row r="12" spans="1:16" ht="24.6" customHeight="1" x14ac:dyDescent="0.25">
      <c r="B12" s="223" t="s">
        <v>402</v>
      </c>
      <c r="C12" s="224">
        <v>315</v>
      </c>
      <c r="D12" s="225">
        <v>36</v>
      </c>
      <c r="E12" s="226">
        <v>24.5</v>
      </c>
      <c r="F12" s="227">
        <v>2.9</v>
      </c>
      <c r="G12" s="224">
        <v>11.7</v>
      </c>
      <c r="H12" s="226">
        <v>0.88</v>
      </c>
      <c r="I12" s="224">
        <v>5.2</v>
      </c>
      <c r="J12" s="226">
        <v>0.4</v>
      </c>
      <c r="K12" s="224">
        <v>11.7</v>
      </c>
      <c r="L12" s="226">
        <v>0.88</v>
      </c>
      <c r="M12" s="224">
        <v>5.2</v>
      </c>
      <c r="N12" s="226">
        <v>0.4</v>
      </c>
      <c r="O12" s="220" t="s">
        <v>397</v>
      </c>
      <c r="P12" s="209"/>
    </row>
    <row r="13" spans="1:16" ht="24.6" customHeight="1" x14ac:dyDescent="0.25">
      <c r="B13" s="223" t="s">
        <v>403</v>
      </c>
      <c r="C13" s="224">
        <v>685</v>
      </c>
      <c r="D13" s="225">
        <v>87</v>
      </c>
      <c r="E13" s="226">
        <v>46.5</v>
      </c>
      <c r="F13" s="227">
        <v>5.2</v>
      </c>
      <c r="G13" s="224">
        <v>13.3</v>
      </c>
      <c r="H13" s="226">
        <v>0.85</v>
      </c>
      <c r="I13" s="224">
        <v>14.5</v>
      </c>
      <c r="J13" s="226">
        <v>1.1499999999999999</v>
      </c>
      <c r="K13" s="224">
        <v>13.3</v>
      </c>
      <c r="L13" s="226">
        <v>0.85</v>
      </c>
      <c r="M13" s="224">
        <v>14.5</v>
      </c>
      <c r="N13" s="226">
        <v>1.1499999999999999</v>
      </c>
      <c r="O13" s="220" t="s">
        <v>397</v>
      </c>
      <c r="P13" s="209"/>
    </row>
    <row r="14" spans="1:16" ht="24.6" customHeight="1" x14ac:dyDescent="0.25">
      <c r="B14" s="223" t="s">
        <v>404</v>
      </c>
      <c r="C14" s="224">
        <v>59</v>
      </c>
      <c r="D14" s="225">
        <v>13.5</v>
      </c>
      <c r="E14" s="226">
        <v>3.7</v>
      </c>
      <c r="F14" s="227">
        <v>0.82499999999999996</v>
      </c>
      <c r="G14" s="224">
        <v>9.1</v>
      </c>
      <c r="H14" s="226">
        <v>0.69</v>
      </c>
      <c r="I14" s="224">
        <v>0.95</v>
      </c>
      <c r="J14" s="226">
        <v>0.16</v>
      </c>
      <c r="K14" s="224">
        <v>9.1</v>
      </c>
      <c r="L14" s="226">
        <v>0.69</v>
      </c>
      <c r="M14" s="224">
        <v>0.95</v>
      </c>
      <c r="N14" s="226">
        <v>0.16</v>
      </c>
      <c r="O14" s="220" t="s">
        <v>397</v>
      </c>
      <c r="P14" s="209"/>
    </row>
    <row r="15" spans="1:16" ht="24.6" customHeight="1" x14ac:dyDescent="0.25">
      <c r="B15" s="223" t="s">
        <v>405</v>
      </c>
      <c r="C15" s="224">
        <v>27</v>
      </c>
      <c r="D15" s="225">
        <v>7.45</v>
      </c>
      <c r="E15" s="226">
        <v>2</v>
      </c>
      <c r="F15" s="227">
        <v>0.45</v>
      </c>
      <c r="G15" s="224">
        <v>5.4</v>
      </c>
      <c r="H15" s="226">
        <v>0.41</v>
      </c>
      <c r="I15" s="224">
        <v>0.35</v>
      </c>
      <c r="J15" s="226">
        <v>2.7E-2</v>
      </c>
      <c r="K15" s="224">
        <v>5.4</v>
      </c>
      <c r="L15" s="226">
        <v>0.41</v>
      </c>
      <c r="M15" s="224">
        <v>0.35</v>
      </c>
      <c r="N15" s="226">
        <v>2.7E-2</v>
      </c>
      <c r="O15" s="220" t="s">
        <v>397</v>
      </c>
      <c r="P15" s="209"/>
    </row>
    <row r="16" spans="1:16" ht="24.6" customHeight="1" x14ac:dyDescent="0.25">
      <c r="B16" s="223" t="s">
        <v>406</v>
      </c>
      <c r="C16" s="224">
        <v>60</v>
      </c>
      <c r="D16" s="225">
        <v>11</v>
      </c>
      <c r="E16" s="226">
        <v>4.0999999999999996</v>
      </c>
      <c r="F16" s="227">
        <v>0.67</v>
      </c>
      <c r="G16" s="224">
        <v>6.85</v>
      </c>
      <c r="H16" s="226">
        <v>0.51</v>
      </c>
      <c r="I16" s="224">
        <v>1.85</v>
      </c>
      <c r="J16" s="226">
        <v>0.15</v>
      </c>
      <c r="K16" s="224">
        <v>6.85</v>
      </c>
      <c r="L16" s="226">
        <v>0.51</v>
      </c>
      <c r="M16" s="224">
        <v>1.85</v>
      </c>
      <c r="N16" s="226">
        <v>0.15</v>
      </c>
      <c r="O16" s="220" t="s">
        <v>397</v>
      </c>
      <c r="P16" s="209"/>
    </row>
    <row r="17" spans="1:16" customFormat="1" ht="15.75" x14ac:dyDescent="0.25">
      <c r="A17" s="211"/>
      <c r="B17" s="212" t="s">
        <v>407</v>
      </c>
      <c r="C17" s="213">
        <v>54.4</v>
      </c>
      <c r="D17" s="214">
        <v>11</v>
      </c>
      <c r="E17" s="215">
        <v>3.2</v>
      </c>
      <c r="F17" s="216">
        <v>0.67</v>
      </c>
      <c r="G17" s="213"/>
      <c r="H17" s="215"/>
      <c r="I17" s="213"/>
      <c r="J17" s="215"/>
      <c r="K17" s="213"/>
      <c r="L17" s="215"/>
      <c r="M17" s="213"/>
      <c r="N17" s="215"/>
      <c r="O17" s="220" t="s">
        <v>397</v>
      </c>
      <c r="P17" s="211"/>
    </row>
    <row r="18" spans="1:16" ht="24.6" customHeight="1" x14ac:dyDescent="0.25">
      <c r="B18" s="223" t="s">
        <v>408</v>
      </c>
      <c r="C18" s="224">
        <v>181.5</v>
      </c>
      <c r="D18" s="225">
        <v>33</v>
      </c>
      <c r="E18" s="226">
        <v>11.5</v>
      </c>
      <c r="F18" s="227">
        <v>2</v>
      </c>
      <c r="G18" s="224">
        <v>11</v>
      </c>
      <c r="H18" s="226">
        <v>0.81499999999999995</v>
      </c>
      <c r="I18" s="224">
        <v>4.9000000000000004</v>
      </c>
      <c r="J18" s="226">
        <v>0.39</v>
      </c>
      <c r="K18" s="224">
        <v>11</v>
      </c>
      <c r="L18" s="226">
        <v>0.81499999999999995</v>
      </c>
      <c r="M18" s="224">
        <v>4.9000000000000004</v>
      </c>
      <c r="N18" s="226">
        <v>0.39</v>
      </c>
      <c r="O18" s="220" t="s">
        <v>409</v>
      </c>
      <c r="P18" s="209"/>
    </row>
    <row r="19" spans="1:16" ht="24.6" customHeight="1" x14ac:dyDescent="0.25">
      <c r="B19" s="228" t="s">
        <v>410</v>
      </c>
      <c r="C19" s="224">
        <v>232.5</v>
      </c>
      <c r="D19" s="225">
        <v>11.5</v>
      </c>
      <c r="E19" s="226">
        <v>35.6</v>
      </c>
      <c r="F19" s="227" t="s">
        <v>411</v>
      </c>
      <c r="G19" s="224">
        <v>10.5</v>
      </c>
      <c r="H19" s="226">
        <v>0.77500000000000002</v>
      </c>
      <c r="I19" s="224">
        <v>4.3499999999999996</v>
      </c>
      <c r="J19" s="226">
        <v>0.32500000000000001</v>
      </c>
      <c r="K19" s="224">
        <v>10.5</v>
      </c>
      <c r="L19" s="226">
        <v>0.77500000000000002</v>
      </c>
      <c r="M19" s="224">
        <v>4.3499999999999996</v>
      </c>
      <c r="N19" s="226">
        <v>0.32500000000000001</v>
      </c>
      <c r="O19" s="220" t="s">
        <v>409</v>
      </c>
      <c r="P19" s="209"/>
    </row>
    <row r="20" spans="1:16" ht="24.6" customHeight="1" x14ac:dyDescent="0.25">
      <c r="B20" s="223" t="s">
        <v>412</v>
      </c>
      <c r="C20" s="224">
        <v>1475</v>
      </c>
      <c r="D20" s="225">
        <v>155</v>
      </c>
      <c r="E20" s="226">
        <v>100</v>
      </c>
      <c r="F20" s="227">
        <v>9.3000000000000007</v>
      </c>
      <c r="G20" s="224">
        <v>7.05</v>
      </c>
      <c r="H20" s="226">
        <v>0.53</v>
      </c>
      <c r="I20" s="224">
        <v>2.6</v>
      </c>
      <c r="J20" s="226">
        <v>0.19500000000000001</v>
      </c>
      <c r="K20" s="224">
        <v>7.05</v>
      </c>
      <c r="L20" s="226">
        <v>0.53</v>
      </c>
      <c r="M20" s="224">
        <v>2.6</v>
      </c>
      <c r="N20" s="226">
        <v>0.19500000000000001</v>
      </c>
      <c r="O20" s="220" t="s">
        <v>397</v>
      </c>
      <c r="P20" s="209"/>
    </row>
    <row r="21" spans="1:16" ht="24.6" customHeight="1" x14ac:dyDescent="0.25">
      <c r="B21" s="223" t="s">
        <v>413</v>
      </c>
      <c r="C21" s="224">
        <v>252500</v>
      </c>
      <c r="D21" s="225">
        <v>684.5</v>
      </c>
      <c r="E21" s="226">
        <v>26500</v>
      </c>
      <c r="F21" s="227">
        <v>43</v>
      </c>
      <c r="G21" s="224">
        <v>6.3</v>
      </c>
      <c r="H21" s="226">
        <v>0.48</v>
      </c>
      <c r="I21" s="224">
        <v>1.35</v>
      </c>
      <c r="J21" s="226">
        <v>0.125</v>
      </c>
      <c r="K21" s="224">
        <v>6.3</v>
      </c>
      <c r="L21" s="226">
        <v>0.48</v>
      </c>
      <c r="M21" s="224">
        <v>1.35</v>
      </c>
      <c r="N21" s="226">
        <v>0.125</v>
      </c>
      <c r="O21" s="220" t="s">
        <v>397</v>
      </c>
      <c r="P21" s="209"/>
    </row>
    <row r="22" spans="1:16" ht="24.6" customHeight="1" x14ac:dyDescent="0.25">
      <c r="B22" s="223" t="s">
        <v>414</v>
      </c>
      <c r="C22" s="224">
        <v>271000</v>
      </c>
      <c r="D22" s="225">
        <v>12561</v>
      </c>
      <c r="E22" s="226">
        <v>14750</v>
      </c>
      <c r="F22" s="227">
        <v>367</v>
      </c>
      <c r="G22" s="224"/>
      <c r="H22" s="226"/>
      <c r="I22" s="224"/>
      <c r="J22" s="226"/>
      <c r="K22" s="224"/>
      <c r="L22" s="226"/>
      <c r="M22" s="224"/>
      <c r="N22" s="226"/>
      <c r="O22" s="220" t="s">
        <v>415</v>
      </c>
      <c r="P22" s="209"/>
    </row>
    <row r="23" spans="1:16" customFormat="1" ht="15.75" x14ac:dyDescent="0.25">
      <c r="A23" s="211"/>
      <c r="B23" s="212" t="s">
        <v>416</v>
      </c>
      <c r="C23" s="213">
        <v>150</v>
      </c>
      <c r="D23" s="214">
        <v>6.2</v>
      </c>
      <c r="E23" s="215">
        <v>9</v>
      </c>
      <c r="F23" s="216">
        <v>0.7</v>
      </c>
      <c r="G23" s="213"/>
      <c r="H23" s="215"/>
      <c r="I23" s="213"/>
      <c r="J23" s="215"/>
      <c r="K23" s="213"/>
      <c r="L23" s="215"/>
      <c r="M23" s="213"/>
      <c r="N23" s="215"/>
      <c r="O23" s="220" t="s">
        <v>397</v>
      </c>
      <c r="P23" s="211"/>
    </row>
    <row r="24" spans="1:16" ht="24.6" customHeight="1" x14ac:dyDescent="0.25">
      <c r="B24" s="223" t="s">
        <v>417</v>
      </c>
      <c r="C24" s="224">
        <v>5500</v>
      </c>
      <c r="D24" s="225"/>
      <c r="E24" s="226">
        <v>425.5</v>
      </c>
      <c r="F24" s="227"/>
      <c r="G24" s="224"/>
      <c r="H24" s="226"/>
      <c r="I24" s="224"/>
      <c r="J24" s="226"/>
      <c r="K24" s="224"/>
      <c r="L24" s="226"/>
      <c r="M24" s="224"/>
      <c r="N24" s="226"/>
      <c r="O24" s="220" t="s">
        <v>397</v>
      </c>
      <c r="P24" s="209"/>
    </row>
    <row r="25" spans="1:16" ht="24.6" customHeight="1" x14ac:dyDescent="0.25">
      <c r="B25" s="223" t="s">
        <v>418</v>
      </c>
      <c r="C25" s="224">
        <v>14200</v>
      </c>
      <c r="D25" s="225"/>
      <c r="E25" s="226">
        <v>1100</v>
      </c>
      <c r="F25" s="227"/>
      <c r="G25" s="224"/>
      <c r="H25" s="226"/>
      <c r="I25" s="224"/>
      <c r="J25" s="226"/>
      <c r="K25" s="224"/>
      <c r="L25" s="226"/>
      <c r="M25" s="224"/>
      <c r="N25" s="226"/>
      <c r="O25" s="220" t="s">
        <v>397</v>
      </c>
      <c r="P25" s="209"/>
    </row>
    <row r="26" spans="1:16" ht="24.6" customHeight="1" x14ac:dyDescent="0.25">
      <c r="B26" s="223" t="s">
        <v>419</v>
      </c>
      <c r="C26" s="224">
        <v>2100</v>
      </c>
      <c r="D26" s="225"/>
      <c r="E26" s="226">
        <v>165</v>
      </c>
      <c r="F26" s="227"/>
      <c r="G26" s="224"/>
      <c r="H26" s="226"/>
      <c r="I26" s="224"/>
      <c r="J26" s="226"/>
      <c r="K26" s="224"/>
      <c r="L26" s="226"/>
      <c r="M26" s="224"/>
      <c r="N26" s="226"/>
      <c r="O26" s="220" t="s">
        <v>397</v>
      </c>
      <c r="P26" s="209"/>
    </row>
    <row r="27" spans="1:16" ht="24.6" customHeight="1" x14ac:dyDescent="0.25">
      <c r="B27" s="223" t="s">
        <v>32</v>
      </c>
      <c r="C27" s="224">
        <v>79</v>
      </c>
      <c r="D27" s="225">
        <v>50</v>
      </c>
      <c r="E27" s="226">
        <v>3.05</v>
      </c>
      <c r="F27" s="227">
        <v>2.1</v>
      </c>
      <c r="G27" s="224"/>
      <c r="H27" s="226"/>
      <c r="I27" s="224"/>
      <c r="J27" s="226"/>
      <c r="K27" s="224">
        <v>21.5</v>
      </c>
      <c r="L27" s="226">
        <v>1.6</v>
      </c>
      <c r="M27" s="224">
        <v>6.2</v>
      </c>
      <c r="N27" s="226">
        <v>0.46500000000000002</v>
      </c>
      <c r="O27" s="220" t="s">
        <v>397</v>
      </c>
      <c r="P27" s="209"/>
    </row>
    <row r="28" spans="1:16" ht="24.6" customHeight="1" x14ac:dyDescent="0.25">
      <c r="B28" s="223" t="s">
        <v>420</v>
      </c>
      <c r="C28" s="224">
        <v>81</v>
      </c>
      <c r="D28" s="225">
        <v>50</v>
      </c>
      <c r="E28" s="226">
        <v>2.75</v>
      </c>
      <c r="F28" s="227">
        <v>2.85</v>
      </c>
      <c r="G28" s="224"/>
      <c r="H28" s="226"/>
      <c r="I28" s="224"/>
      <c r="J28" s="226"/>
      <c r="K28" s="224">
        <v>23.9</v>
      </c>
      <c r="L28" s="226">
        <v>1.8</v>
      </c>
      <c r="M28" s="224">
        <v>6.3</v>
      </c>
      <c r="N28" s="226">
        <v>0.47</v>
      </c>
      <c r="O28" s="220" t="s">
        <v>397</v>
      </c>
      <c r="P28" s="209"/>
    </row>
    <row r="29" spans="1:16" s="229" customFormat="1" ht="24.6" customHeight="1" x14ac:dyDescent="0.25">
      <c r="B29" s="230" t="s">
        <v>27</v>
      </c>
      <c r="C29" s="231">
        <v>85</v>
      </c>
      <c r="D29" s="232">
        <v>39</v>
      </c>
      <c r="E29" s="233">
        <v>3.9</v>
      </c>
      <c r="F29" s="234">
        <v>2.35</v>
      </c>
      <c r="G29" s="231"/>
      <c r="H29" s="233"/>
      <c r="I29" s="231"/>
      <c r="J29" s="233"/>
      <c r="K29" s="231">
        <v>19.649999999999999</v>
      </c>
      <c r="L29" s="233">
        <v>1.5149999999999999</v>
      </c>
      <c r="M29" s="231">
        <v>6.1</v>
      </c>
      <c r="N29" s="233">
        <v>0.46</v>
      </c>
      <c r="O29" s="235" t="s">
        <v>397</v>
      </c>
      <c r="P29" s="236"/>
    </row>
    <row r="30" spans="1:16" s="237" customFormat="1" ht="15" x14ac:dyDescent="0.25">
      <c r="B30" s="238" t="s">
        <v>122</v>
      </c>
      <c r="C30" s="239">
        <v>67.5</v>
      </c>
      <c r="D30" s="240">
        <v>50</v>
      </c>
      <c r="E30" s="241">
        <v>2.75</v>
      </c>
      <c r="F30" s="242">
        <v>2.85</v>
      </c>
      <c r="G30" s="239"/>
      <c r="H30" s="241"/>
      <c r="I30" s="239"/>
      <c r="J30" s="241"/>
      <c r="K30" s="239"/>
      <c r="L30" s="241"/>
      <c r="M30" s="239"/>
      <c r="N30" s="241"/>
      <c r="O30" s="243"/>
    </row>
    <row r="31" spans="1:16" customFormat="1" ht="15" x14ac:dyDescent="0.25">
      <c r="A31" s="211"/>
      <c r="B31" s="212" t="s">
        <v>28</v>
      </c>
      <c r="C31" s="213">
        <v>80</v>
      </c>
      <c r="D31" s="214">
        <v>40</v>
      </c>
      <c r="E31" s="215">
        <v>3.2592592592592591</v>
      </c>
      <c r="F31" s="216">
        <v>2.2799999999999998</v>
      </c>
      <c r="G31" s="213"/>
      <c r="H31" s="215"/>
      <c r="I31" s="213"/>
      <c r="J31" s="215"/>
      <c r="K31" s="213"/>
      <c r="L31" s="215"/>
      <c r="M31" s="213"/>
      <c r="N31" s="215"/>
      <c r="O31" s="217"/>
      <c r="P31" s="211"/>
    </row>
    <row r="32" spans="1:16" ht="24.6" customHeight="1" x14ac:dyDescent="0.25">
      <c r="B32" s="223" t="s">
        <v>29</v>
      </c>
      <c r="C32" s="224">
        <v>59</v>
      </c>
      <c r="D32" s="225">
        <v>36</v>
      </c>
      <c r="E32" s="226">
        <v>2.5</v>
      </c>
      <c r="F32" s="227">
        <v>2.15</v>
      </c>
      <c r="G32" s="224"/>
      <c r="H32" s="226"/>
      <c r="I32" s="224"/>
      <c r="J32" s="226"/>
      <c r="K32" s="224">
        <v>14.65</v>
      </c>
      <c r="L32" s="226">
        <v>1.115</v>
      </c>
      <c r="M32" s="224">
        <v>5.95</v>
      </c>
      <c r="N32" s="226">
        <v>0.44500000000000001</v>
      </c>
      <c r="O32" s="220" t="s">
        <v>397</v>
      </c>
      <c r="P32" s="209"/>
    </row>
    <row r="33" spans="1:16" customFormat="1" ht="15" x14ac:dyDescent="0.25">
      <c r="A33" s="211"/>
      <c r="B33" s="212" t="s">
        <v>421</v>
      </c>
      <c r="C33" s="213">
        <v>71.5</v>
      </c>
      <c r="D33" s="214"/>
      <c r="E33" s="215">
        <v>3</v>
      </c>
      <c r="F33" s="216"/>
      <c r="G33" s="213"/>
      <c r="H33" s="215"/>
      <c r="I33" s="213"/>
      <c r="J33" s="215"/>
      <c r="K33" s="213"/>
      <c r="L33" s="215"/>
      <c r="M33" s="213"/>
      <c r="N33" s="215"/>
      <c r="O33" s="217"/>
      <c r="P33" s="211"/>
    </row>
    <row r="34" spans="1:16" customFormat="1" ht="14.25" customHeight="1" x14ac:dyDescent="0.25">
      <c r="A34" s="211"/>
      <c r="B34" s="212" t="s">
        <v>422</v>
      </c>
      <c r="C34" s="213">
        <v>87</v>
      </c>
      <c r="D34" s="214">
        <v>29.6</v>
      </c>
      <c r="E34" s="215">
        <v>3.7</v>
      </c>
      <c r="F34" s="216">
        <v>1.26</v>
      </c>
      <c r="G34" s="213"/>
      <c r="H34" s="215"/>
      <c r="I34" s="213"/>
      <c r="J34" s="215"/>
      <c r="K34" s="213"/>
      <c r="L34" s="215"/>
      <c r="M34" s="213"/>
      <c r="N34" s="215"/>
      <c r="O34" s="217"/>
      <c r="P34" s="211"/>
    </row>
    <row r="35" spans="1:16" ht="24.6" customHeight="1" x14ac:dyDescent="0.25">
      <c r="B35" s="223" t="s">
        <v>423</v>
      </c>
      <c r="C35" s="224">
        <v>109</v>
      </c>
      <c r="D35" s="225"/>
      <c r="E35" s="226">
        <v>4.5</v>
      </c>
      <c r="F35" s="227"/>
      <c r="G35" s="224"/>
      <c r="H35" s="226"/>
      <c r="I35" s="224"/>
      <c r="J35" s="226"/>
      <c r="K35" s="224">
        <v>17.850000000000001</v>
      </c>
      <c r="L35" s="226">
        <v>1.43</v>
      </c>
      <c r="M35" s="224">
        <v>6.95</v>
      </c>
      <c r="N35" s="226">
        <v>0.54</v>
      </c>
      <c r="O35" s="220" t="s">
        <v>397</v>
      </c>
      <c r="P35" s="209"/>
    </row>
    <row r="36" spans="1:16" ht="24" customHeight="1" x14ac:dyDescent="0.25">
      <c r="B36" s="223" t="s">
        <v>424</v>
      </c>
      <c r="C36" s="224">
        <v>94.5</v>
      </c>
      <c r="D36" s="225">
        <v>46.5</v>
      </c>
      <c r="E36" s="226">
        <v>3.8</v>
      </c>
      <c r="F36" s="227">
        <v>2.8</v>
      </c>
      <c r="G36" s="224"/>
      <c r="H36" s="226"/>
      <c r="I36" s="224"/>
      <c r="J36" s="226"/>
      <c r="K36" s="224">
        <v>19</v>
      </c>
      <c r="L36" s="226">
        <v>1.45</v>
      </c>
      <c r="M36" s="224">
        <v>6.1</v>
      </c>
      <c r="N36" s="226">
        <v>0.46</v>
      </c>
      <c r="O36" s="220" t="s">
        <v>397</v>
      </c>
      <c r="P36" s="244"/>
    </row>
    <row r="37" spans="1:16" ht="24.6" customHeight="1" x14ac:dyDescent="0.25">
      <c r="B37" s="223" t="s">
        <v>33</v>
      </c>
      <c r="C37" s="224">
        <v>97</v>
      </c>
      <c r="D37" s="225">
        <v>47.5</v>
      </c>
      <c r="E37" s="226">
        <v>3.8</v>
      </c>
      <c r="F37" s="227">
        <v>2.85</v>
      </c>
      <c r="G37" s="224"/>
      <c r="H37" s="226"/>
      <c r="I37" s="224"/>
      <c r="J37" s="226"/>
      <c r="K37" s="224">
        <v>17.399999999999999</v>
      </c>
      <c r="L37" s="226">
        <v>1.3049999999999999</v>
      </c>
      <c r="M37" s="224">
        <v>6.05</v>
      </c>
      <c r="N37" s="226">
        <v>0.45500000000000002</v>
      </c>
      <c r="O37" s="220" t="s">
        <v>397</v>
      </c>
      <c r="P37" s="209"/>
    </row>
    <row r="38" spans="1:16" ht="24.6" customHeight="1" x14ac:dyDescent="0.25">
      <c r="B38" s="223" t="s">
        <v>425</v>
      </c>
      <c r="C38" s="224">
        <v>108.5</v>
      </c>
      <c r="D38" s="225">
        <v>42.5</v>
      </c>
      <c r="E38" s="226">
        <v>6</v>
      </c>
      <c r="F38" s="227">
        <v>2.5499999999999998</v>
      </c>
      <c r="G38" s="224"/>
      <c r="H38" s="226"/>
      <c r="I38" s="224"/>
      <c r="J38" s="226"/>
      <c r="K38" s="224">
        <v>18.55</v>
      </c>
      <c r="L38" s="226">
        <v>1.4</v>
      </c>
      <c r="M38" s="224">
        <v>6.1</v>
      </c>
      <c r="N38" s="226">
        <v>0.45500000000000002</v>
      </c>
      <c r="O38" s="220" t="s">
        <v>397</v>
      </c>
      <c r="P38" s="244"/>
    </row>
    <row r="39" spans="1:16" ht="24.6" customHeight="1" x14ac:dyDescent="0.25">
      <c r="B39" s="223" t="s">
        <v>426</v>
      </c>
      <c r="C39" s="224">
        <v>122.5</v>
      </c>
      <c r="D39" s="225">
        <v>42.5</v>
      </c>
      <c r="E39" s="226">
        <v>7.95</v>
      </c>
      <c r="F39" s="227">
        <v>2.5549999999999997</v>
      </c>
      <c r="G39" s="224"/>
      <c r="H39" s="226"/>
      <c r="I39" s="224"/>
      <c r="J39" s="226"/>
      <c r="K39" s="224">
        <v>22</v>
      </c>
      <c r="L39" s="226">
        <v>1.625</v>
      </c>
      <c r="M39" s="224">
        <v>6.2</v>
      </c>
      <c r="N39" s="226">
        <v>0.46500000000000002</v>
      </c>
      <c r="O39" s="220" t="s">
        <v>397</v>
      </c>
      <c r="P39" s="209"/>
    </row>
    <row r="40" spans="1:16" ht="24.6" customHeight="1" x14ac:dyDescent="0.25">
      <c r="B40" s="223" t="s">
        <v>427</v>
      </c>
      <c r="C40" s="224">
        <v>51.5</v>
      </c>
      <c r="D40" s="225">
        <v>36.5</v>
      </c>
      <c r="E40" s="226">
        <v>3.6</v>
      </c>
      <c r="F40" s="227">
        <v>2.2000000000000002</v>
      </c>
      <c r="G40" s="224"/>
      <c r="H40" s="226"/>
      <c r="I40" s="224"/>
      <c r="J40" s="226"/>
      <c r="K40" s="224">
        <v>16.2</v>
      </c>
      <c r="L40" s="226">
        <v>1.21</v>
      </c>
      <c r="M40" s="224">
        <v>6</v>
      </c>
      <c r="N40" s="226">
        <v>0.45</v>
      </c>
      <c r="O40" s="220"/>
      <c r="P40" s="209"/>
    </row>
    <row r="41" spans="1:16" ht="24.6" customHeight="1" x14ac:dyDescent="0.25">
      <c r="B41" s="223" t="s">
        <v>428</v>
      </c>
      <c r="C41" s="224">
        <v>71.5</v>
      </c>
      <c r="D41" s="225">
        <v>3</v>
      </c>
      <c r="E41" s="226"/>
      <c r="F41" s="227"/>
      <c r="G41" s="224"/>
      <c r="H41" s="226"/>
      <c r="I41" s="224"/>
      <c r="J41" s="226"/>
      <c r="K41" s="224">
        <v>27</v>
      </c>
      <c r="L41" s="226">
        <v>2.2000000000000002</v>
      </c>
      <c r="M41" s="224"/>
      <c r="N41" s="226"/>
      <c r="O41" s="220"/>
      <c r="P41" s="209"/>
    </row>
    <row r="42" spans="1:16" customFormat="1" ht="15" x14ac:dyDescent="0.25">
      <c r="A42" s="211"/>
      <c r="B42" s="212" t="s">
        <v>429</v>
      </c>
      <c r="C42" s="213">
        <v>79</v>
      </c>
      <c r="D42" s="214"/>
      <c r="E42" s="215">
        <v>3.5999999999999996</v>
      </c>
      <c r="F42" s="216"/>
      <c r="G42" s="213"/>
      <c r="H42" s="215"/>
      <c r="I42" s="213"/>
      <c r="J42" s="215"/>
      <c r="K42" s="213">
        <v>27.5</v>
      </c>
      <c r="L42" s="215">
        <v>2.2000000000000002</v>
      </c>
      <c r="M42" s="213"/>
      <c r="N42" s="215"/>
      <c r="O42" s="217"/>
      <c r="P42" s="211"/>
    </row>
    <row r="43" spans="1:16" ht="24.6" customHeight="1" x14ac:dyDescent="0.25">
      <c r="B43" s="223" t="s">
        <v>430</v>
      </c>
      <c r="C43" s="224">
        <v>67.5</v>
      </c>
      <c r="D43" s="225"/>
      <c r="E43" s="226">
        <v>2.1</v>
      </c>
      <c r="F43" s="227"/>
      <c r="G43" s="224"/>
      <c r="H43" s="226"/>
      <c r="I43" s="224"/>
      <c r="J43" s="226"/>
      <c r="K43" s="224">
        <v>16</v>
      </c>
      <c r="L43" s="226">
        <v>1.3</v>
      </c>
      <c r="M43" s="224"/>
      <c r="N43" s="226"/>
      <c r="O43" s="220" t="s">
        <v>397</v>
      </c>
      <c r="P43" s="244"/>
    </row>
    <row r="44" spans="1:16" ht="24.6" customHeight="1" x14ac:dyDescent="0.25">
      <c r="B44" s="245" t="s">
        <v>431</v>
      </c>
      <c r="C44" s="224">
        <v>118</v>
      </c>
      <c r="D44" s="225"/>
      <c r="E44" s="226">
        <v>6.6</v>
      </c>
      <c r="F44" s="227"/>
      <c r="G44" s="224"/>
      <c r="H44" s="226"/>
      <c r="I44" s="224"/>
      <c r="J44" s="226"/>
      <c r="K44" s="224">
        <v>15</v>
      </c>
      <c r="L44" s="226">
        <v>1.3</v>
      </c>
      <c r="M44" s="224"/>
      <c r="N44" s="226"/>
      <c r="O44" s="220" t="s">
        <v>397</v>
      </c>
      <c r="P44" s="244"/>
    </row>
    <row r="45" spans="1:16" ht="30" x14ac:dyDescent="0.25">
      <c r="B45" s="245" t="s">
        <v>432</v>
      </c>
      <c r="C45" s="224">
        <v>79</v>
      </c>
      <c r="D45" s="225">
        <v>46</v>
      </c>
      <c r="E45" s="226">
        <v>2.1</v>
      </c>
      <c r="F45" s="227">
        <v>2.8</v>
      </c>
      <c r="G45" s="224"/>
      <c r="H45" s="226"/>
      <c r="I45" s="224"/>
      <c r="J45" s="226"/>
      <c r="K45" s="224">
        <v>14.5</v>
      </c>
      <c r="L45" s="226">
        <v>1.1499999999999999</v>
      </c>
      <c r="M45" s="224">
        <v>5.7</v>
      </c>
      <c r="N45" s="226">
        <v>0.45500000000000002</v>
      </c>
      <c r="O45" s="220" t="s">
        <v>397</v>
      </c>
      <c r="P45" s="209"/>
    </row>
    <row r="46" spans="1:16" ht="24.6" customHeight="1" x14ac:dyDescent="0.25">
      <c r="B46" s="218" t="s">
        <v>433</v>
      </c>
      <c r="C46" s="213">
        <v>51.5</v>
      </c>
      <c r="D46" s="214">
        <v>1.1499999999999999</v>
      </c>
      <c r="E46" s="215">
        <v>19.5</v>
      </c>
      <c r="F46" s="219">
        <v>0.76</v>
      </c>
      <c r="G46" s="213"/>
      <c r="H46" s="215"/>
      <c r="I46" s="213"/>
      <c r="J46" s="215"/>
      <c r="K46" s="213">
        <v>0.49</v>
      </c>
      <c r="L46" s="215">
        <v>2.4500000000000001E-2</v>
      </c>
      <c r="M46" s="213"/>
      <c r="N46" s="215"/>
      <c r="O46" s="220" t="s">
        <v>434</v>
      </c>
      <c r="P46" s="209"/>
    </row>
    <row r="47" spans="1:16" ht="31.5" x14ac:dyDescent="0.25">
      <c r="B47" s="218" t="s">
        <v>435</v>
      </c>
      <c r="C47" s="213">
        <v>65.5</v>
      </c>
      <c r="D47" s="214"/>
      <c r="E47" s="215">
        <v>3.5149999999999997</v>
      </c>
      <c r="F47" s="219"/>
      <c r="G47" s="213"/>
      <c r="H47" s="215"/>
      <c r="I47" s="213"/>
      <c r="J47" s="215"/>
      <c r="K47" s="224">
        <v>2.605</v>
      </c>
      <c r="L47" s="226">
        <v>0.20799999999999999</v>
      </c>
      <c r="M47" s="213">
        <v>39.549999999999997</v>
      </c>
      <c r="N47" s="215">
        <v>3.2149999999999999</v>
      </c>
      <c r="O47" s="246" t="s">
        <v>436</v>
      </c>
      <c r="P47" s="209"/>
    </row>
    <row r="48" spans="1:16" ht="15.75" x14ac:dyDescent="0.25">
      <c r="B48" s="223" t="s">
        <v>437</v>
      </c>
      <c r="C48" s="224">
        <v>46</v>
      </c>
      <c r="D48" s="225"/>
      <c r="E48" s="226">
        <v>2.5499999999999998</v>
      </c>
      <c r="F48" s="227"/>
      <c r="G48" s="224"/>
      <c r="H48" s="226"/>
      <c r="I48" s="224"/>
      <c r="J48" s="226"/>
      <c r="K48" s="224">
        <v>2.605</v>
      </c>
      <c r="L48" s="226">
        <v>0.20799999999999999</v>
      </c>
      <c r="M48" s="224"/>
      <c r="N48" s="226"/>
      <c r="O48" s="220" t="s">
        <v>438</v>
      </c>
      <c r="P48" s="209"/>
    </row>
    <row r="49" spans="2:16" ht="31.5" x14ac:dyDescent="0.25">
      <c r="B49" s="247" t="s">
        <v>439</v>
      </c>
      <c r="C49" s="224"/>
      <c r="D49" s="225"/>
      <c r="E49" s="226"/>
      <c r="F49" s="227"/>
      <c r="G49" s="224"/>
      <c r="H49" s="226"/>
      <c r="I49" s="224"/>
      <c r="J49" s="226"/>
      <c r="K49" s="224"/>
      <c r="L49" s="226"/>
      <c r="M49" s="224"/>
      <c r="N49" s="226"/>
      <c r="O49" s="220"/>
      <c r="P49" s="244"/>
    </row>
    <row r="50" spans="2:16" ht="30" x14ac:dyDescent="0.25">
      <c r="B50" s="245" t="s">
        <v>440</v>
      </c>
      <c r="C50" s="224">
        <v>4783</v>
      </c>
      <c r="D50" s="225"/>
      <c r="E50" s="248">
        <v>274</v>
      </c>
      <c r="F50" s="227"/>
      <c r="G50" s="224"/>
      <c r="H50" s="248"/>
      <c r="I50" s="224"/>
      <c r="J50" s="248"/>
      <c r="K50" s="224"/>
      <c r="L50" s="248"/>
      <c r="M50" s="224"/>
      <c r="N50" s="248"/>
      <c r="O50" s="220" t="s">
        <v>441</v>
      </c>
      <c r="P50" s="244"/>
    </row>
    <row r="51" spans="2:16" ht="24.6" customHeight="1" x14ac:dyDescent="0.25">
      <c r="B51" s="245" t="s">
        <v>442</v>
      </c>
      <c r="C51" s="224">
        <v>3013</v>
      </c>
      <c r="D51" s="225"/>
      <c r="E51" s="248">
        <v>250</v>
      </c>
      <c r="F51" s="227"/>
      <c r="G51" s="224"/>
      <c r="H51" s="248"/>
      <c r="I51" s="224"/>
      <c r="J51" s="248"/>
      <c r="K51" s="224"/>
      <c r="L51" s="248"/>
      <c r="M51" s="224"/>
      <c r="N51" s="248"/>
      <c r="O51" s="220" t="s">
        <v>441</v>
      </c>
      <c r="P51" s="244"/>
    </row>
    <row r="52" spans="2:16" ht="30" x14ac:dyDescent="0.25">
      <c r="B52" s="245" t="s">
        <v>443</v>
      </c>
      <c r="C52" s="224">
        <v>3000</v>
      </c>
      <c r="D52" s="225"/>
      <c r="E52" s="248">
        <v>300</v>
      </c>
      <c r="F52" s="227"/>
      <c r="G52" s="224"/>
      <c r="H52" s="248"/>
      <c r="I52" s="224"/>
      <c r="J52" s="248"/>
      <c r="K52" s="224"/>
      <c r="L52" s="248"/>
      <c r="M52" s="224"/>
      <c r="N52" s="248"/>
      <c r="O52" s="220" t="s">
        <v>397</v>
      </c>
      <c r="P52" s="244"/>
    </row>
    <row r="53" spans="2:16" ht="24.6" customHeight="1" x14ac:dyDescent="0.25">
      <c r="B53" s="245" t="s">
        <v>444</v>
      </c>
      <c r="C53" s="224">
        <v>3350</v>
      </c>
      <c r="D53" s="225"/>
      <c r="E53" s="248">
        <v>335</v>
      </c>
      <c r="F53" s="227"/>
      <c r="G53" s="224"/>
      <c r="H53" s="248"/>
      <c r="I53" s="224"/>
      <c r="J53" s="248"/>
      <c r="K53" s="224"/>
      <c r="L53" s="248"/>
      <c r="M53" s="224"/>
      <c r="N53" s="248"/>
      <c r="O53" s="220" t="s">
        <v>397</v>
      </c>
      <c r="P53" s="244"/>
    </row>
    <row r="54" spans="2:16" ht="24.6" customHeight="1" x14ac:dyDescent="0.25">
      <c r="B54" s="245" t="s">
        <v>445</v>
      </c>
      <c r="C54" s="224">
        <v>907</v>
      </c>
      <c r="D54" s="225"/>
      <c r="E54" s="248">
        <v>68</v>
      </c>
      <c r="F54" s="227"/>
      <c r="G54" s="224"/>
      <c r="H54" s="248"/>
      <c r="I54" s="224"/>
      <c r="J54" s="248"/>
      <c r="K54" s="224"/>
      <c r="L54" s="248"/>
      <c r="M54" s="224"/>
      <c r="N54" s="248"/>
      <c r="O54" s="220" t="s">
        <v>441</v>
      </c>
      <c r="P54" s="244"/>
    </row>
    <row r="55" spans="2:16" ht="24.6" customHeight="1" x14ac:dyDescent="0.25">
      <c r="B55" s="247" t="s">
        <v>446</v>
      </c>
      <c r="C55" s="224"/>
      <c r="D55" s="225"/>
      <c r="E55" s="248"/>
      <c r="F55" s="227"/>
      <c r="G55" s="224"/>
      <c r="H55" s="248"/>
      <c r="I55" s="224"/>
      <c r="J55" s="248"/>
      <c r="K55" s="224"/>
      <c r="L55" s="248"/>
      <c r="M55" s="224"/>
      <c r="N55" s="248"/>
      <c r="O55" s="220"/>
      <c r="P55" s="244"/>
    </row>
    <row r="56" spans="2:16" ht="45" x14ac:dyDescent="0.25">
      <c r="B56" s="245" t="s">
        <v>447</v>
      </c>
      <c r="C56" s="224">
        <v>2830</v>
      </c>
      <c r="D56" s="225"/>
      <c r="E56" s="248">
        <v>162</v>
      </c>
      <c r="F56" s="227"/>
      <c r="G56" s="224"/>
      <c r="H56" s="248"/>
      <c r="I56" s="224"/>
      <c r="J56" s="248"/>
      <c r="K56" s="224"/>
      <c r="L56" s="248"/>
      <c r="M56" s="224"/>
      <c r="N56" s="248"/>
      <c r="O56" s="220" t="s">
        <v>441</v>
      </c>
      <c r="P56" s="244"/>
    </row>
    <row r="57" spans="2:16" ht="30" x14ac:dyDescent="0.25">
      <c r="B57" s="245" t="s">
        <v>448</v>
      </c>
      <c r="C57" s="224">
        <v>4670</v>
      </c>
      <c r="D57" s="225"/>
      <c r="E57" s="248">
        <v>267</v>
      </c>
      <c r="F57" s="227"/>
      <c r="G57" s="224"/>
      <c r="H57" s="248"/>
      <c r="I57" s="224"/>
      <c r="J57" s="248"/>
      <c r="K57" s="224"/>
      <c r="L57" s="248"/>
      <c r="M57" s="224"/>
      <c r="N57" s="248"/>
      <c r="O57" s="220" t="s">
        <v>441</v>
      </c>
      <c r="P57" s="244"/>
    </row>
    <row r="58" spans="2:16" ht="24.6" customHeight="1" x14ac:dyDescent="0.25">
      <c r="B58" s="245" t="s">
        <v>449</v>
      </c>
      <c r="C58" s="224">
        <v>141</v>
      </c>
      <c r="D58" s="225"/>
      <c r="E58" s="248">
        <v>8</v>
      </c>
      <c r="F58" s="227"/>
      <c r="G58" s="224"/>
      <c r="H58" s="248"/>
      <c r="I58" s="224"/>
      <c r="J58" s="248"/>
      <c r="K58" s="224"/>
      <c r="L58" s="248"/>
      <c r="M58" s="224"/>
      <c r="N58" s="248"/>
      <c r="O58" s="220" t="s">
        <v>397</v>
      </c>
      <c r="P58" s="244"/>
    </row>
    <row r="59" spans="2:16" ht="24.6" customHeight="1" x14ac:dyDescent="0.25">
      <c r="B59" s="245" t="s">
        <v>450</v>
      </c>
      <c r="C59" s="224">
        <v>200</v>
      </c>
      <c r="D59" s="225"/>
      <c r="E59" s="248">
        <v>10</v>
      </c>
      <c r="F59" s="227"/>
      <c r="G59" s="224"/>
      <c r="H59" s="248"/>
      <c r="I59" s="224"/>
      <c r="J59" s="248"/>
      <c r="K59" s="224"/>
      <c r="L59" s="248"/>
      <c r="M59" s="224"/>
      <c r="N59" s="248"/>
      <c r="O59" s="220" t="s">
        <v>397</v>
      </c>
      <c r="P59" s="244"/>
    </row>
    <row r="60" spans="2:16" ht="24.6" customHeight="1" x14ac:dyDescent="0.25">
      <c r="B60" s="245" t="s">
        <v>451</v>
      </c>
      <c r="C60" s="224">
        <v>574</v>
      </c>
      <c r="D60" s="225"/>
      <c r="E60" s="248">
        <v>30</v>
      </c>
      <c r="F60" s="227"/>
      <c r="G60" s="224"/>
      <c r="H60" s="248"/>
      <c r="I60" s="224"/>
      <c r="J60" s="248"/>
      <c r="K60" s="224"/>
      <c r="L60" s="248"/>
      <c r="M60" s="224"/>
      <c r="N60" s="248"/>
      <c r="O60" s="220" t="s">
        <v>441</v>
      </c>
      <c r="P60" s="244"/>
    </row>
    <row r="61" spans="2:16" ht="24.6" customHeight="1" x14ac:dyDescent="0.25">
      <c r="B61" s="245" t="s">
        <v>452</v>
      </c>
      <c r="C61" s="224">
        <v>254</v>
      </c>
      <c r="D61" s="225"/>
      <c r="E61" s="248">
        <v>12</v>
      </c>
      <c r="F61" s="227"/>
      <c r="G61" s="224"/>
      <c r="H61" s="248"/>
      <c r="I61" s="224"/>
      <c r="J61" s="248"/>
      <c r="K61" s="224"/>
      <c r="L61" s="248"/>
      <c r="M61" s="224"/>
      <c r="N61" s="248"/>
      <c r="O61" s="220" t="s">
        <v>441</v>
      </c>
      <c r="P61" s="244"/>
    </row>
    <row r="62" spans="2:16" ht="24.6" customHeight="1" x14ac:dyDescent="0.25">
      <c r="B62" s="245" t="s">
        <v>453</v>
      </c>
      <c r="C62" s="224">
        <v>468</v>
      </c>
      <c r="D62" s="225"/>
      <c r="E62" s="248">
        <v>27</v>
      </c>
      <c r="F62" s="227"/>
      <c r="G62" s="224"/>
      <c r="H62" s="248"/>
      <c r="I62" s="224"/>
      <c r="J62" s="248"/>
      <c r="K62" s="224"/>
      <c r="L62" s="248"/>
      <c r="M62" s="224"/>
      <c r="N62" s="248"/>
      <c r="O62" s="220" t="s">
        <v>441</v>
      </c>
      <c r="P62" s="244"/>
    </row>
    <row r="63" spans="2:16" ht="30" x14ac:dyDescent="0.25">
      <c r="B63" s="245" t="s">
        <v>454</v>
      </c>
      <c r="C63" s="224">
        <v>93</v>
      </c>
      <c r="D63" s="225"/>
      <c r="E63" s="248">
        <v>6</v>
      </c>
      <c r="F63" s="227"/>
      <c r="G63" s="224"/>
      <c r="H63" s="248"/>
      <c r="I63" s="224"/>
      <c r="J63" s="248"/>
      <c r="K63" s="224"/>
      <c r="L63" s="248"/>
      <c r="M63" s="224"/>
      <c r="N63" s="248"/>
      <c r="O63" s="220" t="s">
        <v>441</v>
      </c>
      <c r="P63" s="244"/>
    </row>
    <row r="64" spans="2:16" ht="24.6" customHeight="1" x14ac:dyDescent="0.25">
      <c r="B64" s="245" t="s">
        <v>455</v>
      </c>
      <c r="C64" s="224">
        <v>217.5</v>
      </c>
      <c r="D64" s="225"/>
      <c r="E64" s="248">
        <v>10.5</v>
      </c>
      <c r="F64" s="227"/>
      <c r="G64" s="224"/>
      <c r="H64" s="248"/>
      <c r="I64" s="224"/>
      <c r="J64" s="248"/>
      <c r="K64" s="224"/>
      <c r="L64" s="248"/>
      <c r="M64" s="224"/>
      <c r="N64" s="248"/>
      <c r="O64" s="220" t="s">
        <v>397</v>
      </c>
      <c r="P64" s="244"/>
    </row>
    <row r="65" spans="1:16" customFormat="1" ht="15" x14ac:dyDescent="0.25">
      <c r="A65" s="211"/>
      <c r="B65" s="249" t="s">
        <v>456</v>
      </c>
      <c r="C65" s="213">
        <v>248.76</v>
      </c>
      <c r="D65" s="214"/>
      <c r="E65" s="215"/>
      <c r="F65" s="250"/>
      <c r="G65" s="213"/>
      <c r="H65" s="215"/>
      <c r="I65" s="213"/>
      <c r="J65" s="215"/>
      <c r="K65" s="213"/>
      <c r="L65" s="215"/>
      <c r="M65" s="213"/>
      <c r="N65" s="215"/>
      <c r="O65" s="251" t="s">
        <v>457</v>
      </c>
      <c r="P65" s="211"/>
    </row>
    <row r="66" spans="1:16" customFormat="1" ht="15" x14ac:dyDescent="0.25">
      <c r="A66" s="211"/>
      <c r="B66" s="249" t="s">
        <v>458</v>
      </c>
      <c r="C66" s="213">
        <v>864.82799999999997</v>
      </c>
      <c r="D66" s="214"/>
      <c r="E66" s="215"/>
      <c r="F66" s="250"/>
      <c r="G66" s="213"/>
      <c r="H66" s="215"/>
      <c r="I66" s="213"/>
      <c r="J66" s="215"/>
      <c r="K66" s="213"/>
      <c r="L66" s="215"/>
      <c r="M66" s="213"/>
      <c r="N66" s="215"/>
      <c r="O66" s="251" t="s">
        <v>457</v>
      </c>
      <c r="P66" s="211"/>
    </row>
    <row r="67" spans="1:16" customFormat="1" ht="15" x14ac:dyDescent="0.25">
      <c r="A67" s="211"/>
      <c r="B67" s="249" t="s">
        <v>459</v>
      </c>
      <c r="C67" s="213">
        <v>251.316</v>
      </c>
      <c r="D67" s="214"/>
      <c r="E67" s="215"/>
      <c r="F67" s="250"/>
      <c r="G67" s="213"/>
      <c r="H67" s="215"/>
      <c r="I67" s="213"/>
      <c r="J67" s="215"/>
      <c r="K67" s="213"/>
      <c r="L67" s="215"/>
      <c r="M67" s="213"/>
      <c r="N67" s="215"/>
      <c r="O67" s="251" t="s">
        <v>457</v>
      </c>
      <c r="P67" s="211"/>
    </row>
    <row r="68" spans="1:16" customFormat="1" ht="15" x14ac:dyDescent="0.25">
      <c r="A68" s="211"/>
      <c r="B68" s="249" t="s">
        <v>460</v>
      </c>
      <c r="C68" s="213">
        <v>500.07600000000002</v>
      </c>
      <c r="D68" s="214"/>
      <c r="E68" s="215"/>
      <c r="F68" s="250"/>
      <c r="G68" s="213"/>
      <c r="H68" s="215"/>
      <c r="I68" s="213"/>
      <c r="J68" s="215"/>
      <c r="K68" s="213"/>
      <c r="L68" s="215"/>
      <c r="M68" s="213"/>
      <c r="N68" s="215"/>
      <c r="O68" s="251" t="s">
        <v>457</v>
      </c>
      <c r="P68" s="211"/>
    </row>
    <row r="69" spans="1:16" customFormat="1" ht="15" x14ac:dyDescent="0.25">
      <c r="A69" s="211"/>
      <c r="B69" s="249" t="s">
        <v>461</v>
      </c>
      <c r="C69" s="213">
        <v>441.43200000000002</v>
      </c>
      <c r="D69" s="214"/>
      <c r="E69" s="215"/>
      <c r="F69" s="250"/>
      <c r="G69" s="213"/>
      <c r="H69" s="215"/>
      <c r="I69" s="213"/>
      <c r="J69" s="215"/>
      <c r="K69" s="213"/>
      <c r="L69" s="215"/>
      <c r="M69" s="213"/>
      <c r="N69" s="215"/>
      <c r="O69" s="251" t="s">
        <v>457</v>
      </c>
      <c r="P69" s="211"/>
    </row>
    <row r="70" spans="1:16" customFormat="1" ht="15" x14ac:dyDescent="0.25">
      <c r="A70" s="211"/>
      <c r="B70" s="249" t="s">
        <v>462</v>
      </c>
      <c r="C70" s="213">
        <v>1666.6559999999999</v>
      </c>
      <c r="D70" s="214"/>
      <c r="E70" s="215"/>
      <c r="F70" s="250"/>
      <c r="G70" s="213"/>
      <c r="H70" s="215"/>
      <c r="I70" s="213"/>
      <c r="J70" s="215"/>
      <c r="K70" s="213"/>
      <c r="L70" s="215"/>
      <c r="M70" s="213"/>
      <c r="N70" s="215"/>
      <c r="O70" s="251" t="s">
        <v>457</v>
      </c>
      <c r="P70" s="211"/>
    </row>
    <row r="71" spans="1:16" customFormat="1" ht="15" x14ac:dyDescent="0.25">
      <c r="A71" s="211"/>
      <c r="B71" s="249" t="s">
        <v>463</v>
      </c>
      <c r="C71" s="213">
        <v>853.17110000000002</v>
      </c>
      <c r="D71" s="214"/>
      <c r="E71" s="215"/>
      <c r="F71" s="250"/>
      <c r="G71" s="213"/>
      <c r="H71" s="215"/>
      <c r="I71" s="213"/>
      <c r="J71" s="215"/>
      <c r="K71" s="213"/>
      <c r="L71" s="215"/>
      <c r="M71" s="213"/>
      <c r="N71" s="215"/>
      <c r="O71" s="251" t="s">
        <v>457</v>
      </c>
      <c r="P71" s="211"/>
    </row>
    <row r="72" spans="1:16" customFormat="1" ht="15" x14ac:dyDescent="0.25">
      <c r="A72" s="211"/>
      <c r="B72" s="212" t="s">
        <v>464</v>
      </c>
      <c r="C72" s="252"/>
      <c r="D72" s="214">
        <v>1.8</v>
      </c>
      <c r="E72" s="215"/>
      <c r="F72" s="250">
        <v>0.2</v>
      </c>
      <c r="G72" s="252"/>
      <c r="H72" s="215"/>
      <c r="I72" s="252"/>
      <c r="J72" s="215"/>
      <c r="K72" s="252"/>
      <c r="L72" s="215"/>
      <c r="M72" s="252"/>
      <c r="N72" s="215"/>
      <c r="O72" s="251" t="s">
        <v>457</v>
      </c>
      <c r="P72" s="211"/>
    </row>
    <row r="73" spans="1:16" customFormat="1" ht="15" x14ac:dyDescent="0.25">
      <c r="A73" s="211"/>
      <c r="B73" s="212" t="s">
        <v>465</v>
      </c>
      <c r="C73" s="252"/>
      <c r="D73" s="214"/>
      <c r="E73" s="215"/>
      <c r="F73" s="250"/>
      <c r="G73" s="252"/>
      <c r="H73" s="215"/>
      <c r="I73" s="252"/>
      <c r="J73" s="215"/>
      <c r="K73" s="252"/>
      <c r="L73" s="215"/>
      <c r="M73" s="252"/>
      <c r="N73" s="215"/>
      <c r="O73" s="251" t="s">
        <v>457</v>
      </c>
      <c r="P73" s="211"/>
    </row>
    <row r="74" spans="1:16" customFormat="1" ht="15.75" thickBot="1" x14ac:dyDescent="0.3">
      <c r="A74" s="211"/>
      <c r="B74" s="253" t="s">
        <v>466</v>
      </c>
      <c r="C74" s="254">
        <v>11880</v>
      </c>
      <c r="D74" s="255"/>
      <c r="E74" s="256">
        <v>1723</v>
      </c>
      <c r="F74" s="257">
        <v>0</v>
      </c>
      <c r="G74" s="254"/>
      <c r="H74" s="256"/>
      <c r="I74" s="254"/>
      <c r="J74" s="256"/>
      <c r="K74" s="254"/>
      <c r="L74" s="256"/>
      <c r="M74" s="254"/>
      <c r="N74" s="256"/>
      <c r="O74" s="258" t="s">
        <v>457</v>
      </c>
      <c r="P74" s="211"/>
    </row>
    <row r="75" spans="1:16" s="194" customFormat="1" ht="15.75" x14ac:dyDescent="0.25">
      <c r="B75" s="259"/>
      <c r="C75" s="260"/>
      <c r="D75" s="260"/>
      <c r="E75" s="200"/>
      <c r="F75" s="200"/>
      <c r="G75" s="260"/>
      <c r="H75" s="200"/>
      <c r="I75" s="260"/>
      <c r="J75" s="200"/>
      <c r="K75" s="260"/>
      <c r="L75" s="200"/>
      <c r="M75" s="260"/>
      <c r="N75" s="200"/>
      <c r="O75" s="200"/>
      <c r="P75" s="244"/>
    </row>
    <row r="76" spans="1:16" s="194" customFormat="1" ht="23.45" customHeight="1" x14ac:dyDescent="0.25">
      <c r="B76" s="261" t="s">
        <v>467</v>
      </c>
      <c r="C76" s="199" t="s">
        <v>468</v>
      </c>
      <c r="D76" s="195"/>
      <c r="G76" s="199" t="s">
        <v>468</v>
      </c>
      <c r="I76" s="199" t="s">
        <v>468</v>
      </c>
      <c r="K76" s="199" t="s">
        <v>468</v>
      </c>
      <c r="M76" s="199" t="s">
        <v>468</v>
      </c>
      <c r="P76" s="244"/>
    </row>
    <row r="77" spans="1:16" s="194" customFormat="1" ht="23.45" customHeight="1" x14ac:dyDescent="0.25">
      <c r="B77" s="262"/>
      <c r="C77" s="198" t="s">
        <v>469</v>
      </c>
      <c r="D77" s="195"/>
      <c r="G77" s="198" t="s">
        <v>469</v>
      </c>
      <c r="I77" s="198" t="s">
        <v>469</v>
      </c>
      <c r="K77" s="198" t="s">
        <v>469</v>
      </c>
      <c r="M77" s="198" t="s">
        <v>469</v>
      </c>
      <c r="P77" s="263"/>
    </row>
    <row r="78" spans="1:16" s="194" customFormat="1" x14ac:dyDescent="0.25">
      <c r="B78" s="262"/>
      <c r="C78" s="195"/>
      <c r="D78" s="195"/>
      <c r="G78" s="195"/>
      <c r="I78" s="195"/>
      <c r="K78" s="195"/>
      <c r="M78" s="195"/>
      <c r="P78" s="263"/>
    </row>
    <row r="79" spans="1:16" hidden="1" x14ac:dyDescent="0.25">
      <c r="B79" s="264"/>
      <c r="P79" s="263"/>
    </row>
    <row r="80" spans="1:16" hidden="1" x14ac:dyDescent="0.25">
      <c r="B80" s="264"/>
      <c r="P80" s="263"/>
    </row>
    <row r="81" spans="2:16" hidden="1" x14ac:dyDescent="0.25">
      <c r="B81" s="264"/>
      <c r="P81" s="263"/>
    </row>
    <row r="82" spans="2:16" hidden="1" x14ac:dyDescent="0.25">
      <c r="B82" s="264"/>
      <c r="P82" s="263"/>
    </row>
    <row r="83" spans="2:16" hidden="1" x14ac:dyDescent="0.25">
      <c r="B83" s="264"/>
      <c r="P83" s="263"/>
    </row>
    <row r="84" spans="2:16" hidden="1" x14ac:dyDescent="0.25">
      <c r="B84" s="264"/>
      <c r="P84" s="263"/>
    </row>
    <row r="85" spans="2:16" hidden="1" x14ac:dyDescent="0.25">
      <c r="B85" s="264"/>
      <c r="P85" s="263"/>
    </row>
    <row r="86" spans="2:16" hidden="1" x14ac:dyDescent="0.25">
      <c r="B86" s="264"/>
      <c r="P86" s="263"/>
    </row>
    <row r="87" spans="2:16" hidden="1" x14ac:dyDescent="0.25">
      <c r="B87" s="264"/>
      <c r="P87" s="263"/>
    </row>
    <row r="88" spans="2:16" hidden="1" x14ac:dyDescent="0.25">
      <c r="B88" s="264"/>
      <c r="P88" s="263"/>
    </row>
    <row r="89" spans="2:16" hidden="1" x14ac:dyDescent="0.25">
      <c r="B89" s="264"/>
      <c r="P89" s="263"/>
    </row>
    <row r="90" spans="2:16" hidden="1" x14ac:dyDescent="0.25">
      <c r="B90" s="264"/>
      <c r="P90" s="263"/>
    </row>
    <row r="91" spans="2:16" hidden="1" x14ac:dyDescent="0.25">
      <c r="B91" s="264"/>
      <c r="P91" s="263"/>
    </row>
    <row r="92" spans="2:16" hidden="1" x14ac:dyDescent="0.25">
      <c r="B92" s="264"/>
      <c r="P92" s="263"/>
    </row>
    <row r="93" spans="2:16" hidden="1" x14ac:dyDescent="0.25">
      <c r="B93" s="264"/>
      <c r="P93" s="263"/>
    </row>
    <row r="94" spans="2:16" hidden="1" x14ac:dyDescent="0.25">
      <c r="B94" s="264"/>
      <c r="P94" s="263"/>
    </row>
    <row r="95" spans="2:16" hidden="1" x14ac:dyDescent="0.25">
      <c r="B95" s="264"/>
      <c r="P95" s="263"/>
    </row>
    <row r="96" spans="2:16" hidden="1" x14ac:dyDescent="0.25">
      <c r="B96" s="264"/>
      <c r="P96" s="263"/>
    </row>
    <row r="97" spans="2:16" hidden="1" x14ac:dyDescent="0.25">
      <c r="B97" s="264"/>
      <c r="P97" s="263"/>
    </row>
    <row r="98" spans="2:16" hidden="1" x14ac:dyDescent="0.25">
      <c r="B98" s="264"/>
      <c r="P98" s="263"/>
    </row>
    <row r="99" spans="2:16" hidden="1" x14ac:dyDescent="0.25">
      <c r="B99" s="264"/>
      <c r="P99" s="263"/>
    </row>
    <row r="100" spans="2:16" hidden="1" x14ac:dyDescent="0.25">
      <c r="B100" s="264"/>
      <c r="P100" s="263"/>
    </row>
    <row r="101" spans="2:16" hidden="1" x14ac:dyDescent="0.25">
      <c r="B101" s="264"/>
      <c r="P101" s="263"/>
    </row>
    <row r="102" spans="2:16" hidden="1" x14ac:dyDescent="0.25">
      <c r="B102" s="264"/>
      <c r="P102" s="263"/>
    </row>
    <row r="103" spans="2:16" hidden="1" x14ac:dyDescent="0.25">
      <c r="B103" s="264"/>
      <c r="P103" s="263"/>
    </row>
    <row r="104" spans="2:16" hidden="1" x14ac:dyDescent="0.25">
      <c r="B104" s="264"/>
      <c r="P104" s="263"/>
    </row>
    <row r="105" spans="2:16" hidden="1" x14ac:dyDescent="0.25">
      <c r="B105" s="264"/>
      <c r="P105" s="263"/>
    </row>
    <row r="106" spans="2:16" hidden="1" x14ac:dyDescent="0.25">
      <c r="B106" s="264"/>
    </row>
    <row r="107" spans="2:16" hidden="1" x14ac:dyDescent="0.25">
      <c r="B107" s="264"/>
    </row>
  </sheetData>
  <mergeCells count="7">
    <mergeCell ref="O4:O5"/>
    <mergeCell ref="C4:D4"/>
    <mergeCell ref="E4:F4"/>
    <mergeCell ref="G4:H4"/>
    <mergeCell ref="I4:J4"/>
    <mergeCell ref="K4:L4"/>
    <mergeCell ref="M4: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73"/>
  <sheetViews>
    <sheetView workbookViewId="0">
      <selection activeCell="K24" sqref="K2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2.42578125" style="3" customWidth="1"/>
    <col min="14" max="14" width="17.5703125" style="3" customWidth="1"/>
    <col min="15" max="15" width="9.7109375" style="3" customWidth="1"/>
    <col min="16" max="16384" width="9.140625" style="3"/>
  </cols>
  <sheetData>
    <row r="1" spans="1:12" x14ac:dyDescent="0.25">
      <c r="A1" s="2"/>
    </row>
    <row r="2" spans="1:12" x14ac:dyDescent="0.25">
      <c r="A2" s="2" t="s">
        <v>23</v>
      </c>
      <c r="B2" s="37">
        <f>'US Mat Flow Analysis 2018'!B41+'US Mat Flow Analysis 2018'!C41</f>
        <v>33727524.41244211</v>
      </c>
      <c r="C2" s="3" t="s">
        <v>24</v>
      </c>
    </row>
    <row r="3" spans="1:12" x14ac:dyDescent="0.25">
      <c r="A3" s="2"/>
    </row>
    <row r="4" spans="1:12" x14ac:dyDescent="0.25">
      <c r="A4" s="5" t="s">
        <v>25</v>
      </c>
      <c r="B4" s="5" t="s">
        <v>26</v>
      </c>
      <c r="C4" s="5" t="s">
        <v>57</v>
      </c>
      <c r="D4" s="24"/>
      <c r="F4" s="5" t="s">
        <v>35</v>
      </c>
      <c r="G4" s="324" t="s">
        <v>36</v>
      </c>
      <c r="H4" s="325"/>
      <c r="L4" s="2" t="s">
        <v>101</v>
      </c>
    </row>
    <row r="5" spans="1:12" x14ac:dyDescent="0.25">
      <c r="A5" s="6" t="s">
        <v>27</v>
      </c>
      <c r="B5" s="16">
        <f>'US Mat Flow Analysis 2018'!B3/'US Mat Flow Analysis 2018'!$B$41</f>
        <v>0.15235058572065568</v>
      </c>
      <c r="C5" s="111">
        <f>$B$2*B5</f>
        <v>5138408.0991432685</v>
      </c>
      <c r="D5" s="25"/>
      <c r="F5" s="8"/>
      <c r="G5" s="9" t="s">
        <v>37</v>
      </c>
      <c r="H5" s="9" t="s">
        <v>38</v>
      </c>
      <c r="I5" s="9" t="s">
        <v>66</v>
      </c>
      <c r="K5" s="6" t="s">
        <v>9</v>
      </c>
      <c r="L5" s="3">
        <f>SUM(B40,G40,G53)</f>
        <v>295793.4358762952</v>
      </c>
    </row>
    <row r="6" spans="1:12" x14ac:dyDescent="0.25">
      <c r="A6" s="6" t="s">
        <v>28</v>
      </c>
      <c r="B6" s="16">
        <f>'US Mat Flow Analysis 2018'!B4/'US Mat Flow Analysis 2018'!$B$41</f>
        <v>0.18402465616367919</v>
      </c>
      <c r="C6" s="111">
        <f>'US Mat Flow Analysis 2018'!B4</f>
        <v>5921878.1438907571</v>
      </c>
      <c r="D6" s="25"/>
      <c r="F6" s="6" t="s">
        <v>9</v>
      </c>
      <c r="G6" s="7">
        <v>0.1</v>
      </c>
      <c r="H6" s="7">
        <v>0.7</v>
      </c>
      <c r="I6" s="10">
        <f>(G6+H6)/2</f>
        <v>0.39999999999999997</v>
      </c>
      <c r="K6" s="6" t="s">
        <v>10</v>
      </c>
      <c r="L6" s="3">
        <f>SUM(B20,B32,B55,G31,G57)</f>
        <v>206064.69348586869</v>
      </c>
    </row>
    <row r="7" spans="1:12" x14ac:dyDescent="0.25">
      <c r="A7" s="6" t="s">
        <v>29</v>
      </c>
      <c r="B7" s="16">
        <f>'US Mat Flow Analysis 2018'!B5/'US Mat Flow Analysis 2018'!$B$41</f>
        <v>2.2093806417297177E-2</v>
      </c>
      <c r="C7" s="111">
        <f>'US Mat Flow Analysis 2018'!B5</f>
        <v>710974.45345352951</v>
      </c>
      <c r="D7" s="25"/>
      <c r="F7" s="6" t="s">
        <v>10</v>
      </c>
      <c r="G7" s="7">
        <v>7.0000000000000001E-3</v>
      </c>
      <c r="H7" s="7">
        <v>0.25</v>
      </c>
      <c r="I7" s="10">
        <f t="shared" ref="I7:I21" si="0">(G7+H7)/2</f>
        <v>0.1285</v>
      </c>
      <c r="K7" s="6" t="s">
        <v>39</v>
      </c>
      <c r="L7" s="3">
        <f>SUM(B19,B30,B33,B43,B54,B70,G30,G32,G41,G55,G63)</f>
        <v>255505.3761957894</v>
      </c>
    </row>
    <row r="8" spans="1:12" x14ac:dyDescent="0.25">
      <c r="A8" s="6" t="s">
        <v>30</v>
      </c>
      <c r="B8" s="16">
        <f>'US Mat Flow Analysis 2018'!B6/'US Mat Flow Analysis 2018'!$B$41</f>
        <v>0.25526001271304521</v>
      </c>
      <c r="C8" s="111">
        <f>'US Mat Flow Analysis 2018'!B6</f>
        <v>8214218.256439303</v>
      </c>
      <c r="D8" s="25"/>
      <c r="F8" s="6" t="s">
        <v>39</v>
      </c>
      <c r="G8" s="7">
        <v>5.0000000000000001E-3</v>
      </c>
      <c r="H8" s="7">
        <v>0.03</v>
      </c>
      <c r="I8" s="10">
        <f t="shared" si="0"/>
        <v>1.7499999999999998E-2</v>
      </c>
      <c r="K8" s="6" t="s">
        <v>40</v>
      </c>
      <c r="L8" s="3">
        <f>SUM(B29,B41,B52,G54,G28,G45,B68)</f>
        <v>136385.97796476638</v>
      </c>
    </row>
    <row r="9" spans="1:12" x14ac:dyDescent="0.25">
      <c r="A9" s="6" t="s">
        <v>31</v>
      </c>
      <c r="B9" s="16">
        <f>'US Mat Flow Analysis 2018'!B7/'US Mat Flow Analysis 2018'!$B$41</f>
        <v>2.0614173854632302E-3</v>
      </c>
      <c r="C9" s="111">
        <f>'US Mat Flow Analysis 2018'!B7</f>
        <v>66336.016134453777</v>
      </c>
      <c r="D9" s="25"/>
      <c r="F9" s="6" t="s">
        <v>40</v>
      </c>
      <c r="G9" s="7">
        <v>5.0000000000000001E-3</v>
      </c>
      <c r="H9" s="7">
        <v>0.03</v>
      </c>
      <c r="I9" s="10">
        <f t="shared" si="0"/>
        <v>1.7499999999999998E-2</v>
      </c>
      <c r="K9" s="6" t="s">
        <v>12</v>
      </c>
      <c r="L9" s="3">
        <f>SUM(B42,B53,B69,G68,G29)</f>
        <v>21288.981432928067</v>
      </c>
    </row>
    <row r="10" spans="1:12" x14ac:dyDescent="0.25">
      <c r="A10" s="6" t="s">
        <v>32</v>
      </c>
      <c r="B10" s="16">
        <f>'US Mat Flow Analysis 2018'!B8/'US Mat Flow Analysis 2018'!$B$41</f>
        <v>0.2480650260819989</v>
      </c>
      <c r="C10" s="111">
        <f>'US Mat Flow Analysis 2018'!B8</f>
        <v>7982684.9664757997</v>
      </c>
      <c r="D10" s="25"/>
      <c r="F10" s="6" t="s">
        <v>12</v>
      </c>
      <c r="G10" s="7">
        <v>1E-3</v>
      </c>
      <c r="H10" s="7">
        <v>0.03</v>
      </c>
      <c r="I10" s="10">
        <f t="shared" si="0"/>
        <v>1.55E-2</v>
      </c>
      <c r="K10" s="6" t="s">
        <v>41</v>
      </c>
      <c r="L10" s="3">
        <f>SUM(B44,G67)</f>
        <v>2891.5983426284984</v>
      </c>
    </row>
    <row r="11" spans="1:12" x14ac:dyDescent="0.25">
      <c r="A11" s="6" t="s">
        <v>33</v>
      </c>
      <c r="B11" s="16">
        <f>'US Mat Flow Analysis 2018'!B9/'US Mat Flow Analysis 2018'!$B$41</f>
        <v>6.8380763864295188E-2</v>
      </c>
      <c r="C11" s="111">
        <f>'US Mat Flow Analysis 2018'!B9</f>
        <v>2200479.8673844649</v>
      </c>
      <c r="D11" s="25"/>
      <c r="F11" s="6" t="s">
        <v>41</v>
      </c>
      <c r="G11" s="7">
        <v>1E-3</v>
      </c>
      <c r="H11" s="7">
        <v>0.03</v>
      </c>
      <c r="I11" s="10">
        <f t="shared" si="0"/>
        <v>1.55E-2</v>
      </c>
      <c r="K11" s="6" t="s">
        <v>42</v>
      </c>
      <c r="L11" s="3">
        <f>SUM(B21,B71,G69)</f>
        <v>9519.5118557027017</v>
      </c>
    </row>
    <row r="12" spans="1:12" x14ac:dyDescent="0.25">
      <c r="A12" s="6" t="s">
        <v>34</v>
      </c>
      <c r="B12" s="16">
        <f>'US Mat Flow Analysis 2018'!B10/'US Mat Flow Analysis 2018'!$B$41</f>
        <v>6.7763731653565612E-2</v>
      </c>
      <c r="C12" s="111">
        <f>'US Mat Flow Analysis 2018'!B10</f>
        <v>2180623.8891749685</v>
      </c>
      <c r="D12" s="25"/>
      <c r="F12" s="6" t="s">
        <v>42</v>
      </c>
      <c r="G12" s="7">
        <v>1E-3</v>
      </c>
      <c r="H12" s="7">
        <v>0.01</v>
      </c>
      <c r="I12" s="10">
        <f t="shared" si="0"/>
        <v>5.4999999999999997E-3</v>
      </c>
      <c r="K12" s="6" t="s">
        <v>43</v>
      </c>
      <c r="L12" s="3">
        <f>SUM(G58)</f>
        <v>2180.6238891749686</v>
      </c>
    </row>
    <row r="13" spans="1:12" x14ac:dyDescent="0.25">
      <c r="C13" s="3" t="s">
        <v>179</v>
      </c>
      <c r="F13" s="6" t="s">
        <v>43</v>
      </c>
      <c r="G13" s="7">
        <v>1E-3</v>
      </c>
      <c r="H13" s="7">
        <v>0.02</v>
      </c>
      <c r="I13" s="10">
        <f t="shared" si="0"/>
        <v>1.0500000000000001E-2</v>
      </c>
      <c r="K13" s="6" t="s">
        <v>44</v>
      </c>
      <c r="L13" s="3">
        <f>SUM(G59)</f>
        <v>10903.119445874843</v>
      </c>
    </row>
    <row r="14" spans="1:12" x14ac:dyDescent="0.25">
      <c r="F14" s="6" t="s">
        <v>44</v>
      </c>
      <c r="G14" s="7">
        <v>5.0000000000000001E-3</v>
      </c>
      <c r="H14" s="7">
        <v>0.20499999999999999</v>
      </c>
      <c r="I14" s="10">
        <f t="shared" si="0"/>
        <v>0.105</v>
      </c>
      <c r="K14" s="6" t="s">
        <v>45</v>
      </c>
      <c r="L14" s="3">
        <f>SUM(G44,G60)</f>
        <v>22.469599053094225</v>
      </c>
    </row>
    <row r="15" spans="1:12" ht="18.75" x14ac:dyDescent="0.25">
      <c r="A15" s="323" t="s">
        <v>1</v>
      </c>
      <c r="B15" s="323"/>
      <c r="C15" s="323"/>
      <c r="D15" s="323"/>
      <c r="F15" s="6" t="s">
        <v>45</v>
      </c>
      <c r="G15" s="7">
        <v>1.0000000000000001E-5</v>
      </c>
      <c r="H15" s="7">
        <v>0.01</v>
      </c>
      <c r="I15" s="10">
        <f t="shared" si="0"/>
        <v>5.0049999999999999E-3</v>
      </c>
      <c r="K15" s="6" t="s">
        <v>11</v>
      </c>
      <c r="L15" s="3">
        <f>SUM(B31,B45,B72,G33,G46,G56)</f>
        <v>48236.276566193701</v>
      </c>
    </row>
    <row r="16" spans="1:12" x14ac:dyDescent="0.25">
      <c r="A16" s="11" t="s">
        <v>35</v>
      </c>
      <c r="B16" s="322" t="s">
        <v>58</v>
      </c>
      <c r="C16" s="322"/>
      <c r="D16" s="322"/>
      <c r="F16" s="6" t="s">
        <v>11</v>
      </c>
      <c r="G16" s="7">
        <v>2.5000000000000001E-3</v>
      </c>
      <c r="H16" s="7">
        <v>0.05</v>
      </c>
      <c r="I16" s="10">
        <f t="shared" si="0"/>
        <v>2.6250000000000002E-2</v>
      </c>
      <c r="K16" s="6" t="s">
        <v>46</v>
      </c>
      <c r="L16" s="3">
        <f>SUM(B23,B34,G34,B46,B57,G64,B73)</f>
        <v>323.49267675962096</v>
      </c>
    </row>
    <row r="17" spans="1:15" x14ac:dyDescent="0.25">
      <c r="A17" s="8"/>
      <c r="B17" s="9" t="s">
        <v>37</v>
      </c>
      <c r="C17" s="9" t="s">
        <v>38</v>
      </c>
      <c r="D17" s="9" t="s">
        <v>66</v>
      </c>
      <c r="F17" s="6" t="s">
        <v>46</v>
      </c>
      <c r="G17" s="7">
        <v>1.0000000000000001E-5</v>
      </c>
      <c r="H17" s="7">
        <v>2.5000000000000001E-2</v>
      </c>
      <c r="I17" s="10">
        <f t="shared" si="0"/>
        <v>1.2505E-2</v>
      </c>
      <c r="K17" s="6" t="s">
        <v>48</v>
      </c>
      <c r="L17" s="3">
        <f>SUM(B22,B56,G61)</f>
        <v>2295.2575432191052</v>
      </c>
    </row>
    <row r="18" spans="1:15" x14ac:dyDescent="0.25">
      <c r="A18" s="12" t="s">
        <v>47</v>
      </c>
      <c r="B18" s="9">
        <f>$C$5-SUM(B19:B23)</f>
        <v>5070786.6485585431</v>
      </c>
      <c r="C18" s="13">
        <f>$C$5-SUM(C19:C23)</f>
        <v>3518781.8662933102</v>
      </c>
      <c r="D18" s="13">
        <f>(B18+C18)/2</f>
        <v>4294784.2574259266</v>
      </c>
      <c r="F18" s="6" t="s">
        <v>48</v>
      </c>
      <c r="G18" s="7">
        <v>1.4999999999999999E-4</v>
      </c>
      <c r="H18" s="7">
        <v>2.0000000000000001E-4</v>
      </c>
      <c r="I18" s="10">
        <f t="shared" si="0"/>
        <v>1.75E-4</v>
      </c>
      <c r="K18" s="6" t="s">
        <v>50</v>
      </c>
      <c r="L18" s="3">
        <f>SUM(G62)</f>
        <v>218.06238891749686</v>
      </c>
    </row>
    <row r="19" spans="1:15" x14ac:dyDescent="0.25">
      <c r="A19" s="6" t="s">
        <v>49</v>
      </c>
      <c r="B19" s="7">
        <f>$C$5*G8</f>
        <v>25692.040495716345</v>
      </c>
      <c r="C19" s="7">
        <f>$C$5*H8</f>
        <v>154152.24297429805</v>
      </c>
      <c r="D19" s="13">
        <f t="shared" ref="D19:D73" si="1">(B19+C19)/2</f>
        <v>89922.141735007201</v>
      </c>
      <c r="F19" s="6" t="s">
        <v>50</v>
      </c>
      <c r="G19" s="7">
        <v>1E-4</v>
      </c>
      <c r="H19" s="7">
        <v>0.1</v>
      </c>
      <c r="I19" s="10">
        <f t="shared" si="0"/>
        <v>5.0050000000000004E-2</v>
      </c>
      <c r="K19" s="6" t="s">
        <v>14</v>
      </c>
      <c r="L19" s="3">
        <f>SUM(G42,G65)</f>
        <v>22.469599053094225</v>
      </c>
    </row>
    <row r="20" spans="1:15" x14ac:dyDescent="0.25">
      <c r="A20" s="6" t="s">
        <v>10</v>
      </c>
      <c r="B20" s="7">
        <f>$C$5*G7</f>
        <v>35968.856694002883</v>
      </c>
      <c r="C20" s="7">
        <f>$C$5*H7</f>
        <v>1284602.0247858171</v>
      </c>
      <c r="D20" s="13">
        <f t="shared" si="1"/>
        <v>660285.44073991</v>
      </c>
      <c r="F20" s="6" t="s">
        <v>14</v>
      </c>
      <c r="G20" s="7">
        <v>1.0000000000000001E-5</v>
      </c>
      <c r="H20" s="7">
        <v>0.5</v>
      </c>
      <c r="I20" s="10">
        <f t="shared" si="0"/>
        <v>0.25000499999999998</v>
      </c>
      <c r="K20" s="6" t="s">
        <v>15</v>
      </c>
      <c r="L20" s="3">
        <f>SUM(G66,G43)</f>
        <v>337043.98579641333</v>
      </c>
    </row>
    <row r="21" spans="1:15" x14ac:dyDescent="0.25">
      <c r="A21" s="6" t="s">
        <v>51</v>
      </c>
      <c r="B21" s="7">
        <f>$C$5*G12</f>
        <v>5138.4080991432684</v>
      </c>
      <c r="C21" s="7">
        <f>$C$5*H12</f>
        <v>51384.080991432689</v>
      </c>
      <c r="D21" s="13">
        <f t="shared" si="1"/>
        <v>28261.24454528798</v>
      </c>
      <c r="F21" s="6" t="s">
        <v>15</v>
      </c>
      <c r="G21" s="7">
        <v>0.15</v>
      </c>
      <c r="H21" s="7">
        <v>0.3</v>
      </c>
      <c r="I21" s="10">
        <f t="shared" si="0"/>
        <v>0.22499999999999998</v>
      </c>
      <c r="M21" s="3" t="s">
        <v>279</v>
      </c>
    </row>
    <row r="22" spans="1:15" x14ac:dyDescent="0.25">
      <c r="A22" s="6" t="s">
        <v>48</v>
      </c>
      <c r="B22" s="7">
        <f>$C$5*G18</f>
        <v>770.76121487149021</v>
      </c>
      <c r="C22" s="7">
        <f>$C$5*H18</f>
        <v>1027.6816198286538</v>
      </c>
      <c r="D22" s="13">
        <f t="shared" si="1"/>
        <v>899.22141735007199</v>
      </c>
      <c r="L22" s="19"/>
      <c r="M22" s="15" t="s">
        <v>226</v>
      </c>
      <c r="N22" s="37"/>
      <c r="O22" s="37"/>
    </row>
    <row r="23" spans="1:15" x14ac:dyDescent="0.25">
      <c r="A23" s="6" t="s">
        <v>46</v>
      </c>
      <c r="B23" s="7">
        <f>$C$5*G17</f>
        <v>51.38408099143269</v>
      </c>
      <c r="C23" s="7">
        <f>$C$5*H17</f>
        <v>128460.20247858172</v>
      </c>
      <c r="D23" s="13">
        <f t="shared" si="1"/>
        <v>64255.793279786572</v>
      </c>
      <c r="K23" s="2" t="s">
        <v>333</v>
      </c>
      <c r="L23" s="19"/>
      <c r="M23" s="2" t="s">
        <v>213</v>
      </c>
      <c r="N23" s="2" t="s">
        <v>214</v>
      </c>
      <c r="O23" s="2" t="s">
        <v>215</v>
      </c>
    </row>
    <row r="24" spans="1:15" ht="18.75" x14ac:dyDescent="0.25">
      <c r="D24" s="22"/>
      <c r="F24" s="323" t="s">
        <v>4</v>
      </c>
      <c r="G24" s="323"/>
      <c r="H24" s="323"/>
      <c r="I24" s="323"/>
      <c r="K24" s="3" t="s">
        <v>27</v>
      </c>
      <c r="L24" s="19">
        <f>C5</f>
        <v>5138408.0991432685</v>
      </c>
      <c r="M24" s="99">
        <v>2.2000000000000002</v>
      </c>
      <c r="N24" s="3">
        <f t="shared" ref="N24:N31" si="2">L24*M24</f>
        <v>11304497.818115192</v>
      </c>
      <c r="O24" s="3">
        <f t="shared" ref="O24:O31" si="3">N24*1.10231</f>
        <v>12461060.989886556</v>
      </c>
    </row>
    <row r="25" spans="1:15" ht="18.75" x14ac:dyDescent="0.25">
      <c r="A25" s="323" t="s">
        <v>2</v>
      </c>
      <c r="B25" s="323"/>
      <c r="C25" s="323"/>
      <c r="D25" s="323"/>
      <c r="F25" s="11" t="s">
        <v>35</v>
      </c>
      <c r="G25" s="322" t="s">
        <v>60</v>
      </c>
      <c r="H25" s="322"/>
      <c r="I25" s="322"/>
      <c r="K25" s="3" t="s">
        <v>28</v>
      </c>
      <c r="L25" s="19">
        <f t="shared" ref="L25:L31" si="4">C6</f>
        <v>5921878.1438907571</v>
      </c>
      <c r="M25" s="99">
        <v>1.53</v>
      </c>
      <c r="N25" s="3">
        <f t="shared" si="2"/>
        <v>9060473.5601528585</v>
      </c>
      <c r="O25" s="3">
        <f t="shared" si="3"/>
        <v>9987450.610092096</v>
      </c>
    </row>
    <row r="26" spans="1:15" x14ac:dyDescent="0.25">
      <c r="A26" s="11" t="s">
        <v>35</v>
      </c>
      <c r="B26" s="322" t="s">
        <v>59</v>
      </c>
      <c r="C26" s="322"/>
      <c r="D26" s="322"/>
      <c r="F26" s="8"/>
      <c r="G26" s="9" t="s">
        <v>37</v>
      </c>
      <c r="H26" s="9" t="s">
        <v>38</v>
      </c>
      <c r="I26" s="9" t="s">
        <v>66</v>
      </c>
      <c r="K26" s="3" t="s">
        <v>29</v>
      </c>
      <c r="L26" s="19">
        <f t="shared" si="4"/>
        <v>710974.45345352951</v>
      </c>
      <c r="M26" s="99">
        <v>1.9</v>
      </c>
      <c r="N26" s="3">
        <f t="shared" si="2"/>
        <v>1350851.4615617059</v>
      </c>
      <c r="O26" s="3">
        <f t="shared" si="3"/>
        <v>1489057.0745940839</v>
      </c>
    </row>
    <row r="27" spans="1:15" x14ac:dyDescent="0.25">
      <c r="A27" s="8"/>
      <c r="B27" s="9" t="s">
        <v>37</v>
      </c>
      <c r="C27" s="9" t="s">
        <v>38</v>
      </c>
      <c r="D27" s="13" t="s">
        <v>66</v>
      </c>
      <c r="F27" s="12" t="s">
        <v>47</v>
      </c>
      <c r="G27" s="9">
        <f>$C$8-SUM(G28:G34)</f>
        <v>8004673.548717536</v>
      </c>
      <c r="H27" s="9">
        <f>$C$8-SUM(H28:H34)</f>
        <v>4558891.1323238127</v>
      </c>
      <c r="I27" s="7">
        <f>(G27+H27)/2</f>
        <v>6281782.3405206744</v>
      </c>
      <c r="K27" s="3" t="s">
        <v>122</v>
      </c>
      <c r="L27" s="19">
        <f t="shared" si="4"/>
        <v>8214218.256439303</v>
      </c>
      <c r="M27" s="99">
        <v>1.76</v>
      </c>
      <c r="N27" s="3">
        <f t="shared" si="2"/>
        <v>14457024.131333174</v>
      </c>
      <c r="O27" s="3">
        <f t="shared" si="3"/>
        <v>15936122.270209869</v>
      </c>
    </row>
    <row r="28" spans="1:15" x14ac:dyDescent="0.25">
      <c r="A28" s="12" t="s">
        <v>47</v>
      </c>
      <c r="B28" s="9">
        <f>$C$6-SUM(B29:B34)</f>
        <v>5764889.1542962128</v>
      </c>
      <c r="C28" s="13">
        <f>$C$5-SUM(C29:C34)</f>
        <v>1378015.4777726377</v>
      </c>
      <c r="D28" s="13">
        <f t="shared" si="1"/>
        <v>3571452.3160344251</v>
      </c>
      <c r="F28" s="12" t="s">
        <v>40</v>
      </c>
      <c r="G28" s="7">
        <f>$C$8*G9</f>
        <v>41071.091282196518</v>
      </c>
      <c r="H28" s="7">
        <f>$C$8*H9</f>
        <v>246426.54769317908</v>
      </c>
      <c r="I28" s="7">
        <f t="shared" ref="I28:I69" si="5">(G28+H28)/2</f>
        <v>143748.81948768778</v>
      </c>
      <c r="K28" s="3" t="s">
        <v>31</v>
      </c>
      <c r="L28" s="19">
        <f t="shared" si="4"/>
        <v>66336.016134453777</v>
      </c>
      <c r="M28" s="99">
        <v>2.09</v>
      </c>
      <c r="N28" s="3">
        <f t="shared" si="2"/>
        <v>138642.27372100839</v>
      </c>
      <c r="O28" s="3">
        <f t="shared" si="3"/>
        <v>152826.76474540474</v>
      </c>
    </row>
    <row r="29" spans="1:15" x14ac:dyDescent="0.25">
      <c r="A29" s="6" t="s">
        <v>40</v>
      </c>
      <c r="B29" s="7">
        <f>$C$6*G9</f>
        <v>29609.390719453786</v>
      </c>
      <c r="C29" s="7">
        <f>$C$6*H9</f>
        <v>177656.34431672271</v>
      </c>
      <c r="D29" s="13">
        <f t="shared" si="1"/>
        <v>103632.86751808824</v>
      </c>
      <c r="F29" s="6" t="s">
        <v>52</v>
      </c>
      <c r="G29" s="7">
        <f>$C$8*G10</f>
        <v>8214.2182564393024</v>
      </c>
      <c r="H29" s="7">
        <f>$C$8*H10</f>
        <v>246426.54769317908</v>
      </c>
      <c r="I29" s="7">
        <f t="shared" si="5"/>
        <v>127320.3829748092</v>
      </c>
      <c r="K29" s="3" t="s">
        <v>32</v>
      </c>
      <c r="L29" s="19">
        <f t="shared" si="4"/>
        <v>7982684.9664757997</v>
      </c>
      <c r="M29" s="99">
        <v>1.51</v>
      </c>
      <c r="N29" s="3">
        <f t="shared" si="2"/>
        <v>12053854.299378458</v>
      </c>
      <c r="O29" s="3">
        <f t="shared" si="3"/>
        <v>13287084.132747868</v>
      </c>
    </row>
    <row r="30" spans="1:15" x14ac:dyDescent="0.25">
      <c r="A30" s="6" t="s">
        <v>49</v>
      </c>
      <c r="B30" s="7">
        <f>$C$6*G8</f>
        <v>29609.390719453786</v>
      </c>
      <c r="C30" s="7">
        <f>$C$6*H8</f>
        <v>177656.34431672271</v>
      </c>
      <c r="D30" s="13">
        <f t="shared" si="1"/>
        <v>103632.86751808824</v>
      </c>
      <c r="F30" s="6" t="s">
        <v>49</v>
      </c>
      <c r="G30" s="7">
        <f>$C$8*G8</f>
        <v>41071.091282196518</v>
      </c>
      <c r="H30" s="7">
        <f>$C$8*H8</f>
        <v>246426.54769317908</v>
      </c>
      <c r="I30" s="7">
        <f t="shared" si="5"/>
        <v>143748.81948768778</v>
      </c>
      <c r="K30" s="3" t="s">
        <v>33</v>
      </c>
      <c r="L30" s="19">
        <f t="shared" si="4"/>
        <v>2200479.8673844649</v>
      </c>
      <c r="M30" s="99">
        <v>2.46</v>
      </c>
      <c r="N30" s="3">
        <f t="shared" si="2"/>
        <v>5413180.4737657839</v>
      </c>
      <c r="O30" s="3">
        <f t="shared" si="3"/>
        <v>5967002.9680367606</v>
      </c>
    </row>
    <row r="31" spans="1:15" x14ac:dyDescent="0.25">
      <c r="A31" s="6" t="s">
        <v>11</v>
      </c>
      <c r="B31" s="7">
        <f>$C$6*G16</f>
        <v>14804.695359726893</v>
      </c>
      <c r="C31" s="7">
        <f>$C$6*H16</f>
        <v>296093.90719453787</v>
      </c>
      <c r="D31" s="13">
        <f t="shared" si="1"/>
        <v>155449.30127713238</v>
      </c>
      <c r="F31" s="6" t="s">
        <v>10</v>
      </c>
      <c r="G31" s="7">
        <f>$C$8*G7</f>
        <v>57499.527795075126</v>
      </c>
      <c r="H31" s="7">
        <f>$C$8*H7</f>
        <v>2053554.5641098258</v>
      </c>
      <c r="I31" s="7">
        <f t="shared" si="5"/>
        <v>1055527.0459524505</v>
      </c>
      <c r="K31" s="3" t="s">
        <v>216</v>
      </c>
      <c r="L31" s="19">
        <f t="shared" si="4"/>
        <v>2180623.8891749685</v>
      </c>
      <c r="M31" s="99">
        <v>1.92</v>
      </c>
      <c r="N31" s="3">
        <f t="shared" si="2"/>
        <v>4186797.8672159393</v>
      </c>
      <c r="O31" s="3">
        <f t="shared" si="3"/>
        <v>4615149.1570108021</v>
      </c>
    </row>
    <row r="32" spans="1:15" x14ac:dyDescent="0.25">
      <c r="A32" s="6" t="s">
        <v>10</v>
      </c>
      <c r="B32" s="7">
        <f>$C$6*G7</f>
        <v>41453.147007235304</v>
      </c>
      <c r="C32" s="7">
        <f>$C$6*H7</f>
        <v>1480469.5359726893</v>
      </c>
      <c r="D32" s="13">
        <f t="shared" si="1"/>
        <v>760961.3414899623</v>
      </c>
      <c r="F32" s="6" t="s">
        <v>53</v>
      </c>
      <c r="G32" s="7">
        <f>$C$8*G8</f>
        <v>41071.091282196518</v>
      </c>
      <c r="H32" s="7">
        <f>$C$8*H8</f>
        <v>246426.54769317908</v>
      </c>
      <c r="I32" s="7">
        <f t="shared" si="5"/>
        <v>143748.81948768778</v>
      </c>
      <c r="N32" s="2" t="s">
        <v>144</v>
      </c>
      <c r="O32" s="101">
        <f>SUM(O24:O31)</f>
        <v>63895753.967323445</v>
      </c>
    </row>
    <row r="33" spans="1:9" x14ac:dyDescent="0.25">
      <c r="A33" s="6" t="s">
        <v>53</v>
      </c>
      <c r="B33" s="7">
        <f>$C$6*G7</f>
        <v>41453.147007235304</v>
      </c>
      <c r="C33" s="7">
        <f>$C$6*H7</f>
        <v>1480469.5359726893</v>
      </c>
      <c r="D33" s="13">
        <f t="shared" si="1"/>
        <v>760961.3414899623</v>
      </c>
      <c r="F33" s="6" t="s">
        <v>11</v>
      </c>
      <c r="G33" s="7">
        <f>$C$8*G16</f>
        <v>20535.545641098259</v>
      </c>
      <c r="H33" s="7">
        <f>$C$8*H16</f>
        <v>410710.91282196518</v>
      </c>
      <c r="I33" s="7">
        <f t="shared" si="5"/>
        <v>215623.22923153173</v>
      </c>
    </row>
    <row r="34" spans="1:9" x14ac:dyDescent="0.25">
      <c r="A34" s="6" t="s">
        <v>46</v>
      </c>
      <c r="B34" s="7">
        <f>$C$6*G17</f>
        <v>59.218781438907577</v>
      </c>
      <c r="C34" s="7">
        <f>$C$6*H17</f>
        <v>148046.95359726893</v>
      </c>
      <c r="D34" s="13">
        <f t="shared" si="1"/>
        <v>74053.086189353926</v>
      </c>
      <c r="F34" s="6" t="s">
        <v>46</v>
      </c>
      <c r="G34" s="7">
        <f>$C$8*G17</f>
        <v>82.142182564393039</v>
      </c>
      <c r="H34" s="7">
        <f>$C$8*H17</f>
        <v>205355.45641098259</v>
      </c>
      <c r="I34" s="7">
        <f t="shared" si="5"/>
        <v>102718.79929677349</v>
      </c>
    </row>
    <row r="35" spans="1:9" x14ac:dyDescent="0.25">
      <c r="D35" s="22"/>
    </row>
    <row r="36" spans="1:9" ht="18.75" x14ac:dyDescent="0.25">
      <c r="A36" s="323" t="s">
        <v>3</v>
      </c>
      <c r="B36" s="323"/>
      <c r="C36" s="323"/>
      <c r="D36" s="323"/>
      <c r="F36" s="323" t="s">
        <v>5</v>
      </c>
      <c r="G36" s="323"/>
      <c r="H36" s="323"/>
      <c r="I36" s="323"/>
    </row>
    <row r="37" spans="1:9" x14ac:dyDescent="0.25">
      <c r="A37" s="11" t="s">
        <v>35</v>
      </c>
      <c r="B37" s="322" t="s">
        <v>59</v>
      </c>
      <c r="C37" s="322"/>
      <c r="D37" s="322"/>
      <c r="F37" s="11" t="s">
        <v>35</v>
      </c>
      <c r="G37" s="322" t="s">
        <v>61</v>
      </c>
      <c r="H37" s="322"/>
      <c r="I37" s="322"/>
    </row>
    <row r="38" spans="1:9" x14ac:dyDescent="0.25">
      <c r="A38" s="8"/>
      <c r="B38" s="9" t="s">
        <v>37</v>
      </c>
      <c r="C38" s="9" t="s">
        <v>38</v>
      </c>
      <c r="D38" s="13" t="s">
        <v>66</v>
      </c>
      <c r="F38" s="8"/>
      <c r="G38" s="9" t="s">
        <v>37</v>
      </c>
      <c r="H38" s="9" t="s">
        <v>38</v>
      </c>
      <c r="I38" s="9" t="s">
        <v>66</v>
      </c>
    </row>
    <row r="39" spans="1:9" x14ac:dyDescent="0.25">
      <c r="A39" s="12" t="s">
        <v>47</v>
      </c>
      <c r="B39" s="9">
        <f>$C$7-SUM(B40:B46)</f>
        <v>629560.76878856588</v>
      </c>
      <c r="C39" s="9">
        <f>$C$7-SUM(C40:C46)</f>
        <v>74652.317612620769</v>
      </c>
      <c r="D39" s="13">
        <f t="shared" si="1"/>
        <v>352106.54320059333</v>
      </c>
      <c r="F39" s="12" t="s">
        <v>47</v>
      </c>
      <c r="G39" s="9">
        <f>$C$9-SUM(G40:G46)</f>
        <v>48921.485178836971</v>
      </c>
      <c r="H39" s="14">
        <f>$C$9-SUM(H40:H46)</f>
        <v>-41128.330003361349</v>
      </c>
      <c r="I39" s="7">
        <f t="shared" si="5"/>
        <v>3896.577587737811</v>
      </c>
    </row>
    <row r="40" spans="1:9" x14ac:dyDescent="0.25">
      <c r="A40" s="12" t="s">
        <v>9</v>
      </c>
      <c r="B40" s="7">
        <f>$C$7*G6</f>
        <v>71097.445345352957</v>
      </c>
      <c r="C40" s="7">
        <f>$C$7*H6</f>
        <v>497682.11741747061</v>
      </c>
      <c r="D40" s="13">
        <f t="shared" si="1"/>
        <v>284389.78138141177</v>
      </c>
      <c r="F40" s="12" t="s">
        <v>9</v>
      </c>
      <c r="G40" s="7">
        <f>$C$9*G6</f>
        <v>6633.6016134453785</v>
      </c>
      <c r="H40" s="7">
        <f>$C$9*H6</f>
        <v>46435.211294117638</v>
      </c>
      <c r="I40" s="7">
        <f t="shared" si="5"/>
        <v>26534.406453781507</v>
      </c>
    </row>
    <row r="41" spans="1:9" x14ac:dyDescent="0.25">
      <c r="A41" s="6" t="s">
        <v>40</v>
      </c>
      <c r="B41" s="7">
        <f>$C$7*G9</f>
        <v>3554.8722672676477</v>
      </c>
      <c r="C41" s="7">
        <f>$C$7*H9</f>
        <v>21329.233603605884</v>
      </c>
      <c r="D41" s="13">
        <f t="shared" si="1"/>
        <v>12442.052935436766</v>
      </c>
      <c r="F41" s="6" t="s">
        <v>53</v>
      </c>
      <c r="G41" s="7">
        <f>$C$9*G8</f>
        <v>331.6800806722689</v>
      </c>
      <c r="H41" s="7">
        <f>$C$9*H8</f>
        <v>1990.0804840336132</v>
      </c>
      <c r="I41" s="7">
        <f t="shared" si="5"/>
        <v>1160.8802823529411</v>
      </c>
    </row>
    <row r="42" spans="1:9" x14ac:dyDescent="0.25">
      <c r="A42" s="6" t="s">
        <v>52</v>
      </c>
      <c r="B42" s="7">
        <f>$C$7*G10</f>
        <v>710.97445345352958</v>
      </c>
      <c r="C42" s="7">
        <f>$C$7*H10</f>
        <v>21329.233603605884</v>
      </c>
      <c r="D42" s="13">
        <f t="shared" si="1"/>
        <v>11020.104028529708</v>
      </c>
      <c r="F42" s="6" t="s">
        <v>14</v>
      </c>
      <c r="G42" s="7">
        <f>$C$9*G20</f>
        <v>0.66336016134453779</v>
      </c>
      <c r="H42" s="7">
        <f>$C$9*H20</f>
        <v>33168.008067226889</v>
      </c>
      <c r="I42" s="7">
        <f t="shared" si="5"/>
        <v>16584.335713694116</v>
      </c>
    </row>
    <row r="43" spans="1:9" x14ac:dyDescent="0.25">
      <c r="A43" s="6" t="s">
        <v>53</v>
      </c>
      <c r="B43" s="7">
        <f>$C$7*G8</f>
        <v>3554.8722672676477</v>
      </c>
      <c r="C43" s="7">
        <f>$C$7*H8</f>
        <v>21329.233603605884</v>
      </c>
      <c r="D43" s="13">
        <f t="shared" si="1"/>
        <v>12442.052935436766</v>
      </c>
      <c r="F43" s="6" t="s">
        <v>54</v>
      </c>
      <c r="G43" s="7">
        <f>$C$9*G21</f>
        <v>9950.4024201680659</v>
      </c>
      <c r="H43" s="7">
        <f>$C$9*H21</f>
        <v>19900.804840336132</v>
      </c>
      <c r="I43" s="7">
        <f t="shared" si="5"/>
        <v>14925.603630252099</v>
      </c>
    </row>
    <row r="44" spans="1:9" x14ac:dyDescent="0.25">
      <c r="A44" s="6" t="s">
        <v>41</v>
      </c>
      <c r="B44" s="7">
        <f>$C$7*G11</f>
        <v>710.97445345352958</v>
      </c>
      <c r="C44" s="7">
        <f>$C$7*H11</f>
        <v>21329.233603605884</v>
      </c>
      <c r="D44" s="13">
        <f t="shared" si="1"/>
        <v>11020.104028529708</v>
      </c>
      <c r="F44" s="6" t="s">
        <v>13</v>
      </c>
      <c r="G44" s="7">
        <f>$C$9*G15</f>
        <v>0.66336016134453779</v>
      </c>
      <c r="H44" s="7">
        <f>$C$9*H15</f>
        <v>663.3601613445378</v>
      </c>
      <c r="I44" s="7">
        <f t="shared" si="5"/>
        <v>332.01176075294114</v>
      </c>
    </row>
    <row r="45" spans="1:9" x14ac:dyDescent="0.25">
      <c r="A45" s="6" t="s">
        <v>11</v>
      </c>
      <c r="B45" s="7">
        <f>$C$7*G16</f>
        <v>1777.4361336338238</v>
      </c>
      <c r="C45" s="7">
        <f>$C$7*H16</f>
        <v>35548.722672676478</v>
      </c>
      <c r="D45" s="13">
        <f t="shared" si="1"/>
        <v>18663.079403155152</v>
      </c>
      <c r="F45" s="6" t="s">
        <v>40</v>
      </c>
      <c r="G45" s="7">
        <f>$C$9*G9</f>
        <v>331.6800806722689</v>
      </c>
      <c r="H45" s="7">
        <f>$C$9*H9</f>
        <v>1990.0804840336132</v>
      </c>
      <c r="I45" s="7">
        <f t="shared" si="5"/>
        <v>1160.8802823529411</v>
      </c>
    </row>
    <row r="46" spans="1:9" x14ac:dyDescent="0.25">
      <c r="A46" s="6" t="s">
        <v>46</v>
      </c>
      <c r="B46" s="7">
        <f>$C$7*G17</f>
        <v>7.1097445345352961</v>
      </c>
      <c r="C46" s="7">
        <f>$C$7*H17</f>
        <v>17774.361336338239</v>
      </c>
      <c r="D46" s="13">
        <f t="shared" si="1"/>
        <v>8890.735540436388</v>
      </c>
      <c r="F46" s="6" t="s">
        <v>11</v>
      </c>
      <c r="G46" s="7">
        <f>$C$9*G16</f>
        <v>165.84004033613445</v>
      </c>
      <c r="H46" s="7">
        <f>$C$9*H16</f>
        <v>3316.8008067226892</v>
      </c>
      <c r="I46" s="7">
        <f t="shared" si="5"/>
        <v>1741.3204235294118</v>
      </c>
    </row>
    <row r="47" spans="1:9" x14ac:dyDescent="0.25">
      <c r="D47" s="22"/>
    </row>
    <row r="48" spans="1:9" ht="18.75" x14ac:dyDescent="0.25">
      <c r="A48" s="323" t="s">
        <v>6</v>
      </c>
      <c r="B48" s="323"/>
      <c r="C48" s="323"/>
      <c r="D48" s="323"/>
      <c r="F48" s="4" t="s">
        <v>55</v>
      </c>
    </row>
    <row r="49" spans="1:9" ht="18.75" x14ac:dyDescent="0.25">
      <c r="A49" s="11" t="s">
        <v>35</v>
      </c>
      <c r="B49" s="322" t="s">
        <v>62</v>
      </c>
      <c r="C49" s="322"/>
      <c r="D49" s="322"/>
      <c r="F49" s="323" t="s">
        <v>34</v>
      </c>
      <c r="G49" s="323"/>
      <c r="H49" s="323"/>
      <c r="I49" s="323"/>
    </row>
    <row r="50" spans="1:9" x14ac:dyDescent="0.25">
      <c r="A50" s="8"/>
      <c r="B50" s="9" t="s">
        <v>37</v>
      </c>
      <c r="C50" s="9" t="s">
        <v>38</v>
      </c>
      <c r="D50" s="13" t="s">
        <v>66</v>
      </c>
      <c r="F50" s="11" t="s">
        <v>35</v>
      </c>
      <c r="G50" s="322" t="s">
        <v>64</v>
      </c>
      <c r="H50" s="322"/>
      <c r="I50" s="322"/>
    </row>
    <row r="51" spans="1:9" x14ac:dyDescent="0.25">
      <c r="A51" s="12" t="s">
        <v>47</v>
      </c>
      <c r="B51" s="9">
        <f>$C$10-SUM(B52:B57)</f>
        <v>7837719.4074845994</v>
      </c>
      <c r="C51" s="9">
        <f>$C$10-SUM(C52:C57)</f>
        <v>5067408.4167188378</v>
      </c>
      <c r="D51" s="13">
        <f t="shared" si="1"/>
        <v>6452563.9121017186</v>
      </c>
      <c r="F51" s="8"/>
      <c r="G51" s="9" t="s">
        <v>37</v>
      </c>
      <c r="H51" s="9" t="s">
        <v>38</v>
      </c>
      <c r="I51" s="9" t="s">
        <v>66</v>
      </c>
    </row>
    <row r="52" spans="1:9" x14ac:dyDescent="0.25">
      <c r="A52" s="6" t="s">
        <v>40</v>
      </c>
      <c r="B52" s="7">
        <f>$C$10*G9</f>
        <v>39913.424832379002</v>
      </c>
      <c r="C52" s="7">
        <f>$C$10*H9</f>
        <v>239480.548994274</v>
      </c>
      <c r="D52" s="13">
        <f t="shared" si="1"/>
        <v>139696.98691332649</v>
      </c>
      <c r="F52" s="12" t="s">
        <v>47</v>
      </c>
      <c r="G52" s="9">
        <f>$C$12-SUM(G53:G69)</f>
        <v>1561806.4419048959</v>
      </c>
      <c r="H52" s="14">
        <f>$C$12-SUM(H53:H69)</f>
        <v>-2878859.6584887928</v>
      </c>
      <c r="I52" s="7">
        <f>(G52+H52)/2</f>
        <v>-658526.60829194845</v>
      </c>
    </row>
    <row r="53" spans="1:9" x14ac:dyDescent="0.25">
      <c r="A53" s="6" t="s">
        <v>52</v>
      </c>
      <c r="B53" s="7">
        <f>$C$10*G10</f>
        <v>7982.6849664758001</v>
      </c>
      <c r="C53" s="7">
        <f>$C$10*H10</f>
        <v>239480.548994274</v>
      </c>
      <c r="D53" s="13">
        <f t="shared" si="1"/>
        <v>123731.61698037489</v>
      </c>
      <c r="F53" s="12" t="s">
        <v>9</v>
      </c>
      <c r="G53" s="7">
        <f>$C$12*G6</f>
        <v>218062.38891749686</v>
      </c>
      <c r="H53" s="7">
        <f>$C$12*H6</f>
        <v>1526436.7224224778</v>
      </c>
      <c r="I53" s="7">
        <f t="shared" si="5"/>
        <v>872249.55566998734</v>
      </c>
    </row>
    <row r="54" spans="1:9" x14ac:dyDescent="0.25">
      <c r="A54" s="6" t="s">
        <v>49</v>
      </c>
      <c r="B54" s="7">
        <f>$C$10*G8</f>
        <v>39913.424832379002</v>
      </c>
      <c r="C54" s="7">
        <f>$C$10*H8</f>
        <v>239480.548994274</v>
      </c>
      <c r="D54" s="13">
        <f t="shared" si="1"/>
        <v>139696.98691332649</v>
      </c>
      <c r="F54" s="12" t="s">
        <v>40</v>
      </c>
      <c r="G54" s="7">
        <f>$C$12*G9</f>
        <v>10903.119445874843</v>
      </c>
      <c r="H54" s="7">
        <f>$C$12*H9</f>
        <v>65418.716675249052</v>
      </c>
      <c r="I54" s="7">
        <f t="shared" si="5"/>
        <v>38160.918060561948</v>
      </c>
    </row>
    <row r="55" spans="1:9" x14ac:dyDescent="0.25">
      <c r="A55" s="6" t="s">
        <v>10</v>
      </c>
      <c r="B55" s="7">
        <f>$C$10*G7</f>
        <v>55878.794765330596</v>
      </c>
      <c r="C55" s="7">
        <f>$C$10*H7</f>
        <v>1995671.2416189499</v>
      </c>
      <c r="D55" s="13">
        <f t="shared" si="1"/>
        <v>1025775.0181921403</v>
      </c>
      <c r="F55" s="12" t="s">
        <v>49</v>
      </c>
      <c r="G55" s="7">
        <f>$C$12*G8</f>
        <v>10903.119445874843</v>
      </c>
      <c r="H55" s="7">
        <f>$C$12*H8</f>
        <v>65418.716675249052</v>
      </c>
      <c r="I55" s="7">
        <f t="shared" si="5"/>
        <v>38160.918060561948</v>
      </c>
    </row>
    <row r="56" spans="1:9" x14ac:dyDescent="0.25">
      <c r="A56" s="6" t="s">
        <v>48</v>
      </c>
      <c r="B56" s="7">
        <f>$C$10*G18</f>
        <v>1197.4027449713699</v>
      </c>
      <c r="C56" s="7">
        <f>$C$10*H18</f>
        <v>1596.5369932951601</v>
      </c>
      <c r="D56" s="13">
        <f t="shared" si="1"/>
        <v>1396.9698691332651</v>
      </c>
      <c r="F56" s="12" t="s">
        <v>11</v>
      </c>
      <c r="G56" s="7">
        <f>$C$12*G16</f>
        <v>5451.5597229374216</v>
      </c>
      <c r="H56" s="7">
        <f>$C$12*H16</f>
        <v>109031.19445874843</v>
      </c>
      <c r="I56" s="7">
        <f t="shared" si="5"/>
        <v>57241.377090842929</v>
      </c>
    </row>
    <row r="57" spans="1:9" x14ac:dyDescent="0.25">
      <c r="A57" s="6" t="s">
        <v>46</v>
      </c>
      <c r="B57" s="7">
        <f>$C$10*G17</f>
        <v>79.826849664758001</v>
      </c>
      <c r="C57" s="7">
        <f>$C$10*H17</f>
        <v>199567.12416189502</v>
      </c>
      <c r="D57" s="13">
        <f t="shared" si="1"/>
        <v>99823.47550577989</v>
      </c>
      <c r="F57" s="6" t="s">
        <v>10</v>
      </c>
      <c r="G57" s="7">
        <f>$C$12*G7</f>
        <v>15264.367224224779</v>
      </c>
      <c r="H57" s="7">
        <f>$C$12*H7</f>
        <v>545155.97229374212</v>
      </c>
      <c r="I57" s="7">
        <f t="shared" si="5"/>
        <v>280210.16975898342</v>
      </c>
    </row>
    <row r="58" spans="1:9" x14ac:dyDescent="0.25">
      <c r="A58" s="35"/>
      <c r="B58" s="23"/>
      <c r="C58" s="23"/>
      <c r="D58" s="22"/>
      <c r="F58" s="6" t="s">
        <v>98</v>
      </c>
      <c r="G58" s="7">
        <f t="shared" ref="G58:H60" si="6">$C$12*G13</f>
        <v>2180.6238891749686</v>
      </c>
      <c r="H58" s="7">
        <f t="shared" si="6"/>
        <v>43612.477783499373</v>
      </c>
      <c r="I58" s="7">
        <f t="shared" si="5"/>
        <v>22896.55083633717</v>
      </c>
    </row>
    <row r="59" spans="1:9" x14ac:dyDescent="0.25">
      <c r="A59" s="35"/>
      <c r="B59" s="23"/>
      <c r="C59" s="23"/>
      <c r="D59" s="22"/>
      <c r="F59" s="6" t="s">
        <v>99</v>
      </c>
      <c r="G59" s="7">
        <f t="shared" si="6"/>
        <v>10903.119445874843</v>
      </c>
      <c r="H59" s="7">
        <f t="shared" si="6"/>
        <v>447027.89728086849</v>
      </c>
      <c r="I59" s="7">
        <f t="shared" si="5"/>
        <v>228965.50836337166</v>
      </c>
    </row>
    <row r="60" spans="1:9" x14ac:dyDescent="0.25">
      <c r="A60" s="35"/>
      <c r="B60" s="23"/>
      <c r="C60" s="23"/>
      <c r="D60" s="22"/>
      <c r="F60" s="6" t="s">
        <v>45</v>
      </c>
      <c r="G60" s="7">
        <f t="shared" si="6"/>
        <v>21.806238891749686</v>
      </c>
      <c r="H60" s="7">
        <f t="shared" si="6"/>
        <v>21806.238891749686</v>
      </c>
      <c r="I60" s="7">
        <f t="shared" si="5"/>
        <v>10914.022565320718</v>
      </c>
    </row>
    <row r="61" spans="1:9" x14ac:dyDescent="0.25">
      <c r="A61" s="35"/>
      <c r="B61" s="23"/>
      <c r="C61" s="23"/>
      <c r="D61" s="22"/>
      <c r="F61" s="6" t="s">
        <v>48</v>
      </c>
      <c r="G61" s="7">
        <f>$C$12*G18</f>
        <v>327.09358337624525</v>
      </c>
      <c r="H61" s="7">
        <f>$C$12*H18</f>
        <v>436.12477783499372</v>
      </c>
      <c r="I61" s="7">
        <f t="shared" si="5"/>
        <v>381.60918060561949</v>
      </c>
    </row>
    <row r="62" spans="1:9" x14ac:dyDescent="0.25">
      <c r="A62" s="35"/>
      <c r="B62" s="23"/>
      <c r="C62" s="23"/>
      <c r="D62" s="22"/>
      <c r="F62" s="6" t="s">
        <v>100</v>
      </c>
      <c r="G62" s="7">
        <f>$C$12*G19</f>
        <v>218.06238891749686</v>
      </c>
      <c r="H62" s="7">
        <f>$C$12*H19</f>
        <v>218062.38891749686</v>
      </c>
      <c r="I62" s="7">
        <f t="shared" si="5"/>
        <v>109140.22565320718</v>
      </c>
    </row>
    <row r="63" spans="1:9" x14ac:dyDescent="0.25">
      <c r="D63" s="22"/>
      <c r="F63" s="6" t="s">
        <v>53</v>
      </c>
      <c r="G63" s="7">
        <f>$C$12*G8</f>
        <v>10903.119445874843</v>
      </c>
      <c r="H63" s="7">
        <f>$C$12*H8</f>
        <v>65418.716675249052</v>
      </c>
      <c r="I63" s="7">
        <f t="shared" si="5"/>
        <v>38160.918060561948</v>
      </c>
    </row>
    <row r="64" spans="1:9" ht="18.75" x14ac:dyDescent="0.25">
      <c r="A64" s="323" t="s">
        <v>7</v>
      </c>
      <c r="B64" s="323"/>
      <c r="C64" s="323"/>
      <c r="D64" s="323"/>
      <c r="F64" s="6" t="s">
        <v>46</v>
      </c>
      <c r="G64" s="7">
        <f>$C$12*G17</f>
        <v>21.806238891749686</v>
      </c>
      <c r="H64" s="7">
        <f>$C$12*H17</f>
        <v>54515.597229374216</v>
      </c>
      <c r="I64" s="7">
        <f t="shared" si="5"/>
        <v>27268.701734132985</v>
      </c>
    </row>
    <row r="65" spans="1:9" x14ac:dyDescent="0.25">
      <c r="A65" s="11" t="s">
        <v>35</v>
      </c>
      <c r="B65" s="322" t="s">
        <v>63</v>
      </c>
      <c r="C65" s="322"/>
      <c r="D65" s="322"/>
      <c r="F65" s="6" t="s">
        <v>14</v>
      </c>
      <c r="G65" s="7">
        <f>$C$12*G20</f>
        <v>21.806238891749686</v>
      </c>
      <c r="H65" s="7">
        <f>$C$12*H20</f>
        <v>1090311.9445874842</v>
      </c>
      <c r="I65" s="7">
        <f t="shared" si="5"/>
        <v>545166.87541318801</v>
      </c>
    </row>
    <row r="66" spans="1:9" x14ac:dyDescent="0.25">
      <c r="A66" s="8"/>
      <c r="B66" s="9" t="s">
        <v>37</v>
      </c>
      <c r="C66" s="9" t="s">
        <v>38</v>
      </c>
      <c r="D66" s="13" t="s">
        <v>66</v>
      </c>
      <c r="F66" s="6" t="s">
        <v>56</v>
      </c>
      <c r="G66" s="7">
        <f>$C$12*G21</f>
        <v>327093.58337624528</v>
      </c>
      <c r="H66" s="7">
        <f>$C$12*H21</f>
        <v>654187.16675249056</v>
      </c>
      <c r="I66" s="7">
        <f t="shared" si="5"/>
        <v>490640.37506436789</v>
      </c>
    </row>
    <row r="67" spans="1:9" x14ac:dyDescent="0.25">
      <c r="A67" s="12" t="s">
        <v>47</v>
      </c>
      <c r="B67" s="9">
        <f>$C$11-SUM(B68:B73)</f>
        <v>2168550.9045087164</v>
      </c>
      <c r="C67" s="9">
        <f>$C$11-SUM(C68:C73)</f>
        <v>1815395.8905921835</v>
      </c>
      <c r="D67" s="13">
        <f t="shared" si="1"/>
        <v>1991973.3975504499</v>
      </c>
      <c r="F67" s="6" t="s">
        <v>41</v>
      </c>
      <c r="G67" s="7">
        <f>$C$12*G11</f>
        <v>2180.6238891749686</v>
      </c>
      <c r="H67" s="7">
        <f>$C$12*H11</f>
        <v>65418.716675249052</v>
      </c>
      <c r="I67" s="7">
        <f t="shared" si="5"/>
        <v>33799.670282212013</v>
      </c>
    </row>
    <row r="68" spans="1:9" x14ac:dyDescent="0.25">
      <c r="A68" s="6" t="s">
        <v>40</v>
      </c>
      <c r="B68" s="7">
        <f>$C$11*G9</f>
        <v>11002.399336922324</v>
      </c>
      <c r="C68" s="7">
        <f>$C$11*H9</f>
        <v>66014.396021533947</v>
      </c>
      <c r="D68" s="13">
        <f t="shared" si="1"/>
        <v>38508.397679228132</v>
      </c>
      <c r="F68" s="6" t="s">
        <v>52</v>
      </c>
      <c r="G68" s="7">
        <f>$C$12*G10</f>
        <v>2180.6238891749686</v>
      </c>
      <c r="H68" s="7">
        <f>$C$12*H10</f>
        <v>65418.716675249052</v>
      </c>
      <c r="I68" s="7">
        <f t="shared" si="5"/>
        <v>33799.670282212013</v>
      </c>
    </row>
    <row r="69" spans="1:9" x14ac:dyDescent="0.25">
      <c r="A69" s="6" t="s">
        <v>52</v>
      </c>
      <c r="B69" s="7">
        <f>$C$11*G10</f>
        <v>2200.4798673844648</v>
      </c>
      <c r="C69" s="7">
        <f>$C$11*H10</f>
        <v>66014.396021533947</v>
      </c>
      <c r="D69" s="13">
        <f t="shared" si="1"/>
        <v>34107.437944459205</v>
      </c>
      <c r="F69" s="6" t="s">
        <v>51</v>
      </c>
      <c r="G69" s="7">
        <f>$C$12*G12</f>
        <v>2180.6238891749686</v>
      </c>
      <c r="H69" s="7">
        <f>$C$12*H12</f>
        <v>21806.238891749686</v>
      </c>
      <c r="I69" s="7">
        <f t="shared" si="5"/>
        <v>11993.431390462327</v>
      </c>
    </row>
    <row r="70" spans="1:9" x14ac:dyDescent="0.25">
      <c r="A70" s="6" t="s">
        <v>49</v>
      </c>
      <c r="B70" s="7">
        <f>$C$11*G8</f>
        <v>11002.399336922324</v>
      </c>
      <c r="C70" s="7">
        <f>$C$11*H8</f>
        <v>66014.396021533947</v>
      </c>
      <c r="D70" s="13">
        <f t="shared" si="1"/>
        <v>38508.397679228132</v>
      </c>
      <c r="F70" s="4" t="s">
        <v>55</v>
      </c>
    </row>
    <row r="71" spans="1:9" x14ac:dyDescent="0.25">
      <c r="A71" s="6" t="s">
        <v>51</v>
      </c>
      <c r="B71" s="7">
        <f>$C$11*G12</f>
        <v>2200.4798673844648</v>
      </c>
      <c r="C71" s="7">
        <f>$C$11*H12</f>
        <v>22004.798673844649</v>
      </c>
      <c r="D71" s="13">
        <f t="shared" si="1"/>
        <v>12102.639270614556</v>
      </c>
    </row>
    <row r="72" spans="1:9" x14ac:dyDescent="0.25">
      <c r="A72" s="6" t="s">
        <v>11</v>
      </c>
      <c r="B72" s="7">
        <f>$C$11*G16</f>
        <v>5501.1996684611622</v>
      </c>
      <c r="C72" s="7">
        <f>$C$11*H16</f>
        <v>110023.99336922326</v>
      </c>
      <c r="D72" s="13">
        <f t="shared" si="1"/>
        <v>57762.596518842212</v>
      </c>
    </row>
    <row r="73" spans="1:9" x14ac:dyDescent="0.25">
      <c r="A73" s="6" t="s">
        <v>46</v>
      </c>
      <c r="B73" s="7">
        <f>$C$11*G17</f>
        <v>22.00479867384465</v>
      </c>
      <c r="C73" s="7">
        <f>$C$11*H17</f>
        <v>55011.996684611629</v>
      </c>
      <c r="D73" s="13">
        <f t="shared" si="1"/>
        <v>27517.000741642736</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74"/>
  <sheetViews>
    <sheetView zoomScale="77" zoomScaleNormal="77" workbookViewId="0">
      <selection activeCell="F50" sqref="F50"/>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3" width="19.42578125" style="3" customWidth="1"/>
    <col min="14" max="16384" width="9.140625" style="3"/>
  </cols>
  <sheetData>
    <row r="1" spans="1:16" x14ac:dyDescent="0.25">
      <c r="A1" s="2" t="s">
        <v>22</v>
      </c>
    </row>
    <row r="2" spans="1:16" x14ac:dyDescent="0.25">
      <c r="A2" s="2" t="s">
        <v>23</v>
      </c>
      <c r="B2" s="30">
        <f>'US 2018 Facts - Sensitivity'!B3</f>
        <v>35680000</v>
      </c>
      <c r="C2" s="3" t="s">
        <v>67</v>
      </c>
    </row>
    <row r="3" spans="1:16" x14ac:dyDescent="0.25">
      <c r="A3" s="2"/>
    </row>
    <row r="4" spans="1:16" x14ac:dyDescent="0.25">
      <c r="A4" s="5" t="s">
        <v>25</v>
      </c>
      <c r="B4" s="5" t="s">
        <v>26</v>
      </c>
      <c r="C4" s="5" t="s">
        <v>57</v>
      </c>
      <c r="F4" s="5" t="s">
        <v>35</v>
      </c>
      <c r="G4" s="324" t="s">
        <v>36</v>
      </c>
      <c r="H4" s="325"/>
      <c r="L4" s="2" t="s">
        <v>101</v>
      </c>
    </row>
    <row r="5" spans="1:16" x14ac:dyDescent="0.25">
      <c r="A5" s="6" t="s">
        <v>27</v>
      </c>
      <c r="B5" s="16">
        <v>0.14817927170868347</v>
      </c>
      <c r="C5" s="29">
        <f>B5*$B$2</f>
        <v>5287036.4145658268</v>
      </c>
      <c r="F5" s="8"/>
      <c r="G5" s="9" t="s">
        <v>37</v>
      </c>
      <c r="H5" s="9" t="s">
        <v>38</v>
      </c>
      <c r="I5" s="9" t="s">
        <v>65</v>
      </c>
      <c r="K5" s="6" t="s">
        <v>9</v>
      </c>
      <c r="L5" s="3">
        <f>SUM(B40,G40,G53)</f>
        <v>508714.84593837539</v>
      </c>
      <c r="M5" s="3">
        <f>L5*0.068</f>
        <v>34592.609523809529</v>
      </c>
    </row>
    <row r="6" spans="1:16" x14ac:dyDescent="0.25">
      <c r="A6" s="6" t="s">
        <v>28</v>
      </c>
      <c r="B6" s="16">
        <v>0.17647058823529413</v>
      </c>
      <c r="C6" s="29">
        <f t="shared" ref="C6:C12" si="0">B6*$B$2</f>
        <v>6296470.5882352944</v>
      </c>
      <c r="F6" s="6" t="s">
        <v>9</v>
      </c>
      <c r="G6" s="7">
        <v>0.1</v>
      </c>
      <c r="H6" s="7">
        <v>0.7</v>
      </c>
      <c r="I6" s="31">
        <f>(G6+H6)/2</f>
        <v>0.39999999999999997</v>
      </c>
      <c r="K6" s="6" t="s">
        <v>10</v>
      </c>
      <c r="L6" s="3">
        <f>SUM(B20,B32,B55,G31,G57)</f>
        <v>227302.58823529416</v>
      </c>
    </row>
    <row r="7" spans="1:16" x14ac:dyDescent="0.25">
      <c r="A7" s="6" t="s">
        <v>29</v>
      </c>
      <c r="B7" s="16">
        <v>2.3529411764705882E-2</v>
      </c>
      <c r="C7" s="29">
        <f t="shared" si="0"/>
        <v>839529.4117647059</v>
      </c>
      <c r="F7" s="6" t="s">
        <v>10</v>
      </c>
      <c r="G7" s="7">
        <v>7.0000000000000001E-3</v>
      </c>
      <c r="H7" s="7">
        <v>0.25</v>
      </c>
      <c r="I7" s="31">
        <f t="shared" ref="I7:I21" si="1">(G7+H7)/2</f>
        <v>0.1285</v>
      </c>
      <c r="K7" s="6" t="s">
        <v>39</v>
      </c>
      <c r="L7" s="3">
        <f>SUM(B19,B30,B33,B43,B54,B70,G30,G32,G41,G55,G63)</f>
        <v>286089.63585434179</v>
      </c>
    </row>
    <row r="8" spans="1:16" x14ac:dyDescent="0.25">
      <c r="A8" s="6" t="s">
        <v>30</v>
      </c>
      <c r="B8" s="16">
        <v>0.24061624649859945</v>
      </c>
      <c r="C8" s="29">
        <f t="shared" si="0"/>
        <v>8585187.6750700288</v>
      </c>
      <c r="F8" s="6" t="s">
        <v>39</v>
      </c>
      <c r="G8" s="7">
        <v>5.0000000000000001E-3</v>
      </c>
      <c r="H8" s="7">
        <v>0.03</v>
      </c>
      <c r="I8" s="31">
        <f t="shared" si="1"/>
        <v>1.7499999999999998E-2</v>
      </c>
      <c r="K8" s="6" t="s">
        <v>40</v>
      </c>
      <c r="L8" s="3">
        <f>SUM(B29,B41,B52,G54,G28,G45,B68)</f>
        <v>151864.87394957987</v>
      </c>
    </row>
    <row r="9" spans="1:16" x14ac:dyDescent="0.25">
      <c r="A9" s="6" t="s">
        <v>31</v>
      </c>
      <c r="B9" s="16">
        <v>2.5210084033613447E-3</v>
      </c>
      <c r="C9" s="29">
        <f t="shared" si="0"/>
        <v>89949.579831932773</v>
      </c>
      <c r="F9" s="6" t="s">
        <v>40</v>
      </c>
      <c r="G9" s="7">
        <v>5.0000000000000001E-3</v>
      </c>
      <c r="H9" s="7">
        <v>0.03</v>
      </c>
      <c r="I9" s="31">
        <f t="shared" si="1"/>
        <v>1.7499999999999998E-2</v>
      </c>
      <c r="K9" s="6" t="s">
        <v>12</v>
      </c>
      <c r="L9" s="3">
        <f>SUM(B42,B53,B69,G68,G29)</f>
        <v>23986.55462184874</v>
      </c>
    </row>
    <row r="10" spans="1:16" x14ac:dyDescent="0.25">
      <c r="A10" s="6" t="s">
        <v>32</v>
      </c>
      <c r="B10" s="16">
        <v>0.22829131652661064</v>
      </c>
      <c r="C10" s="29">
        <f t="shared" si="0"/>
        <v>8145434.1736694677</v>
      </c>
      <c r="F10" s="6" t="s">
        <v>12</v>
      </c>
      <c r="G10" s="7">
        <v>1E-3</v>
      </c>
      <c r="H10" s="7">
        <v>0.03</v>
      </c>
      <c r="I10" s="31">
        <f t="shared" si="1"/>
        <v>1.55E-2</v>
      </c>
      <c r="K10" s="6" t="s">
        <v>41</v>
      </c>
      <c r="L10" s="3">
        <f>SUM(B44,G67)</f>
        <v>4997.1988795518209</v>
      </c>
    </row>
    <row r="11" spans="1:16" x14ac:dyDescent="0.25">
      <c r="A11" s="6" t="s">
        <v>33</v>
      </c>
      <c r="B11" s="16">
        <v>6.3305322128851538E-2</v>
      </c>
      <c r="C11" s="29">
        <f t="shared" si="0"/>
        <v>2258733.8935574228</v>
      </c>
      <c r="F11" s="6" t="s">
        <v>41</v>
      </c>
      <c r="G11" s="7">
        <v>1E-3</v>
      </c>
      <c r="H11" s="7">
        <v>0.03</v>
      </c>
      <c r="I11" s="31">
        <f t="shared" si="1"/>
        <v>1.55E-2</v>
      </c>
      <c r="K11" s="6" t="s">
        <v>42</v>
      </c>
      <c r="L11" s="3">
        <f>SUM(B21,B71,G69)</f>
        <v>11703.439775910365</v>
      </c>
    </row>
    <row r="12" spans="1:16" x14ac:dyDescent="0.25">
      <c r="A12" s="6" t="s">
        <v>34</v>
      </c>
      <c r="B12" s="16">
        <v>0.11652661064425771</v>
      </c>
      <c r="C12" s="29">
        <f t="shared" si="0"/>
        <v>4157669.4677871149</v>
      </c>
      <c r="F12" s="6" t="s">
        <v>42</v>
      </c>
      <c r="G12" s="7">
        <v>1E-3</v>
      </c>
      <c r="H12" s="7">
        <v>0.01</v>
      </c>
      <c r="I12" s="31">
        <f t="shared" si="1"/>
        <v>5.4999999999999997E-3</v>
      </c>
      <c r="K12" s="6" t="s">
        <v>43</v>
      </c>
      <c r="L12" s="3">
        <f>SUM(G58)</f>
        <v>4157.6694677871146</v>
      </c>
    </row>
    <row r="13" spans="1:16" x14ac:dyDescent="0.25">
      <c r="C13" s="19">
        <f>SUM(C5:C12)</f>
        <v>35660011.204481795</v>
      </c>
      <c r="F13" s="6" t="s">
        <v>43</v>
      </c>
      <c r="G13" s="7">
        <v>1E-3</v>
      </c>
      <c r="H13" s="7">
        <v>0.02</v>
      </c>
      <c r="I13" s="31">
        <f t="shared" si="1"/>
        <v>1.0500000000000001E-2</v>
      </c>
      <c r="K13" s="6" t="s">
        <v>44</v>
      </c>
      <c r="L13" s="3">
        <f>SUM(G59)</f>
        <v>20788.347338935575</v>
      </c>
    </row>
    <row r="14" spans="1:16" x14ac:dyDescent="0.25">
      <c r="F14" s="6" t="s">
        <v>44</v>
      </c>
      <c r="G14" s="7">
        <v>5.0000000000000001E-3</v>
      </c>
      <c r="H14" s="7">
        <v>0.20499999999999999</v>
      </c>
      <c r="I14" s="31">
        <f t="shared" si="1"/>
        <v>0.105</v>
      </c>
      <c r="K14" s="6" t="s">
        <v>45</v>
      </c>
      <c r="L14" s="3">
        <f>SUM(G44,G60)</f>
        <v>42.476190476190482</v>
      </c>
    </row>
    <row r="15" spans="1:16" ht="18.75" x14ac:dyDescent="0.25">
      <c r="A15" s="323" t="s">
        <v>1</v>
      </c>
      <c r="B15" s="323"/>
      <c r="C15" s="323"/>
      <c r="D15" s="323"/>
      <c r="F15" s="6" t="s">
        <v>45</v>
      </c>
      <c r="G15" s="7">
        <v>1.0000000000000001E-5</v>
      </c>
      <c r="H15" s="7">
        <v>0.01</v>
      </c>
      <c r="I15" s="31">
        <f t="shared" si="1"/>
        <v>5.0049999999999999E-3</v>
      </c>
      <c r="K15" s="6" t="s">
        <v>11</v>
      </c>
      <c r="L15" s="3">
        <f>SUM(B31,B45,B72,G33,G46,G56)</f>
        <v>55568.851540616248</v>
      </c>
      <c r="P15" s="3">
        <f>17840*0.084</f>
        <v>1498.5600000000002</v>
      </c>
    </row>
    <row r="16" spans="1:16" x14ac:dyDescent="0.25">
      <c r="A16" s="11" t="s">
        <v>35</v>
      </c>
      <c r="B16" s="322" t="s">
        <v>58</v>
      </c>
      <c r="C16" s="322"/>
      <c r="D16" s="322"/>
      <c r="F16" s="6" t="s">
        <v>11</v>
      </c>
      <c r="G16" s="7">
        <v>2.5000000000000001E-3</v>
      </c>
      <c r="H16" s="7">
        <v>0.05</v>
      </c>
      <c r="I16" s="31">
        <f t="shared" si="1"/>
        <v>2.6250000000000002E-2</v>
      </c>
      <c r="K16" s="6" t="s">
        <v>46</v>
      </c>
      <c r="L16" s="3">
        <f>SUM(B23,B34,G34,B46,B57,G64,B73)</f>
        <v>355.70061624649867</v>
      </c>
    </row>
    <row r="17" spans="1:13" x14ac:dyDescent="0.25">
      <c r="A17" s="8"/>
      <c r="B17" s="9" t="s">
        <v>37</v>
      </c>
      <c r="C17" s="9" t="s">
        <v>38</v>
      </c>
      <c r="D17" s="9" t="s">
        <v>66</v>
      </c>
      <c r="F17" s="6" t="s">
        <v>46</v>
      </c>
      <c r="G17" s="7">
        <v>1.0000000000000001E-5</v>
      </c>
      <c r="H17" s="7">
        <v>2.5000000000000001E-2</v>
      </c>
      <c r="I17" s="31">
        <f t="shared" si="1"/>
        <v>1.2505E-2</v>
      </c>
      <c r="K17" s="6" t="s">
        <v>48</v>
      </c>
      <c r="L17" s="3">
        <f>SUM(B22,B56,G61)</f>
        <v>2638.5210084033611</v>
      </c>
    </row>
    <row r="18" spans="1:13" x14ac:dyDescent="0.25">
      <c r="A18" s="12" t="s">
        <v>47</v>
      </c>
      <c r="B18" s="9">
        <f>$C$5-SUM(B19:B23)</f>
        <v>5217459.0153501406</v>
      </c>
      <c r="C18" s="13">
        <f>$C$5-SUM(C19:C23)</f>
        <v>3620562.5366946785</v>
      </c>
      <c r="D18" s="20">
        <f>(B18+C18)/2</f>
        <v>4419010.77602241</v>
      </c>
      <c r="E18" s="19"/>
      <c r="F18" s="6" t="s">
        <v>48</v>
      </c>
      <c r="G18" s="7">
        <v>1.4999999999999999E-4</v>
      </c>
      <c r="H18" s="7">
        <v>2.0000000000000001E-4</v>
      </c>
      <c r="I18" s="31">
        <f t="shared" si="1"/>
        <v>1.75E-4</v>
      </c>
      <c r="K18" s="6" t="s">
        <v>50</v>
      </c>
      <c r="L18" s="3">
        <f>SUM(G62)</f>
        <v>415.76694677871149</v>
      </c>
    </row>
    <row r="19" spans="1:13" x14ac:dyDescent="0.25">
      <c r="A19" s="6" t="s">
        <v>49</v>
      </c>
      <c r="B19" s="7">
        <f>$C$5*G8</f>
        <v>26435.182072829135</v>
      </c>
      <c r="C19" s="7">
        <f>$C$5*H8</f>
        <v>158611.09243697481</v>
      </c>
      <c r="D19" s="20">
        <f t="shared" ref="D19:D73" si="2">(B19+C19)/2</f>
        <v>92523.137254901972</v>
      </c>
      <c r="E19" s="19"/>
      <c r="F19" s="6" t="s">
        <v>50</v>
      </c>
      <c r="G19" s="7">
        <v>1E-4</v>
      </c>
      <c r="H19" s="7">
        <v>0.1</v>
      </c>
      <c r="I19" s="31">
        <f t="shared" si="1"/>
        <v>5.0050000000000004E-2</v>
      </c>
      <c r="K19" s="6" t="s">
        <v>14</v>
      </c>
      <c r="L19" s="3">
        <f>SUM(G42,G65)</f>
        <v>42.476190476190482</v>
      </c>
    </row>
    <row r="20" spans="1:13" x14ac:dyDescent="0.25">
      <c r="A20" s="6" t="s">
        <v>10</v>
      </c>
      <c r="B20" s="7">
        <f>$C$5*G7</f>
        <v>37009.25490196079</v>
      </c>
      <c r="C20" s="7">
        <f>$C$5*H7</f>
        <v>1321759.1036414567</v>
      </c>
      <c r="D20" s="20">
        <f t="shared" si="2"/>
        <v>679384.17927170871</v>
      </c>
      <c r="E20" s="19"/>
      <c r="F20" s="6" t="s">
        <v>14</v>
      </c>
      <c r="G20" s="7">
        <v>1.0000000000000001E-5</v>
      </c>
      <c r="H20" s="7">
        <v>0.5</v>
      </c>
      <c r="I20" s="31">
        <f t="shared" si="1"/>
        <v>0.25000499999999998</v>
      </c>
      <c r="K20" s="6" t="s">
        <v>15</v>
      </c>
      <c r="L20" s="3">
        <f>SUM(G66,G43)</f>
        <v>637142.85714285716</v>
      </c>
    </row>
    <row r="21" spans="1:13" x14ac:dyDescent="0.25">
      <c r="A21" s="6" t="s">
        <v>51</v>
      </c>
      <c r="B21" s="7">
        <f>$C$5*G12</f>
        <v>5287.0364145658268</v>
      </c>
      <c r="C21" s="7">
        <f>$C$5*H12</f>
        <v>52870.36414565827</v>
      </c>
      <c r="D21" s="20">
        <f t="shared" si="2"/>
        <v>29078.700280112047</v>
      </c>
      <c r="E21" s="19"/>
      <c r="F21" s="6" t="s">
        <v>15</v>
      </c>
      <c r="G21" s="7">
        <v>0.15</v>
      </c>
      <c r="H21" s="7">
        <v>0.3</v>
      </c>
      <c r="I21" s="31">
        <f t="shared" si="1"/>
        <v>0.22499999999999998</v>
      </c>
    </row>
    <row r="22" spans="1:13" x14ac:dyDescent="0.25">
      <c r="A22" s="6" t="s">
        <v>48</v>
      </c>
      <c r="B22" s="7">
        <f>$C$5*G18</f>
        <v>793.05546218487393</v>
      </c>
      <c r="C22" s="7">
        <f>$C$5*H18</f>
        <v>1057.4072829131653</v>
      </c>
      <c r="D22" s="20">
        <f t="shared" si="2"/>
        <v>925.23137254901962</v>
      </c>
      <c r="E22" s="19"/>
    </row>
    <row r="23" spans="1:13" x14ac:dyDescent="0.25">
      <c r="A23" s="6" t="s">
        <v>46</v>
      </c>
      <c r="B23" s="7">
        <f>$C$5*G17</f>
        <v>52.870364145658272</v>
      </c>
      <c r="C23" s="7">
        <f>$C$5*H17</f>
        <v>132175.91036414567</v>
      </c>
      <c r="D23" s="20">
        <f t="shared" si="2"/>
        <v>66114.390364145671</v>
      </c>
      <c r="E23" s="19"/>
      <c r="K23" s="2" t="s">
        <v>127</v>
      </c>
    </row>
    <row r="24" spans="1:13" ht="18.75" x14ac:dyDescent="0.25">
      <c r="D24" s="19"/>
      <c r="E24" s="19"/>
      <c r="F24" s="323" t="s">
        <v>4</v>
      </c>
      <c r="G24" s="323"/>
      <c r="H24" s="323"/>
      <c r="I24" s="323"/>
      <c r="K24" s="3" t="s">
        <v>25</v>
      </c>
      <c r="L24" s="3" t="s">
        <v>124</v>
      </c>
      <c r="M24" s="3" t="s">
        <v>125</v>
      </c>
    </row>
    <row r="25" spans="1:13" ht="18.75" x14ac:dyDescent="0.25">
      <c r="A25" s="323" t="s">
        <v>2</v>
      </c>
      <c r="B25" s="323"/>
      <c r="C25" s="323"/>
      <c r="D25" s="323"/>
      <c r="E25" s="19"/>
      <c r="F25" s="11" t="s">
        <v>35</v>
      </c>
      <c r="G25" s="322" t="s">
        <v>60</v>
      </c>
      <c r="H25" s="322"/>
      <c r="I25" s="322"/>
      <c r="K25" s="3" t="s">
        <v>27</v>
      </c>
      <c r="L25" s="3">
        <v>1.365</v>
      </c>
      <c r="M25" s="44">
        <f>L25*B5+L26*B6+L27*B7+L28*B8+L29*B9+L30*B10+L31*B11+L32*B12</f>
        <v>375.37122969187681</v>
      </c>
    </row>
    <row r="26" spans="1:13" x14ac:dyDescent="0.25">
      <c r="A26" s="11" t="s">
        <v>35</v>
      </c>
      <c r="B26" s="322" t="s">
        <v>59</v>
      </c>
      <c r="C26" s="322"/>
      <c r="D26" s="322"/>
      <c r="E26" s="19"/>
      <c r="F26" s="8"/>
      <c r="G26" s="9" t="s">
        <v>37</v>
      </c>
      <c r="H26" s="9" t="s">
        <v>38</v>
      </c>
      <c r="I26" s="7" t="s">
        <v>66</v>
      </c>
      <c r="K26" s="3" t="s">
        <v>28</v>
      </c>
      <c r="L26" s="3">
        <v>952.5</v>
      </c>
    </row>
    <row r="27" spans="1:13" x14ac:dyDescent="0.25">
      <c r="A27" s="8"/>
      <c r="B27" s="9" t="s">
        <v>37</v>
      </c>
      <c r="C27" s="9" t="s">
        <v>38</v>
      </c>
      <c r="D27" s="21" t="s">
        <v>66</v>
      </c>
      <c r="E27" s="19"/>
      <c r="F27" s="12" t="s">
        <v>47</v>
      </c>
      <c r="G27" s="9">
        <f>$C$8-SUM(G28:G34)</f>
        <v>8366179.5374789927</v>
      </c>
      <c r="H27" s="9">
        <f>$C$8-SUM(H28:H34)</f>
        <v>4764779.1596638653</v>
      </c>
      <c r="I27" s="7">
        <f>(G27+H27)/2</f>
        <v>6565479.348571429</v>
      </c>
      <c r="K27" s="3" t="s">
        <v>29</v>
      </c>
      <c r="L27" s="3">
        <v>1.4550000000000001</v>
      </c>
      <c r="M27" s="2" t="s">
        <v>126</v>
      </c>
    </row>
    <row r="28" spans="1:13" x14ac:dyDescent="0.25">
      <c r="A28" s="12" t="s">
        <v>47</v>
      </c>
      <c r="B28" s="9">
        <f>$C$6-SUM(B29:B34)</f>
        <v>6129551.1529411767</v>
      </c>
      <c r="C28" s="13">
        <f>$C$5-SUM(C29:C34)</f>
        <v>1288777.5910364147</v>
      </c>
      <c r="D28" s="20">
        <f t="shared" si="2"/>
        <v>3709164.3719887957</v>
      </c>
      <c r="E28" s="19"/>
      <c r="F28" s="12" t="s">
        <v>40</v>
      </c>
      <c r="G28" s="7">
        <f>$C$8*G9</f>
        <v>42925.938375350146</v>
      </c>
      <c r="H28" s="7">
        <f>$C$8*H9</f>
        <v>257555.63025210085</v>
      </c>
      <c r="I28" s="7">
        <f t="shared" ref="I28:I69" si="3">(G28+H28)/2</f>
        <v>150240.78431372548</v>
      </c>
      <c r="K28" s="3" t="s">
        <v>122</v>
      </c>
      <c r="L28" s="3">
        <v>0.92500000000000004</v>
      </c>
      <c r="M28" s="2">
        <f>M25*0.00000110231</f>
        <v>4.1377546020165273E-4</v>
      </c>
    </row>
    <row r="29" spans="1:13" x14ac:dyDescent="0.25">
      <c r="A29" s="6" t="s">
        <v>40</v>
      </c>
      <c r="B29" s="7">
        <f>$C$6*G9</f>
        <v>31482.352941176472</v>
      </c>
      <c r="C29" s="7">
        <f>$C$6*H9</f>
        <v>188894.11764705883</v>
      </c>
      <c r="D29" s="20">
        <f t="shared" si="2"/>
        <v>110188.23529411765</v>
      </c>
      <c r="E29" s="19"/>
      <c r="F29" s="6" t="s">
        <v>52</v>
      </c>
      <c r="G29" s="7">
        <f>$C$8*G10</f>
        <v>8585.1876750700285</v>
      </c>
      <c r="H29" s="7">
        <f>$C$8*H10</f>
        <v>257555.63025210085</v>
      </c>
      <c r="I29" s="7">
        <f t="shared" si="3"/>
        <v>133070.40896358545</v>
      </c>
      <c r="K29" s="3" t="s">
        <v>31</v>
      </c>
      <c r="L29" s="3">
        <v>1.26</v>
      </c>
    </row>
    <row r="30" spans="1:13" x14ac:dyDescent="0.25">
      <c r="A30" s="6" t="s">
        <v>49</v>
      </c>
      <c r="B30" s="7">
        <f>$C$6*G8</f>
        <v>31482.352941176472</v>
      </c>
      <c r="C30" s="7">
        <f>$C$6*H8</f>
        <v>188894.11764705883</v>
      </c>
      <c r="D30" s="20">
        <f t="shared" si="2"/>
        <v>110188.23529411765</v>
      </c>
      <c r="E30" s="19"/>
      <c r="F30" s="6" t="s">
        <v>49</v>
      </c>
      <c r="G30" s="7">
        <f>$C$8*G8</f>
        <v>42925.938375350146</v>
      </c>
      <c r="H30" s="7">
        <f>$C$8*H8</f>
        <v>257555.63025210085</v>
      </c>
      <c r="I30" s="7">
        <f t="shared" si="3"/>
        <v>150240.78431372548</v>
      </c>
      <c r="K30" s="3" t="s">
        <v>32</v>
      </c>
      <c r="L30" s="3">
        <v>905</v>
      </c>
    </row>
    <row r="31" spans="1:13" x14ac:dyDescent="0.25">
      <c r="A31" s="6" t="s">
        <v>11</v>
      </c>
      <c r="B31" s="7">
        <f>$C$6*G16</f>
        <v>15741.176470588236</v>
      </c>
      <c r="C31" s="7">
        <f>$C$6*H16</f>
        <v>314823.52941176476</v>
      </c>
      <c r="D31" s="20">
        <f t="shared" si="2"/>
        <v>165282.3529411765</v>
      </c>
      <c r="E31" s="19"/>
      <c r="F31" s="6" t="s">
        <v>10</v>
      </c>
      <c r="G31" s="7">
        <f>$C$8*G7</f>
        <v>60096.313725490203</v>
      </c>
      <c r="H31" s="7">
        <f>$C$8*H7</f>
        <v>2146296.9187675072</v>
      </c>
      <c r="I31" s="7">
        <f t="shared" si="3"/>
        <v>1103196.6162464987</v>
      </c>
      <c r="K31" s="3" t="s">
        <v>33</v>
      </c>
      <c r="L31" s="3">
        <v>1.0549999999999999</v>
      </c>
    </row>
    <row r="32" spans="1:13" x14ac:dyDescent="0.25">
      <c r="A32" s="6" t="s">
        <v>10</v>
      </c>
      <c r="B32" s="7">
        <f>$C$6*G7</f>
        <v>44075.294117647063</v>
      </c>
      <c r="C32" s="7">
        <f>$C$6*H7</f>
        <v>1574117.6470588236</v>
      </c>
      <c r="D32" s="20">
        <f t="shared" si="2"/>
        <v>809096.4705882353</v>
      </c>
      <c r="E32" s="19"/>
      <c r="F32" s="6" t="s">
        <v>53</v>
      </c>
      <c r="G32" s="7">
        <f>$C$8*G8</f>
        <v>42925.938375350146</v>
      </c>
      <c r="H32" s="7">
        <f>$C$8*H8</f>
        <v>257555.63025210085</v>
      </c>
      <c r="I32" s="7">
        <f t="shared" si="3"/>
        <v>150240.78431372548</v>
      </c>
      <c r="K32" s="3" t="s">
        <v>123</v>
      </c>
      <c r="L32" s="3">
        <v>1.29</v>
      </c>
    </row>
    <row r="33" spans="1:9" x14ac:dyDescent="0.25">
      <c r="A33" s="6" t="s">
        <v>53</v>
      </c>
      <c r="B33" s="7">
        <f>$C$6*G7</f>
        <v>44075.294117647063</v>
      </c>
      <c r="C33" s="7">
        <f>$C$6*H7</f>
        <v>1574117.6470588236</v>
      </c>
      <c r="D33" s="20">
        <f t="shared" si="2"/>
        <v>809096.4705882353</v>
      </c>
      <c r="E33" s="19"/>
      <c r="F33" s="6" t="s">
        <v>11</v>
      </c>
      <c r="G33" s="7">
        <f>$C$8*G16</f>
        <v>21462.969187675073</v>
      </c>
      <c r="H33" s="7">
        <f>$C$8*H16</f>
        <v>429259.38375350146</v>
      </c>
      <c r="I33" s="7">
        <f t="shared" si="3"/>
        <v>225361.17647058825</v>
      </c>
    </row>
    <row r="34" spans="1:9" x14ac:dyDescent="0.25">
      <c r="A34" s="6" t="s">
        <v>46</v>
      </c>
      <c r="B34" s="7">
        <f>$C$6*G17</f>
        <v>62.964705882352952</v>
      </c>
      <c r="C34" s="7">
        <f>$C$6*H17</f>
        <v>157411.76470588238</v>
      </c>
      <c r="D34" s="20">
        <f t="shared" si="2"/>
        <v>78737.36470588237</v>
      </c>
      <c r="E34" s="19"/>
      <c r="F34" s="6" t="s">
        <v>46</v>
      </c>
      <c r="G34" s="7">
        <f>$C$8*G17</f>
        <v>85.851876750700299</v>
      </c>
      <c r="H34" s="7">
        <f>$C$8*H17</f>
        <v>214629.69187675073</v>
      </c>
      <c r="I34" s="7">
        <f t="shared" si="3"/>
        <v>107357.77187675072</v>
      </c>
    </row>
    <row r="35" spans="1:9" x14ac:dyDescent="0.25">
      <c r="D35" s="19"/>
      <c r="E35" s="19"/>
    </row>
    <row r="36" spans="1:9" ht="18.75" x14ac:dyDescent="0.25">
      <c r="A36" s="323" t="s">
        <v>3</v>
      </c>
      <c r="B36" s="323"/>
      <c r="C36" s="323"/>
      <c r="D36" s="323"/>
      <c r="E36" s="19"/>
      <c r="F36" s="323" t="s">
        <v>5</v>
      </c>
      <c r="G36" s="323"/>
      <c r="H36" s="323"/>
      <c r="I36" s="323"/>
    </row>
    <row r="37" spans="1:9" x14ac:dyDescent="0.25">
      <c r="A37" s="11" t="s">
        <v>35</v>
      </c>
      <c r="B37" s="322" t="s">
        <v>59</v>
      </c>
      <c r="C37" s="322"/>
      <c r="D37" s="322"/>
      <c r="E37" s="19"/>
      <c r="F37" s="11" t="s">
        <v>35</v>
      </c>
      <c r="G37" s="322" t="s">
        <v>61</v>
      </c>
      <c r="H37" s="322"/>
      <c r="I37" s="322"/>
    </row>
    <row r="38" spans="1:9" x14ac:dyDescent="0.25">
      <c r="A38" s="8"/>
      <c r="B38" s="9" t="s">
        <v>37</v>
      </c>
      <c r="C38" s="9" t="s">
        <v>38</v>
      </c>
      <c r="D38" s="21" t="s">
        <v>66</v>
      </c>
      <c r="E38" s="19"/>
      <c r="F38" s="8"/>
      <c r="G38" s="9" t="s">
        <v>37</v>
      </c>
      <c r="H38" s="9" t="s">
        <v>38</v>
      </c>
      <c r="I38" s="7" t="s">
        <v>66</v>
      </c>
    </row>
    <row r="39" spans="1:9" x14ac:dyDescent="0.25">
      <c r="A39" s="12" t="s">
        <v>47</v>
      </c>
      <c r="B39" s="21">
        <f>$C$7-SUM(B40:B46)</f>
        <v>743394.89882352948</v>
      </c>
      <c r="C39" s="9">
        <f>$C$7-SUM(C40:C46)</f>
        <v>88150.588235294097</v>
      </c>
      <c r="D39" s="20">
        <f t="shared" si="2"/>
        <v>415772.74352941179</v>
      </c>
      <c r="E39" s="19"/>
      <c r="F39" s="12" t="s">
        <v>47</v>
      </c>
      <c r="G39" s="21">
        <f>$C$9-SUM(G40:G46)</f>
        <v>66336.016134453777</v>
      </c>
      <c r="H39" s="14">
        <f>$C$9-SUM(H40:H46)</f>
        <v>-55768.739495798291</v>
      </c>
      <c r="I39" s="7">
        <f t="shared" si="3"/>
        <v>5283.6383193277434</v>
      </c>
    </row>
    <row r="40" spans="1:9" x14ac:dyDescent="0.25">
      <c r="A40" s="12" t="s">
        <v>9</v>
      </c>
      <c r="B40" s="7">
        <f>$C$7*G6</f>
        <v>83952.941176470602</v>
      </c>
      <c r="C40" s="7">
        <f>$C$7*H6</f>
        <v>587670.5882352941</v>
      </c>
      <c r="D40" s="20">
        <f t="shared" si="2"/>
        <v>335811.76470588235</v>
      </c>
      <c r="E40" s="19"/>
      <c r="F40" s="12" t="s">
        <v>9</v>
      </c>
      <c r="G40" s="7">
        <f>$C$9*G6</f>
        <v>8994.957983193277</v>
      </c>
      <c r="H40" s="7">
        <f>$C$9*H6</f>
        <v>62964.705882352937</v>
      </c>
      <c r="I40" s="7">
        <f t="shared" si="3"/>
        <v>35979.831932773108</v>
      </c>
    </row>
    <row r="41" spans="1:9" x14ac:dyDescent="0.25">
      <c r="A41" s="6" t="s">
        <v>40</v>
      </c>
      <c r="B41" s="7">
        <f>$C$7*G9</f>
        <v>4197.6470588235297</v>
      </c>
      <c r="C41" s="7">
        <f>$C$7*H9</f>
        <v>25185.882352941175</v>
      </c>
      <c r="D41" s="20">
        <f t="shared" si="2"/>
        <v>14691.764705882353</v>
      </c>
      <c r="E41" s="19"/>
      <c r="F41" s="6" t="s">
        <v>53</v>
      </c>
      <c r="G41" s="7">
        <f>$C$9*G8</f>
        <v>449.74789915966386</v>
      </c>
      <c r="H41" s="7">
        <f>$C$9*H8</f>
        <v>2698.4873949579833</v>
      </c>
      <c r="I41" s="7">
        <f t="shared" si="3"/>
        <v>1574.1176470588236</v>
      </c>
    </row>
    <row r="42" spans="1:9" x14ac:dyDescent="0.25">
      <c r="A42" s="6" t="s">
        <v>52</v>
      </c>
      <c r="B42" s="7">
        <f>$C$7*G10</f>
        <v>839.52941176470597</v>
      </c>
      <c r="C42" s="7">
        <f>$C$7*H10</f>
        <v>25185.882352941175</v>
      </c>
      <c r="D42" s="20">
        <f t="shared" si="2"/>
        <v>13012.705882352941</v>
      </c>
      <c r="E42" s="19"/>
      <c r="F42" s="6" t="s">
        <v>14</v>
      </c>
      <c r="G42" s="7">
        <f>$C$9*G20</f>
        <v>0.8994957983193278</v>
      </c>
      <c r="H42" s="7">
        <f>$C$9*H20</f>
        <v>44974.789915966387</v>
      </c>
      <c r="I42" s="7">
        <f t="shared" si="3"/>
        <v>22487.844705882351</v>
      </c>
    </row>
    <row r="43" spans="1:9" x14ac:dyDescent="0.25">
      <c r="A43" s="6" t="s">
        <v>53</v>
      </c>
      <c r="B43" s="7">
        <f>$C$7*G8</f>
        <v>4197.6470588235297</v>
      </c>
      <c r="C43" s="7">
        <f>$C$7*H8</f>
        <v>25185.882352941175</v>
      </c>
      <c r="D43" s="20">
        <f t="shared" si="2"/>
        <v>14691.764705882353</v>
      </c>
      <c r="E43" s="19"/>
      <c r="F43" s="6" t="s">
        <v>54</v>
      </c>
      <c r="G43" s="7">
        <f>$C$9*G21</f>
        <v>13492.436974789916</v>
      </c>
      <c r="H43" s="7">
        <f>$C$9*H21</f>
        <v>26984.873949579833</v>
      </c>
      <c r="I43" s="7">
        <f t="shared" si="3"/>
        <v>20238.655462184874</v>
      </c>
    </row>
    <row r="44" spans="1:9" x14ac:dyDescent="0.25">
      <c r="A44" s="6" t="s">
        <v>41</v>
      </c>
      <c r="B44" s="7">
        <f>$C$7*G11</f>
        <v>839.52941176470597</v>
      </c>
      <c r="C44" s="7">
        <f>$C$7*H11</f>
        <v>25185.882352941175</v>
      </c>
      <c r="D44" s="20">
        <f t="shared" si="2"/>
        <v>13012.705882352941</v>
      </c>
      <c r="E44" s="19"/>
      <c r="F44" s="6" t="s">
        <v>13</v>
      </c>
      <c r="G44" s="7">
        <f>$C$9*G15</f>
        <v>0.8994957983193278</v>
      </c>
      <c r="H44" s="7">
        <f>$C$9*H15</f>
        <v>899.49579831932772</v>
      </c>
      <c r="I44" s="7">
        <f t="shared" si="3"/>
        <v>450.19764705882352</v>
      </c>
    </row>
    <row r="45" spans="1:9" x14ac:dyDescent="0.25">
      <c r="A45" s="6" t="s">
        <v>11</v>
      </c>
      <c r="B45" s="7">
        <f>$C$7*G16</f>
        <v>2098.8235294117649</v>
      </c>
      <c r="C45" s="7">
        <f>$C$7*H16</f>
        <v>41976.470588235301</v>
      </c>
      <c r="D45" s="20">
        <f t="shared" si="2"/>
        <v>22037.647058823532</v>
      </c>
      <c r="E45" s="19"/>
      <c r="F45" s="6" t="s">
        <v>40</v>
      </c>
      <c r="G45" s="7">
        <f>$C$9*G9</f>
        <v>449.74789915966386</v>
      </c>
      <c r="H45" s="7">
        <f>$C$9*H9</f>
        <v>2698.4873949579833</v>
      </c>
      <c r="I45" s="7">
        <f t="shared" si="3"/>
        <v>1574.1176470588236</v>
      </c>
    </row>
    <row r="46" spans="1:9" x14ac:dyDescent="0.25">
      <c r="A46" s="6" t="s">
        <v>46</v>
      </c>
      <c r="B46" s="7">
        <f>$C$7*G17</f>
        <v>8.3952941176470599</v>
      </c>
      <c r="C46" s="7">
        <f>$C$7*H17</f>
        <v>20988.23529411765</v>
      </c>
      <c r="D46" s="20">
        <f t="shared" si="2"/>
        <v>10498.315294117649</v>
      </c>
      <c r="E46" s="19"/>
      <c r="F46" s="6" t="s">
        <v>11</v>
      </c>
      <c r="G46" s="7">
        <f>$C$9*G16</f>
        <v>224.87394957983193</v>
      </c>
      <c r="H46" s="7">
        <f>$C$9*H16</f>
        <v>4497.4789915966385</v>
      </c>
      <c r="I46" s="7">
        <f t="shared" si="3"/>
        <v>2361.1764705882351</v>
      </c>
    </row>
    <row r="47" spans="1:9" x14ac:dyDescent="0.25">
      <c r="D47" s="19"/>
      <c r="E47" s="19"/>
    </row>
    <row r="48" spans="1:9" ht="18.75" x14ac:dyDescent="0.25">
      <c r="A48" s="323" t="s">
        <v>6</v>
      </c>
      <c r="B48" s="323"/>
      <c r="C48" s="323"/>
      <c r="D48" s="323"/>
      <c r="E48" s="19"/>
      <c r="F48" s="4" t="s">
        <v>69</v>
      </c>
    </row>
    <row r="49" spans="1:9" ht="18.75" x14ac:dyDescent="0.25">
      <c r="A49" s="11" t="s">
        <v>35</v>
      </c>
      <c r="B49" s="322" t="s">
        <v>62</v>
      </c>
      <c r="C49" s="322"/>
      <c r="D49" s="322"/>
      <c r="E49" s="19"/>
      <c r="F49" s="323" t="s">
        <v>34</v>
      </c>
      <c r="G49" s="323"/>
      <c r="H49" s="323"/>
      <c r="I49" s="323"/>
    </row>
    <row r="50" spans="1:9" x14ac:dyDescent="0.25">
      <c r="A50" s="8"/>
      <c r="B50" s="9" t="s">
        <v>37</v>
      </c>
      <c r="C50" s="9" t="s">
        <v>38</v>
      </c>
      <c r="D50" s="21" t="s">
        <v>66</v>
      </c>
      <c r="E50" s="19"/>
      <c r="F50" s="11" t="s">
        <v>35</v>
      </c>
      <c r="G50" s="322" t="s">
        <v>64</v>
      </c>
      <c r="H50" s="322"/>
      <c r="I50" s="322"/>
    </row>
    <row r="51" spans="1:9" x14ac:dyDescent="0.25">
      <c r="A51" s="12" t="s">
        <v>47</v>
      </c>
      <c r="B51" s="9">
        <f>$C$10-SUM(B52:B57)</f>
        <v>7997513.0890756305</v>
      </c>
      <c r="C51" s="9">
        <f>$C$10-SUM(C52:C57)</f>
        <v>5170721.6134453788</v>
      </c>
      <c r="D51" s="20">
        <f t="shared" si="2"/>
        <v>6584117.3512605047</v>
      </c>
      <c r="E51" s="19"/>
      <c r="F51" s="8"/>
      <c r="G51" s="9" t="s">
        <v>37</v>
      </c>
      <c r="H51" s="9" t="s">
        <v>38</v>
      </c>
      <c r="I51" s="7" t="s">
        <v>66</v>
      </c>
    </row>
    <row r="52" spans="1:9" x14ac:dyDescent="0.25">
      <c r="A52" s="6" t="s">
        <v>40</v>
      </c>
      <c r="B52" s="7">
        <f>$C$10*G9</f>
        <v>40727.170868347341</v>
      </c>
      <c r="C52" s="7">
        <f>$C$10*H9</f>
        <v>244363.02521008402</v>
      </c>
      <c r="D52" s="20">
        <f t="shared" si="2"/>
        <v>142545.09803921566</v>
      </c>
      <c r="E52" s="19"/>
      <c r="F52" s="12" t="s">
        <v>47</v>
      </c>
      <c r="G52" s="21">
        <f>$C$12-SUM(G53:G69)</f>
        <v>2977806.0262184879</v>
      </c>
      <c r="H52" s="14">
        <f>$C$12-SUM(H53:H69)</f>
        <v>-5488955.2313725483</v>
      </c>
      <c r="I52" s="7">
        <f t="shared" si="3"/>
        <v>-1255574.6025770302</v>
      </c>
    </row>
    <row r="53" spans="1:9" x14ac:dyDescent="0.25">
      <c r="A53" s="6" t="s">
        <v>52</v>
      </c>
      <c r="B53" s="7">
        <f>$C$10*G10</f>
        <v>8145.4341736694678</v>
      </c>
      <c r="C53" s="7">
        <f>$C$10*H10</f>
        <v>244363.02521008402</v>
      </c>
      <c r="D53" s="20">
        <f t="shared" si="2"/>
        <v>126254.22969187674</v>
      </c>
      <c r="E53" s="19"/>
      <c r="F53" s="12" t="s">
        <v>9</v>
      </c>
      <c r="G53" s="7">
        <f>$C$12*G6</f>
        <v>415766.94677871151</v>
      </c>
      <c r="H53" s="7">
        <f>$C$12*H6</f>
        <v>2910368.6274509802</v>
      </c>
      <c r="I53" s="7">
        <f t="shared" si="3"/>
        <v>1663067.7871148458</v>
      </c>
    </row>
    <row r="54" spans="1:9" x14ac:dyDescent="0.25">
      <c r="A54" s="6" t="s">
        <v>49</v>
      </c>
      <c r="B54" s="7">
        <f>$C$10*G8</f>
        <v>40727.170868347341</v>
      </c>
      <c r="C54" s="7">
        <f>$C$10*H8</f>
        <v>244363.02521008402</v>
      </c>
      <c r="D54" s="20">
        <f t="shared" si="2"/>
        <v>142545.09803921566</v>
      </c>
      <c r="E54" s="19"/>
      <c r="F54" s="12" t="s">
        <v>40</v>
      </c>
      <c r="G54" s="7">
        <f>$C$12*G9</f>
        <v>20788.347338935575</v>
      </c>
      <c r="H54" s="7">
        <f>$C$12*H9</f>
        <v>124730.08403361344</v>
      </c>
      <c r="I54" s="7">
        <f t="shared" si="3"/>
        <v>72759.215686274503</v>
      </c>
    </row>
    <row r="55" spans="1:9" x14ac:dyDescent="0.25">
      <c r="A55" s="6" t="s">
        <v>10</v>
      </c>
      <c r="B55" s="7">
        <f>$C$10*G7</f>
        <v>57018.039215686273</v>
      </c>
      <c r="C55" s="7">
        <f>$C$10*H7</f>
        <v>2036358.5434173669</v>
      </c>
      <c r="D55" s="20">
        <f t="shared" si="2"/>
        <v>1046688.2913165266</v>
      </c>
      <c r="E55" s="19"/>
      <c r="F55" s="12" t="s">
        <v>49</v>
      </c>
      <c r="G55" s="7">
        <f>$C$12*G8</f>
        <v>20788.347338935575</v>
      </c>
      <c r="H55" s="7">
        <f>$C$12*H8</f>
        <v>124730.08403361344</v>
      </c>
      <c r="I55" s="7">
        <f t="shared" si="3"/>
        <v>72759.215686274503</v>
      </c>
    </row>
    <row r="56" spans="1:9" x14ac:dyDescent="0.25">
      <c r="A56" s="6" t="s">
        <v>48</v>
      </c>
      <c r="B56" s="7">
        <f>$C$10*G18</f>
        <v>1221.8151260504201</v>
      </c>
      <c r="C56" s="7">
        <f>$C$10*H18</f>
        <v>1629.0868347338935</v>
      </c>
      <c r="D56" s="20">
        <f t="shared" si="2"/>
        <v>1425.4509803921569</v>
      </c>
      <c r="E56" s="19"/>
      <c r="F56" s="12" t="s">
        <v>11</v>
      </c>
      <c r="G56" s="7">
        <f>$C$12*G16</f>
        <v>10394.173669467787</v>
      </c>
      <c r="H56" s="7">
        <f>$C$12*H16</f>
        <v>207883.47338935576</v>
      </c>
      <c r="I56" s="7">
        <f t="shared" si="3"/>
        <v>109138.82352941178</v>
      </c>
    </row>
    <row r="57" spans="1:9" x14ac:dyDescent="0.25">
      <c r="A57" s="6" t="s">
        <v>46</v>
      </c>
      <c r="B57" s="7">
        <f>$C$10*G17</f>
        <v>81.454341736694687</v>
      </c>
      <c r="C57" s="7">
        <f>$C$10*H17</f>
        <v>203635.8543417367</v>
      </c>
      <c r="D57" s="20">
        <f t="shared" si="2"/>
        <v>101858.65434173669</v>
      </c>
      <c r="E57" s="19"/>
      <c r="F57" s="6" t="s">
        <v>10</v>
      </c>
      <c r="G57" s="7">
        <f>$C$12*G7</f>
        <v>29103.686274509804</v>
      </c>
      <c r="H57" s="7">
        <f>$C$12*H7</f>
        <v>1039417.3669467787</v>
      </c>
      <c r="I57" s="7">
        <f t="shared" si="3"/>
        <v>534260.5266106443</v>
      </c>
    </row>
    <row r="58" spans="1:9" x14ac:dyDescent="0.25">
      <c r="A58" s="35"/>
      <c r="B58" s="23"/>
      <c r="C58" s="23"/>
      <c r="D58" s="36"/>
      <c r="E58" s="19"/>
      <c r="F58" s="6" t="s">
        <v>98</v>
      </c>
      <c r="G58" s="7">
        <f t="shared" ref="G58:H60" si="4">$C$12*G13</f>
        <v>4157.6694677871146</v>
      </c>
      <c r="H58" s="7">
        <f t="shared" si="4"/>
        <v>83153.3893557423</v>
      </c>
      <c r="I58" s="7">
        <f t="shared" si="3"/>
        <v>43655.529411764706</v>
      </c>
    </row>
    <row r="59" spans="1:9" x14ac:dyDescent="0.25">
      <c r="A59" s="35"/>
      <c r="B59" s="23"/>
      <c r="C59" s="23"/>
      <c r="D59" s="36"/>
      <c r="E59" s="19"/>
      <c r="F59" s="6" t="s">
        <v>99</v>
      </c>
      <c r="G59" s="7">
        <f t="shared" si="4"/>
        <v>20788.347338935575</v>
      </c>
      <c r="H59" s="7">
        <f t="shared" si="4"/>
        <v>852322.2408963585</v>
      </c>
      <c r="I59" s="7">
        <f t="shared" si="3"/>
        <v>436555.29411764705</v>
      </c>
    </row>
    <row r="60" spans="1:9" x14ac:dyDescent="0.25">
      <c r="A60" s="35"/>
      <c r="B60" s="23"/>
      <c r="C60" s="23"/>
      <c r="D60" s="36"/>
      <c r="E60" s="19"/>
      <c r="F60" s="6" t="s">
        <v>13</v>
      </c>
      <c r="G60" s="7">
        <f t="shared" si="4"/>
        <v>41.576694677871153</v>
      </c>
      <c r="H60" s="7">
        <f t="shared" si="4"/>
        <v>41576.69467787115</v>
      </c>
      <c r="I60" s="7">
        <f t="shared" si="3"/>
        <v>20809.135686274509</v>
      </c>
    </row>
    <row r="61" spans="1:9" x14ac:dyDescent="0.25">
      <c r="A61" s="35"/>
      <c r="B61" s="23"/>
      <c r="C61" s="23"/>
      <c r="D61" s="36"/>
      <c r="E61" s="19"/>
      <c r="F61" s="6" t="s">
        <v>48</v>
      </c>
      <c r="G61" s="7">
        <f>$C$12*G18</f>
        <v>623.65042016806717</v>
      </c>
      <c r="H61" s="7">
        <f>$C$12*H18</f>
        <v>831.53389355742297</v>
      </c>
      <c r="I61" s="7">
        <f t="shared" si="3"/>
        <v>727.59215686274501</v>
      </c>
    </row>
    <row r="62" spans="1:9" x14ac:dyDescent="0.25">
      <c r="A62" s="35"/>
      <c r="B62" s="23"/>
      <c r="C62" s="23"/>
      <c r="D62" s="36"/>
      <c r="E62" s="19"/>
      <c r="F62" s="6" t="s">
        <v>100</v>
      </c>
      <c r="G62" s="7">
        <f>$C$12*G19</f>
        <v>415.76694677871149</v>
      </c>
      <c r="H62" s="7">
        <f>$C$12*H19</f>
        <v>415766.94677871151</v>
      </c>
      <c r="I62" s="7">
        <f t="shared" si="3"/>
        <v>208091.3568627451</v>
      </c>
    </row>
    <row r="63" spans="1:9" x14ac:dyDescent="0.25">
      <c r="D63" s="19"/>
      <c r="E63" s="19"/>
      <c r="F63" s="6" t="s">
        <v>53</v>
      </c>
      <c r="G63" s="7">
        <f>$C$12*G8</f>
        <v>20788.347338935575</v>
      </c>
      <c r="H63" s="7">
        <f>$C$12*H8</f>
        <v>124730.08403361344</v>
      </c>
      <c r="I63" s="7">
        <f t="shared" si="3"/>
        <v>72759.215686274503</v>
      </c>
    </row>
    <row r="64" spans="1:9" ht="18.75" x14ac:dyDescent="0.25">
      <c r="A64" s="323" t="s">
        <v>7</v>
      </c>
      <c r="B64" s="323"/>
      <c r="C64" s="323"/>
      <c r="D64" s="323"/>
      <c r="E64" s="19"/>
      <c r="F64" s="6" t="s">
        <v>46</v>
      </c>
      <c r="G64" s="7">
        <f>$C$12*G17</f>
        <v>41.576694677871153</v>
      </c>
      <c r="H64" s="7">
        <f>$C$12*H17</f>
        <v>103941.73669467788</v>
      </c>
      <c r="I64" s="7">
        <f t="shared" si="3"/>
        <v>51991.656694677877</v>
      </c>
    </row>
    <row r="65" spans="1:9" x14ac:dyDescent="0.25">
      <c r="A65" s="11" t="s">
        <v>35</v>
      </c>
      <c r="B65" s="322" t="s">
        <v>63</v>
      </c>
      <c r="C65" s="322"/>
      <c r="D65" s="322"/>
      <c r="E65" s="19"/>
      <c r="F65" s="6" t="s">
        <v>14</v>
      </c>
      <c r="G65" s="7">
        <f>$C$12*G20</f>
        <v>41.576694677871153</v>
      </c>
      <c r="H65" s="7">
        <f>$C$12*H20</f>
        <v>2078834.7338935575</v>
      </c>
      <c r="I65" s="7">
        <f t="shared" si="3"/>
        <v>1039438.1552941176</v>
      </c>
    </row>
    <row r="66" spans="1:9" x14ac:dyDescent="0.25">
      <c r="A66" s="8"/>
      <c r="B66" s="9" t="s">
        <v>37</v>
      </c>
      <c r="C66" s="9" t="s">
        <v>38</v>
      </c>
      <c r="D66" s="21" t="s">
        <v>66</v>
      </c>
      <c r="E66" s="19"/>
      <c r="F66" s="6" t="s">
        <v>56</v>
      </c>
      <c r="G66" s="7">
        <f>$C$12*G21</f>
        <v>623650.42016806721</v>
      </c>
      <c r="H66" s="7">
        <f>$C$12*H21</f>
        <v>1247300.8403361344</v>
      </c>
      <c r="I66" s="7">
        <f t="shared" si="3"/>
        <v>935475.63025210076</v>
      </c>
    </row>
    <row r="67" spans="1:9" x14ac:dyDescent="0.25">
      <c r="A67" s="12" t="s">
        <v>47</v>
      </c>
      <c r="B67" s="9">
        <f>$C$11-SUM(B68:B73)</f>
        <v>2225959.6647619046</v>
      </c>
      <c r="C67" s="9">
        <f>$C$11-SUM(C68:C73)</f>
        <v>1863455.4621848739</v>
      </c>
      <c r="D67" s="20">
        <f t="shared" si="2"/>
        <v>2044707.5634733893</v>
      </c>
      <c r="E67" s="19"/>
      <c r="F67" s="6" t="s">
        <v>41</v>
      </c>
      <c r="G67" s="7">
        <f>$C$12*G11</f>
        <v>4157.6694677871146</v>
      </c>
      <c r="H67" s="7">
        <f>$C$12*H11</f>
        <v>124730.08403361344</v>
      </c>
      <c r="I67" s="7">
        <f t="shared" si="3"/>
        <v>64443.876750700278</v>
      </c>
    </row>
    <row r="68" spans="1:9" x14ac:dyDescent="0.25">
      <c r="A68" s="6" t="s">
        <v>40</v>
      </c>
      <c r="B68" s="7">
        <f>$C$11*G9</f>
        <v>11293.669467787115</v>
      </c>
      <c r="C68" s="7">
        <f>$C$11*H9</f>
        <v>67762.016806722677</v>
      </c>
      <c r="D68" s="20">
        <f t="shared" si="2"/>
        <v>39527.843137254895</v>
      </c>
      <c r="E68" s="19"/>
      <c r="F68" s="6" t="s">
        <v>52</v>
      </c>
      <c r="G68" s="7">
        <f>$C$12*G10</f>
        <v>4157.6694677871146</v>
      </c>
      <c r="H68" s="7">
        <f>$C$12*H10</f>
        <v>124730.08403361344</v>
      </c>
      <c r="I68" s="7">
        <f t="shared" si="3"/>
        <v>64443.876750700278</v>
      </c>
    </row>
    <row r="69" spans="1:9" x14ac:dyDescent="0.25">
      <c r="A69" s="6" t="s">
        <v>52</v>
      </c>
      <c r="B69" s="7">
        <f>$C$11*G10</f>
        <v>2258.733893557423</v>
      </c>
      <c r="C69" s="7">
        <f>$C$11*H10</f>
        <v>67762.016806722677</v>
      </c>
      <c r="D69" s="20">
        <f t="shared" si="2"/>
        <v>35010.37535014005</v>
      </c>
      <c r="E69" s="19"/>
      <c r="F69" s="6" t="s">
        <v>51</v>
      </c>
      <c r="G69" s="7">
        <f>$C$12*G12</f>
        <v>4157.6694677871146</v>
      </c>
      <c r="H69" s="7">
        <f>$C$12*H12</f>
        <v>41576.69467787115</v>
      </c>
      <c r="I69" s="7">
        <f t="shared" si="3"/>
        <v>22867.182072829131</v>
      </c>
    </row>
    <row r="70" spans="1:9" x14ac:dyDescent="0.25">
      <c r="A70" s="6" t="s">
        <v>49</v>
      </c>
      <c r="B70" s="7">
        <f>$C$11*G8</f>
        <v>11293.669467787115</v>
      </c>
      <c r="C70" s="7">
        <f>$C$11*H8</f>
        <v>67762.016806722677</v>
      </c>
      <c r="D70" s="20">
        <f t="shared" si="2"/>
        <v>39527.843137254895</v>
      </c>
      <c r="E70" s="19"/>
      <c r="F70" s="4" t="s">
        <v>68</v>
      </c>
    </row>
    <row r="71" spans="1:9" x14ac:dyDescent="0.25">
      <c r="A71" s="6" t="s">
        <v>51</v>
      </c>
      <c r="B71" s="7">
        <f>$C$11*G12</f>
        <v>2258.733893557423</v>
      </c>
      <c r="C71" s="7">
        <f>$C$11*H12</f>
        <v>22587.338935574229</v>
      </c>
      <c r="D71" s="20">
        <f t="shared" si="2"/>
        <v>12423.036414565826</v>
      </c>
      <c r="E71" s="19"/>
    </row>
    <row r="72" spans="1:9" x14ac:dyDescent="0.25">
      <c r="A72" s="6" t="s">
        <v>11</v>
      </c>
      <c r="B72" s="7">
        <f>$C$11*G16</f>
        <v>5646.8347338935573</v>
      </c>
      <c r="C72" s="7">
        <f>$C$11*H16</f>
        <v>112936.69467787114</v>
      </c>
      <c r="D72" s="20">
        <f t="shared" si="2"/>
        <v>59291.76470588235</v>
      </c>
      <c r="E72" s="19"/>
    </row>
    <row r="73" spans="1:9" x14ac:dyDescent="0.25">
      <c r="A73" s="6" t="s">
        <v>46</v>
      </c>
      <c r="B73" s="7">
        <f>$C$11*G17</f>
        <v>22.58733893557423</v>
      </c>
      <c r="C73" s="7">
        <f>$C$11*H17</f>
        <v>56468.347338935571</v>
      </c>
      <c r="D73" s="20">
        <f t="shared" si="2"/>
        <v>28245.467338935574</v>
      </c>
      <c r="E73" s="19"/>
    </row>
    <row r="74" spans="1:9" x14ac:dyDescent="0.25">
      <c r="G74" s="19">
        <f>SUM(G52:G69,B67:B73,B51:B57,G39:G46,B39:B46,B28:B34,G27:G34,B18:B23)</f>
        <v>35660011.204481788</v>
      </c>
    </row>
  </sheetData>
  <mergeCells count="17">
    <mergeCell ref="F49:I49"/>
    <mergeCell ref="B49:D49"/>
    <mergeCell ref="B65:D65"/>
    <mergeCell ref="G37:I37"/>
    <mergeCell ref="B37:D37"/>
    <mergeCell ref="G50:I50"/>
    <mergeCell ref="A64:D64"/>
    <mergeCell ref="A48:D48"/>
    <mergeCell ref="G4:H4"/>
    <mergeCell ref="A15:D15"/>
    <mergeCell ref="F24:I24"/>
    <mergeCell ref="G25:I25"/>
    <mergeCell ref="F36:I36"/>
    <mergeCell ref="B16:D16"/>
    <mergeCell ref="B26:D26"/>
    <mergeCell ref="A36:D36"/>
    <mergeCell ref="A25:D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4"/>
  <sheetViews>
    <sheetView workbookViewId="0">
      <selection activeCell="D14" sqref="D14"/>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f>'US Mat Flow Analysis 2018'!J41</f>
        <v>713200.22408963612</v>
      </c>
      <c r="C2" s="3" t="s">
        <v>67</v>
      </c>
    </row>
    <row r="3" spans="1:12" x14ac:dyDescent="0.25">
      <c r="A3" s="2"/>
    </row>
    <row r="4" spans="1:12" x14ac:dyDescent="0.25">
      <c r="A4" s="5" t="s">
        <v>25</v>
      </c>
      <c r="B4" s="5" t="s">
        <v>26</v>
      </c>
      <c r="C4" s="5" t="s">
        <v>57</v>
      </c>
      <c r="F4" s="5" t="s">
        <v>35</v>
      </c>
      <c r="G4" s="324" t="s">
        <v>36</v>
      </c>
      <c r="H4" s="325"/>
      <c r="L4" s="2" t="s">
        <v>101</v>
      </c>
    </row>
    <row r="5" spans="1:12" x14ac:dyDescent="0.25">
      <c r="A5" s="6" t="s">
        <v>27</v>
      </c>
      <c r="B5" s="16">
        <v>0.14817927170868347</v>
      </c>
      <c r="C5" s="29">
        <f>B5*$B$2</f>
        <v>105681.48978807213</v>
      </c>
      <c r="F5" s="8"/>
      <c r="G5" s="9" t="s">
        <v>37</v>
      </c>
      <c r="H5" s="9" t="s">
        <v>38</v>
      </c>
      <c r="I5" s="9" t="s">
        <v>65</v>
      </c>
      <c r="K5" s="6" t="s">
        <v>9</v>
      </c>
      <c r="L5" s="3">
        <f>SUM(B40,G40,G53)</f>
        <v>10168.59703253851</v>
      </c>
    </row>
    <row r="6" spans="1:12" x14ac:dyDescent="0.25">
      <c r="A6" s="6" t="s">
        <v>28</v>
      </c>
      <c r="B6" s="16">
        <v>0.17647058823529413</v>
      </c>
      <c r="C6" s="29">
        <f t="shared" ref="C6:C12" si="0">B6*$B$2</f>
        <v>125858.86307464167</v>
      </c>
      <c r="F6" s="6" t="s">
        <v>9</v>
      </c>
      <c r="G6" s="7">
        <v>0.1</v>
      </c>
      <c r="H6" s="7">
        <v>0.7</v>
      </c>
      <c r="I6" s="31">
        <f>(G6+H6)/2</f>
        <v>0.39999999999999997</v>
      </c>
      <c r="K6" s="6" t="s">
        <v>10</v>
      </c>
      <c r="L6" s="3">
        <f>SUM(B20,B32,B55,G31,G57)</f>
        <v>4543.5049569945641</v>
      </c>
    </row>
    <row r="7" spans="1:12" x14ac:dyDescent="0.25">
      <c r="A7" s="6" t="s">
        <v>29</v>
      </c>
      <c r="B7" s="16">
        <v>2.3529411764705882E-2</v>
      </c>
      <c r="C7" s="29">
        <f t="shared" si="0"/>
        <v>16781.181743285557</v>
      </c>
      <c r="F7" s="6" t="s">
        <v>10</v>
      </c>
      <c r="G7" s="7">
        <v>7.0000000000000001E-3</v>
      </c>
      <c r="H7" s="7">
        <v>0.25</v>
      </c>
      <c r="I7" s="31">
        <f t="shared" ref="I7:I21" si="1">(G7+H7)/2</f>
        <v>0.1285</v>
      </c>
      <c r="K7" s="6" t="s">
        <v>39</v>
      </c>
      <c r="L7" s="3">
        <f>SUM(B19,B30,B33,B43,B54,B70,G30,G32,G41,G55,G63)</f>
        <v>5718.587230970822</v>
      </c>
    </row>
    <row r="8" spans="1:12" x14ac:dyDescent="0.25">
      <c r="A8" s="6" t="s">
        <v>30</v>
      </c>
      <c r="B8" s="16">
        <v>0.24061624649859945</v>
      </c>
      <c r="C8" s="29">
        <f t="shared" si="0"/>
        <v>171607.56092240824</v>
      </c>
      <c r="F8" s="6" t="s">
        <v>39</v>
      </c>
      <c r="G8" s="7">
        <v>5.0000000000000001E-3</v>
      </c>
      <c r="H8" s="7">
        <v>0.03</v>
      </c>
      <c r="I8" s="31">
        <f t="shared" si="1"/>
        <v>1.7499999999999998E-2</v>
      </c>
      <c r="K8" s="6" t="s">
        <v>40</v>
      </c>
      <c r="L8" s="3">
        <f>SUM(B29,B41,B52,G54,G28,G45,B68)</f>
        <v>3035.5959117764769</v>
      </c>
    </row>
    <row r="9" spans="1:12" x14ac:dyDescent="0.25">
      <c r="A9" s="6" t="s">
        <v>31</v>
      </c>
      <c r="B9" s="16">
        <v>2.5210084033613447E-3</v>
      </c>
      <c r="C9" s="29">
        <f t="shared" si="0"/>
        <v>1797.9837582091668</v>
      </c>
      <c r="F9" s="6" t="s">
        <v>40</v>
      </c>
      <c r="G9" s="7">
        <v>5.0000000000000001E-3</v>
      </c>
      <c r="H9" s="7">
        <v>0.03</v>
      </c>
      <c r="I9" s="31">
        <f t="shared" si="1"/>
        <v>1.7499999999999998E-2</v>
      </c>
      <c r="K9" s="6" t="s">
        <v>12</v>
      </c>
      <c r="L9" s="3">
        <f>SUM(B42,B53,B69,G68,G29)</f>
        <v>479.46233552244445</v>
      </c>
    </row>
    <row r="10" spans="1:12" x14ac:dyDescent="0.25">
      <c r="A10" s="6" t="s">
        <v>32</v>
      </c>
      <c r="B10" s="16">
        <v>0.22829131652661064</v>
      </c>
      <c r="C10" s="29">
        <f t="shared" si="0"/>
        <v>162817.41810449676</v>
      </c>
      <c r="F10" s="6" t="s">
        <v>12</v>
      </c>
      <c r="G10" s="7">
        <v>1E-3</v>
      </c>
      <c r="H10" s="7">
        <v>0.03</v>
      </c>
      <c r="I10" s="31">
        <f t="shared" si="1"/>
        <v>1.55E-2</v>
      </c>
      <c r="K10" s="6" t="s">
        <v>41</v>
      </c>
      <c r="L10" s="3">
        <f>SUM(B44,G67)</f>
        <v>99.887986567175929</v>
      </c>
    </row>
    <row r="11" spans="1:12" x14ac:dyDescent="0.25">
      <c r="A11" s="6" t="s">
        <v>33</v>
      </c>
      <c r="B11" s="16">
        <v>6.3305322128851538E-2</v>
      </c>
      <c r="C11" s="29">
        <f t="shared" si="0"/>
        <v>45149.369928363514</v>
      </c>
      <c r="F11" s="6" t="s">
        <v>41</v>
      </c>
      <c r="G11" s="7">
        <v>1E-3</v>
      </c>
      <c r="H11" s="7">
        <v>0.03</v>
      </c>
      <c r="I11" s="31">
        <f t="shared" si="1"/>
        <v>1.55E-2</v>
      </c>
      <c r="K11" s="6" t="s">
        <v>42</v>
      </c>
      <c r="L11" s="3">
        <f>SUM(B21,B71,G69)</f>
        <v>233.93766454032601</v>
      </c>
    </row>
    <row r="12" spans="1:12" x14ac:dyDescent="0.25">
      <c r="A12" s="6" t="s">
        <v>34</v>
      </c>
      <c r="B12" s="16">
        <v>0.11652661064425771</v>
      </c>
      <c r="C12" s="29">
        <f t="shared" si="0"/>
        <v>83106.804823890372</v>
      </c>
      <c r="F12" s="6" t="s">
        <v>42</v>
      </c>
      <c r="G12" s="7">
        <v>1E-3</v>
      </c>
      <c r="H12" s="7">
        <v>0.01</v>
      </c>
      <c r="I12" s="31">
        <f t="shared" si="1"/>
        <v>5.4999999999999997E-3</v>
      </c>
      <c r="K12" s="6" t="s">
        <v>43</v>
      </c>
      <c r="L12" s="3">
        <f>SUM(G58)</f>
        <v>83.106804823890371</v>
      </c>
    </row>
    <row r="13" spans="1:12" x14ac:dyDescent="0.25">
      <c r="C13" s="19">
        <f>SUM(C5:C12)</f>
        <v>712800.67214336735</v>
      </c>
      <c r="D13" s="3" t="s">
        <v>274</v>
      </c>
      <c r="F13" s="6" t="s">
        <v>43</v>
      </c>
      <c r="G13" s="7">
        <v>1E-3</v>
      </c>
      <c r="H13" s="7">
        <v>0.02</v>
      </c>
      <c r="I13" s="31">
        <f t="shared" si="1"/>
        <v>1.0500000000000001E-2</v>
      </c>
      <c r="K13" s="6" t="s">
        <v>44</v>
      </c>
      <c r="L13" s="3">
        <f>SUM(G59)</f>
        <v>415.53402411945189</v>
      </c>
    </row>
    <row r="14" spans="1:12" x14ac:dyDescent="0.25">
      <c r="F14" s="6" t="s">
        <v>44</v>
      </c>
      <c r="G14" s="7">
        <v>5.0000000000000001E-3</v>
      </c>
      <c r="H14" s="7">
        <v>0.20499999999999999</v>
      </c>
      <c r="I14" s="31">
        <f t="shared" si="1"/>
        <v>0.105</v>
      </c>
      <c r="K14" s="6" t="s">
        <v>45</v>
      </c>
      <c r="L14" s="3">
        <f>SUM(G44,G60)</f>
        <v>0.84904788582099544</v>
      </c>
    </row>
    <row r="15" spans="1:12" ht="18.75" x14ac:dyDescent="0.25">
      <c r="A15" s="323" t="s">
        <v>1</v>
      </c>
      <c r="B15" s="323"/>
      <c r="C15" s="323"/>
      <c r="D15" s="323"/>
      <c r="F15" s="6" t="s">
        <v>45</v>
      </c>
      <c r="G15" s="7">
        <v>1.0000000000000001E-5</v>
      </c>
      <c r="H15" s="7">
        <v>0.01</v>
      </c>
      <c r="I15" s="31">
        <f t="shared" si="1"/>
        <v>5.0049999999999999E-3</v>
      </c>
      <c r="K15" s="6" t="s">
        <v>11</v>
      </c>
      <c r="L15" s="3">
        <f>SUM(B31,B45,B72,G33,G46,G56)</f>
        <v>1110.7544106269963</v>
      </c>
    </row>
    <row r="16" spans="1:12" x14ac:dyDescent="0.25">
      <c r="A16" s="11" t="s">
        <v>35</v>
      </c>
      <c r="B16" s="322" t="s">
        <v>58</v>
      </c>
      <c r="C16" s="322"/>
      <c r="D16" s="322"/>
      <c r="F16" s="6" t="s">
        <v>11</v>
      </c>
      <c r="G16" s="7">
        <v>2.5000000000000001E-3</v>
      </c>
      <c r="H16" s="7">
        <v>0.05</v>
      </c>
      <c r="I16" s="31">
        <f t="shared" si="1"/>
        <v>2.6250000000000002E-2</v>
      </c>
      <c r="K16" s="6" t="s">
        <v>46</v>
      </c>
      <c r="L16" s="3">
        <f>SUM(B23,B34,G34,B46,B57,G64,B73)</f>
        <v>7.1100268838515843</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52.740856907468881</v>
      </c>
    </row>
    <row r="18" spans="1:12" x14ac:dyDescent="0.25">
      <c r="A18" s="12" t="s">
        <v>47</v>
      </c>
      <c r="B18" s="9">
        <f>$C$5-SUM(B19:B23)</f>
        <v>104290.7213824611</v>
      </c>
      <c r="C18" s="13">
        <f>$C$5-SUM(C19:C23)</f>
        <v>72370.684206871781</v>
      </c>
      <c r="D18" s="20">
        <f>(B18+C18)/2</f>
        <v>88330.702794666431</v>
      </c>
      <c r="E18" s="19"/>
      <c r="F18" s="6" t="s">
        <v>48</v>
      </c>
      <c r="G18" s="7">
        <v>1.4999999999999999E-4</v>
      </c>
      <c r="H18" s="7">
        <v>2.0000000000000001E-4</v>
      </c>
      <c r="I18" s="31">
        <f t="shared" si="1"/>
        <v>1.75E-4</v>
      </c>
      <c r="K18" s="6" t="s">
        <v>50</v>
      </c>
      <c r="L18" s="3">
        <f>SUM(G62)</f>
        <v>8.3106804823890368</v>
      </c>
    </row>
    <row r="19" spans="1:12" x14ac:dyDescent="0.25">
      <c r="A19" s="6" t="s">
        <v>49</v>
      </c>
      <c r="B19" s="7">
        <f>$C$5*G8</f>
        <v>528.40744894036061</v>
      </c>
      <c r="C19" s="7">
        <f>$C$5*H8</f>
        <v>3170.4446936421637</v>
      </c>
      <c r="D19" s="20">
        <f t="shared" ref="D19:D73" si="2">(B19+C19)/2</f>
        <v>1849.4260712912621</v>
      </c>
      <c r="E19" s="19"/>
      <c r="F19" s="6" t="s">
        <v>50</v>
      </c>
      <c r="G19" s="7">
        <v>1E-4</v>
      </c>
      <c r="H19" s="7">
        <v>0.1</v>
      </c>
      <c r="I19" s="31">
        <f t="shared" si="1"/>
        <v>5.0050000000000004E-2</v>
      </c>
      <c r="K19" s="6" t="s">
        <v>14</v>
      </c>
      <c r="L19" s="3">
        <f>SUM(G42,G65)</f>
        <v>0.84904788582099544</v>
      </c>
    </row>
    <row r="20" spans="1:12" x14ac:dyDescent="0.25">
      <c r="A20" s="6" t="s">
        <v>10</v>
      </c>
      <c r="B20" s="7">
        <f>$C$5*G7</f>
        <v>739.77042851650492</v>
      </c>
      <c r="C20" s="7">
        <f>$C$5*H7</f>
        <v>26420.372447018031</v>
      </c>
      <c r="D20" s="20">
        <f t="shared" si="2"/>
        <v>13580.071437767268</v>
      </c>
      <c r="E20" s="19"/>
      <c r="F20" s="6" t="s">
        <v>14</v>
      </c>
      <c r="G20" s="7">
        <v>1.0000000000000001E-5</v>
      </c>
      <c r="H20" s="7">
        <v>0.5</v>
      </c>
      <c r="I20" s="31">
        <f t="shared" si="1"/>
        <v>0.25000499999999998</v>
      </c>
      <c r="K20" s="6" t="s">
        <v>15</v>
      </c>
      <c r="L20" s="3">
        <f>SUM(G66,G43)</f>
        <v>12735.71828731493</v>
      </c>
    </row>
    <row r="21" spans="1:12" x14ac:dyDescent="0.25">
      <c r="A21" s="6" t="s">
        <v>51</v>
      </c>
      <c r="B21" s="7">
        <f>$C$5*G12</f>
        <v>105.68148978807213</v>
      </c>
      <c r="C21" s="7">
        <f>$C$5*H12</f>
        <v>1056.8148978807212</v>
      </c>
      <c r="D21" s="20">
        <f t="shared" si="2"/>
        <v>581.24819383439672</v>
      </c>
      <c r="E21" s="19"/>
      <c r="F21" s="6" t="s">
        <v>15</v>
      </c>
      <c r="G21" s="7">
        <v>0.15</v>
      </c>
      <c r="H21" s="7">
        <v>0.3</v>
      </c>
      <c r="I21" s="31">
        <f t="shared" si="1"/>
        <v>0.22499999999999998</v>
      </c>
    </row>
    <row r="22" spans="1:12" x14ac:dyDescent="0.25">
      <c r="A22" s="6" t="s">
        <v>48</v>
      </c>
      <c r="B22" s="7">
        <f>$C$5*G18</f>
        <v>15.852223468210818</v>
      </c>
      <c r="C22" s="7">
        <f>$C$5*H18</f>
        <v>21.136297957614428</v>
      </c>
      <c r="D22" s="20">
        <f t="shared" si="2"/>
        <v>18.494260712912624</v>
      </c>
      <c r="E22" s="19"/>
    </row>
    <row r="23" spans="1:12" x14ac:dyDescent="0.25">
      <c r="A23" s="6" t="s">
        <v>46</v>
      </c>
      <c r="B23" s="7">
        <f>$C$5*G17</f>
        <v>1.0568148978807212</v>
      </c>
      <c r="C23" s="7">
        <f>$C$5*H17</f>
        <v>2642.0372447018035</v>
      </c>
      <c r="D23" s="20">
        <f t="shared" si="2"/>
        <v>1321.5470297998422</v>
      </c>
      <c r="E23" s="19"/>
    </row>
    <row r="24" spans="1:12" ht="18.75" x14ac:dyDescent="0.25">
      <c r="D24" s="19"/>
      <c r="E24" s="19"/>
      <c r="F24" s="323" t="s">
        <v>4</v>
      </c>
      <c r="G24" s="323"/>
      <c r="H24" s="323"/>
      <c r="I24" s="323"/>
    </row>
    <row r="25" spans="1:12" ht="18.75" x14ac:dyDescent="0.25">
      <c r="A25" s="323" t="s">
        <v>2</v>
      </c>
      <c r="B25" s="323"/>
      <c r="C25" s="323"/>
      <c r="D25" s="323"/>
      <c r="E25" s="19"/>
      <c r="F25" s="11" t="s">
        <v>35</v>
      </c>
      <c r="G25" s="322" t="s">
        <v>60</v>
      </c>
      <c r="H25" s="322"/>
      <c r="I25" s="322"/>
    </row>
    <row r="26" spans="1:12" x14ac:dyDescent="0.25">
      <c r="A26" s="11" t="s">
        <v>35</v>
      </c>
      <c r="B26" s="322" t="s">
        <v>59</v>
      </c>
      <c r="C26" s="322"/>
      <c r="D26" s="322"/>
      <c r="E26" s="19"/>
      <c r="F26" s="8"/>
      <c r="G26" s="9" t="s">
        <v>37</v>
      </c>
      <c r="H26" s="9" t="s">
        <v>38</v>
      </c>
      <c r="I26" s="7" t="s">
        <v>66</v>
      </c>
    </row>
    <row r="27" spans="1:12" x14ac:dyDescent="0.25">
      <c r="A27" s="8"/>
      <c r="B27" s="9" t="s">
        <v>37</v>
      </c>
      <c r="C27" s="9" t="s">
        <v>38</v>
      </c>
      <c r="D27" s="21" t="s">
        <v>66</v>
      </c>
      <c r="E27" s="19"/>
      <c r="F27" s="12" t="s">
        <v>47</v>
      </c>
      <c r="G27" s="9">
        <f>$C$8-SUM(G28:G34)</f>
        <v>167229.85204327761</v>
      </c>
      <c r="H27" s="9">
        <f>$C$8-SUM(H28:H34)</f>
        <v>95242.196311936583</v>
      </c>
      <c r="I27" s="7">
        <f>(G27+H27)/2</f>
        <v>131236.02417760709</v>
      </c>
    </row>
    <row r="28" spans="1:12" x14ac:dyDescent="0.25">
      <c r="A28" s="12" t="s">
        <v>47</v>
      </c>
      <c r="B28" s="9">
        <f>$C$6-SUM(B29:B34)</f>
        <v>122522.34461453292</v>
      </c>
      <c r="C28" s="13">
        <f>$C$5-SUM(C29:C34)</f>
        <v>25761.111735674669</v>
      </c>
      <c r="D28" s="20">
        <f t="shared" si="2"/>
        <v>74141.728175103795</v>
      </c>
      <c r="E28" s="19"/>
      <c r="F28" s="12" t="s">
        <v>40</v>
      </c>
      <c r="G28" s="7">
        <f>$C$8*G9</f>
        <v>858.03780461204121</v>
      </c>
      <c r="H28" s="7">
        <f>$C$8*H9</f>
        <v>5148.2268276722471</v>
      </c>
      <c r="I28" s="7">
        <f t="shared" ref="I28:I69" si="3">(G28+H28)/2</f>
        <v>3003.1323161421442</v>
      </c>
    </row>
    <row r="29" spans="1:12" x14ac:dyDescent="0.25">
      <c r="A29" s="6" t="s">
        <v>40</v>
      </c>
      <c r="B29" s="7">
        <f>$C$6*G9</f>
        <v>629.29431537320841</v>
      </c>
      <c r="C29" s="7">
        <f>$C$6*H9</f>
        <v>3775.7658922392502</v>
      </c>
      <c r="D29" s="20">
        <f t="shared" si="2"/>
        <v>2202.5301038062294</v>
      </c>
      <c r="E29" s="19"/>
      <c r="F29" s="6" t="s">
        <v>52</v>
      </c>
      <c r="G29" s="7">
        <f>$C$8*G10</f>
        <v>171.60756092240825</v>
      </c>
      <c r="H29" s="7">
        <f>$C$8*H10</f>
        <v>5148.2268276722471</v>
      </c>
      <c r="I29" s="7">
        <f t="shared" si="3"/>
        <v>2659.9171942973276</v>
      </c>
    </row>
    <row r="30" spans="1:12" x14ac:dyDescent="0.25">
      <c r="A30" s="6" t="s">
        <v>49</v>
      </c>
      <c r="B30" s="7">
        <f>$C$6*G8</f>
        <v>629.29431537320841</v>
      </c>
      <c r="C30" s="7">
        <f>$C$6*H8</f>
        <v>3775.7658922392502</v>
      </c>
      <c r="D30" s="20">
        <f t="shared" si="2"/>
        <v>2202.5301038062294</v>
      </c>
      <c r="E30" s="19"/>
      <c r="F30" s="6" t="s">
        <v>49</v>
      </c>
      <c r="G30" s="7">
        <f>$C$8*G8</f>
        <v>858.03780461204121</v>
      </c>
      <c r="H30" s="7">
        <f>$C$8*H8</f>
        <v>5148.2268276722471</v>
      </c>
      <c r="I30" s="7">
        <f t="shared" si="3"/>
        <v>3003.1323161421442</v>
      </c>
    </row>
    <row r="31" spans="1:12" x14ac:dyDescent="0.25">
      <c r="A31" s="6" t="s">
        <v>11</v>
      </c>
      <c r="B31" s="7">
        <f>$C$6*G16</f>
        <v>314.6471576866042</v>
      </c>
      <c r="C31" s="7">
        <f>$C$6*H16</f>
        <v>6292.9431537320843</v>
      </c>
      <c r="D31" s="20">
        <f t="shared" si="2"/>
        <v>3303.7951557093443</v>
      </c>
      <c r="E31" s="19"/>
      <c r="F31" s="6" t="s">
        <v>10</v>
      </c>
      <c r="G31" s="7">
        <f>$C$8*G7</f>
        <v>1201.2529264568577</v>
      </c>
      <c r="H31" s="7">
        <f>$C$8*H7</f>
        <v>42901.890230602061</v>
      </c>
      <c r="I31" s="7">
        <f t="shared" si="3"/>
        <v>22051.57157852946</v>
      </c>
    </row>
    <row r="32" spans="1:12" x14ac:dyDescent="0.25">
      <c r="A32" s="6" t="s">
        <v>10</v>
      </c>
      <c r="B32" s="7">
        <f>$C$6*G7</f>
        <v>881.0120415224917</v>
      </c>
      <c r="C32" s="7">
        <f>$C$6*H7</f>
        <v>31464.715768660419</v>
      </c>
      <c r="D32" s="20">
        <f t="shared" si="2"/>
        <v>16172.863905091455</v>
      </c>
      <c r="E32" s="19"/>
      <c r="F32" s="6" t="s">
        <v>53</v>
      </c>
      <c r="G32" s="7">
        <f>$C$8*G8</f>
        <v>858.03780461204121</v>
      </c>
      <c r="H32" s="7">
        <f>$C$8*H8</f>
        <v>5148.2268276722471</v>
      </c>
      <c r="I32" s="7">
        <f t="shared" si="3"/>
        <v>3003.1323161421442</v>
      </c>
    </row>
    <row r="33" spans="1:9" x14ac:dyDescent="0.25">
      <c r="A33" s="6" t="s">
        <v>53</v>
      </c>
      <c r="B33" s="7">
        <f>$C$6*G7</f>
        <v>881.0120415224917</v>
      </c>
      <c r="C33" s="7">
        <f>$C$6*H7</f>
        <v>31464.715768660419</v>
      </c>
      <c r="D33" s="20">
        <f t="shared" si="2"/>
        <v>16172.863905091455</v>
      </c>
      <c r="E33" s="19"/>
      <c r="F33" s="6" t="s">
        <v>11</v>
      </c>
      <c r="G33" s="7">
        <f>$C$8*G16</f>
        <v>429.01890230602061</v>
      </c>
      <c r="H33" s="7">
        <f>$C$8*H16</f>
        <v>8580.3780461204133</v>
      </c>
      <c r="I33" s="7">
        <f t="shared" si="3"/>
        <v>4504.6984742132172</v>
      </c>
    </row>
    <row r="34" spans="1:9" x14ac:dyDescent="0.25">
      <c r="A34" s="6" t="s">
        <v>46</v>
      </c>
      <c r="B34" s="7">
        <f>$C$6*G17</f>
        <v>1.2585886307464169</v>
      </c>
      <c r="C34" s="7">
        <f>$C$6*H17</f>
        <v>3146.4715768660421</v>
      </c>
      <c r="D34" s="20">
        <f t="shared" si="2"/>
        <v>1573.8650827483943</v>
      </c>
      <c r="E34" s="19"/>
      <c r="F34" s="6" t="s">
        <v>46</v>
      </c>
      <c r="G34" s="7">
        <f>$C$8*G17</f>
        <v>1.7160756092240825</v>
      </c>
      <c r="H34" s="7">
        <f>$C$8*H17</f>
        <v>4290.1890230602066</v>
      </c>
      <c r="I34" s="7">
        <f t="shared" si="3"/>
        <v>2145.9525493347155</v>
      </c>
    </row>
    <row r="35" spans="1:9" x14ac:dyDescent="0.25">
      <c r="D35" s="19"/>
      <c r="E35" s="19"/>
    </row>
    <row r="36" spans="1:9" ht="18.75" x14ac:dyDescent="0.25">
      <c r="A36" s="323" t="s">
        <v>3</v>
      </c>
      <c r="B36" s="323"/>
      <c r="C36" s="323"/>
      <c r="D36" s="323"/>
      <c r="E36" s="19"/>
      <c r="F36" s="323" t="s">
        <v>5</v>
      </c>
      <c r="G36" s="323"/>
      <c r="H36" s="323"/>
      <c r="I36" s="323"/>
    </row>
    <row r="37" spans="1:9" x14ac:dyDescent="0.25">
      <c r="A37" s="11" t="s">
        <v>35</v>
      </c>
      <c r="B37" s="322" t="s">
        <v>59</v>
      </c>
      <c r="C37" s="322"/>
      <c r="D37" s="322"/>
      <c r="E37" s="19"/>
      <c r="F37" s="11" t="s">
        <v>35</v>
      </c>
      <c r="G37" s="322" t="s">
        <v>61</v>
      </c>
      <c r="H37" s="322"/>
      <c r="I37" s="322"/>
    </row>
    <row r="38" spans="1:9" x14ac:dyDescent="0.25">
      <c r="A38" s="8"/>
      <c r="B38" s="9" t="s">
        <v>37</v>
      </c>
      <c r="C38" s="9" t="s">
        <v>38</v>
      </c>
      <c r="D38" s="21" t="s">
        <v>66</v>
      </c>
      <c r="E38" s="19"/>
      <c r="F38" s="8"/>
      <c r="G38" s="9" t="s">
        <v>37</v>
      </c>
      <c r="H38" s="9" t="s">
        <v>38</v>
      </c>
      <c r="I38" s="7" t="s">
        <v>66</v>
      </c>
    </row>
    <row r="39" spans="1:9" x14ac:dyDescent="0.25">
      <c r="A39" s="12" t="s">
        <v>47</v>
      </c>
      <c r="B39" s="21">
        <f>$C$7-SUM(B40:B46)</f>
        <v>14859.568621861927</v>
      </c>
      <c r="C39" s="9">
        <f>$C$7-SUM(C40:C46)</f>
        <v>1762.0240830449839</v>
      </c>
      <c r="D39" s="20">
        <f t="shared" si="2"/>
        <v>8310.7963524534553</v>
      </c>
      <c r="E39" s="19"/>
      <c r="F39" s="12" t="s">
        <v>47</v>
      </c>
      <c r="G39" s="21">
        <f>$C$9-SUM(G40:G46)</f>
        <v>1325.9770620040963</v>
      </c>
      <c r="H39" s="14">
        <f>$C$9-SUM(H40:H46)</f>
        <v>-1114.7499300896825</v>
      </c>
      <c r="I39" s="7">
        <f t="shared" si="3"/>
        <v>105.6135659572069</v>
      </c>
    </row>
    <row r="40" spans="1:9" x14ac:dyDescent="0.25">
      <c r="A40" s="12" t="s">
        <v>9</v>
      </c>
      <c r="B40" s="7">
        <f>$C$7*G6</f>
        <v>1678.1181743285558</v>
      </c>
      <c r="C40" s="7">
        <f>$C$7*H6</f>
        <v>11746.827220299889</v>
      </c>
      <c r="D40" s="20">
        <f t="shared" si="2"/>
        <v>6712.4726973142224</v>
      </c>
      <c r="E40" s="19"/>
      <c r="F40" s="12" t="s">
        <v>9</v>
      </c>
      <c r="G40" s="7">
        <f>$C$9*G6</f>
        <v>179.7983758209167</v>
      </c>
      <c r="H40" s="7">
        <f>$C$9*H6</f>
        <v>1258.5886307464166</v>
      </c>
      <c r="I40" s="7">
        <f t="shared" si="3"/>
        <v>719.19350328366659</v>
      </c>
    </row>
    <row r="41" spans="1:9" x14ac:dyDescent="0.25">
      <c r="A41" s="6" t="s">
        <v>40</v>
      </c>
      <c r="B41" s="7">
        <f>$C$7*G9</f>
        <v>83.905908716427788</v>
      </c>
      <c r="C41" s="7">
        <f>$C$7*H9</f>
        <v>503.4354522985667</v>
      </c>
      <c r="D41" s="20">
        <f t="shared" si="2"/>
        <v>293.67068050749725</v>
      </c>
      <c r="E41" s="19"/>
      <c r="F41" s="6" t="s">
        <v>53</v>
      </c>
      <c r="G41" s="7">
        <f>$C$9*G8</f>
        <v>8.9899187910458345</v>
      </c>
      <c r="H41" s="7">
        <f>$C$9*H8</f>
        <v>53.939512746275</v>
      </c>
      <c r="I41" s="7">
        <f t="shared" si="3"/>
        <v>31.464715768660419</v>
      </c>
    </row>
    <row r="42" spans="1:9" x14ac:dyDescent="0.25">
      <c r="A42" s="6" t="s">
        <v>52</v>
      </c>
      <c r="B42" s="7">
        <f>$C$7*G10</f>
        <v>16.781181743285558</v>
      </c>
      <c r="C42" s="7">
        <f>$C$7*H10</f>
        <v>503.4354522985667</v>
      </c>
      <c r="D42" s="20">
        <f t="shared" si="2"/>
        <v>260.10831702092611</v>
      </c>
      <c r="E42" s="19"/>
      <c r="F42" s="6" t="s">
        <v>14</v>
      </c>
      <c r="G42" s="7">
        <f>$C$9*G20</f>
        <v>1.7979837582091669E-2</v>
      </c>
      <c r="H42" s="7">
        <f>$C$9*H20</f>
        <v>898.9918791045834</v>
      </c>
      <c r="I42" s="7">
        <f t="shared" si="3"/>
        <v>449.50492947108273</v>
      </c>
    </row>
    <row r="43" spans="1:9" x14ac:dyDescent="0.25">
      <c r="A43" s="6" t="s">
        <v>53</v>
      </c>
      <c r="B43" s="7">
        <f>$C$7*G8</f>
        <v>83.905908716427788</v>
      </c>
      <c r="C43" s="7">
        <f>$C$7*H8</f>
        <v>503.4354522985667</v>
      </c>
      <c r="D43" s="20">
        <f t="shared" si="2"/>
        <v>293.67068050749725</v>
      </c>
      <c r="E43" s="19"/>
      <c r="F43" s="6" t="s">
        <v>54</v>
      </c>
      <c r="G43" s="7">
        <f>$C$9*G21</f>
        <v>269.697563731375</v>
      </c>
      <c r="H43" s="7">
        <f>$C$9*H21</f>
        <v>539.39512746275</v>
      </c>
      <c r="I43" s="7">
        <f t="shared" si="3"/>
        <v>404.5463455970625</v>
      </c>
    </row>
    <row r="44" spans="1:9" x14ac:dyDescent="0.25">
      <c r="A44" s="6" t="s">
        <v>41</v>
      </c>
      <c r="B44" s="7">
        <f>$C$7*G11</f>
        <v>16.781181743285558</v>
      </c>
      <c r="C44" s="7">
        <f>$C$7*H11</f>
        <v>503.4354522985667</v>
      </c>
      <c r="D44" s="20">
        <f t="shared" si="2"/>
        <v>260.10831702092611</v>
      </c>
      <c r="E44" s="19"/>
      <c r="F44" s="6" t="s">
        <v>13</v>
      </c>
      <c r="G44" s="7">
        <f>$C$9*G15</f>
        <v>1.7979837582091669E-2</v>
      </c>
      <c r="H44" s="7">
        <f>$C$9*H15</f>
        <v>17.979837582091669</v>
      </c>
      <c r="I44" s="7">
        <f t="shared" si="3"/>
        <v>8.998908709836881</v>
      </c>
    </row>
    <row r="45" spans="1:9" x14ac:dyDescent="0.25">
      <c r="A45" s="6" t="s">
        <v>11</v>
      </c>
      <c r="B45" s="7">
        <f>$C$7*G16</f>
        <v>41.952954358213894</v>
      </c>
      <c r="C45" s="7">
        <f>$C$7*H16</f>
        <v>839.05908716427791</v>
      </c>
      <c r="D45" s="20">
        <f t="shared" si="2"/>
        <v>440.50602076124591</v>
      </c>
      <c r="E45" s="19"/>
      <c r="F45" s="6" t="s">
        <v>40</v>
      </c>
      <c r="G45" s="7">
        <f>$C$9*G9</f>
        <v>8.9899187910458345</v>
      </c>
      <c r="H45" s="7">
        <f>$C$9*H9</f>
        <v>53.939512746275</v>
      </c>
      <c r="I45" s="7">
        <f t="shared" si="3"/>
        <v>31.464715768660419</v>
      </c>
    </row>
    <row r="46" spans="1:9" x14ac:dyDescent="0.25">
      <c r="A46" s="6" t="s">
        <v>46</v>
      </c>
      <c r="B46" s="7">
        <f>$C$7*G17</f>
        <v>0.16781181743285559</v>
      </c>
      <c r="C46" s="7">
        <f>$C$7*H17</f>
        <v>419.52954358213896</v>
      </c>
      <c r="D46" s="20">
        <f t="shared" si="2"/>
        <v>209.8486776997859</v>
      </c>
      <c r="E46" s="19"/>
      <c r="F46" s="6" t="s">
        <v>11</v>
      </c>
      <c r="G46" s="7">
        <f>$C$9*G16</f>
        <v>4.4949593955229172</v>
      </c>
      <c r="H46" s="7">
        <f>$C$9*H16</f>
        <v>89.899187910458352</v>
      </c>
      <c r="I46" s="7">
        <f t="shared" si="3"/>
        <v>47.197073652990632</v>
      </c>
    </row>
    <row r="47" spans="1:9" x14ac:dyDescent="0.25">
      <c r="D47" s="19"/>
      <c r="E47" s="19"/>
    </row>
    <row r="48" spans="1:9" ht="18.75" x14ac:dyDescent="0.25">
      <c r="A48" s="323" t="s">
        <v>6</v>
      </c>
      <c r="B48" s="323"/>
      <c r="C48" s="323"/>
      <c r="D48" s="323"/>
      <c r="E48" s="19"/>
      <c r="F48" s="4" t="s">
        <v>69</v>
      </c>
    </row>
    <row r="49" spans="1:9" ht="18.75" x14ac:dyDescent="0.25">
      <c r="A49" s="11" t="s">
        <v>35</v>
      </c>
      <c r="B49" s="322" t="s">
        <v>62</v>
      </c>
      <c r="C49" s="322"/>
      <c r="D49" s="322"/>
      <c r="E49" s="19"/>
      <c r="F49" s="323" t="s">
        <v>34</v>
      </c>
      <c r="G49" s="323"/>
      <c r="H49" s="323"/>
      <c r="I49" s="323"/>
    </row>
    <row r="50" spans="1:9" x14ac:dyDescent="0.25">
      <c r="A50" s="8"/>
      <c r="B50" s="9" t="s">
        <v>37</v>
      </c>
      <c r="C50" s="9" t="s">
        <v>38</v>
      </c>
      <c r="D50" s="21" t="s">
        <v>66</v>
      </c>
      <c r="E50" s="19"/>
      <c r="F50" s="11" t="s">
        <v>35</v>
      </c>
      <c r="G50" s="322" t="s">
        <v>64</v>
      </c>
      <c r="H50" s="322"/>
      <c r="I50" s="322"/>
    </row>
    <row r="51" spans="1:9" x14ac:dyDescent="0.25">
      <c r="A51" s="12" t="s">
        <v>47</v>
      </c>
      <c r="B51" s="9">
        <f>$C$10-SUM(B52:B57)</f>
        <v>159860.65379171909</v>
      </c>
      <c r="C51" s="9">
        <f>$C$10-SUM(C52:C57)</f>
        <v>103356.49701273454</v>
      </c>
      <c r="D51" s="20">
        <f t="shared" si="2"/>
        <v>131608.57540222682</v>
      </c>
      <c r="E51" s="19"/>
      <c r="F51" s="8"/>
      <c r="G51" s="9" t="s">
        <v>37</v>
      </c>
      <c r="H51" s="9" t="s">
        <v>38</v>
      </c>
      <c r="I51" s="7" t="s">
        <v>66</v>
      </c>
    </row>
    <row r="52" spans="1:9" x14ac:dyDescent="0.25">
      <c r="A52" s="6" t="s">
        <v>40</v>
      </c>
      <c r="B52" s="7">
        <f>$C$10*G9</f>
        <v>814.08709052248378</v>
      </c>
      <c r="C52" s="7">
        <f>$C$10*H9</f>
        <v>4884.5225431349027</v>
      </c>
      <c r="D52" s="20">
        <f t="shared" si="2"/>
        <v>2849.3048168286932</v>
      </c>
      <c r="E52" s="19"/>
      <c r="F52" s="12" t="s">
        <v>47</v>
      </c>
      <c r="G52" s="21">
        <f>$C$12-SUM(G53:G69)</f>
        <v>59522.755750966753</v>
      </c>
      <c r="H52" s="14">
        <f>$C$12-SUM(H53:H69)</f>
        <v>-109717.60372850006</v>
      </c>
      <c r="I52" s="7">
        <f t="shared" si="3"/>
        <v>-25097.423988766655</v>
      </c>
    </row>
    <row r="53" spans="1:9" x14ac:dyDescent="0.25">
      <c r="A53" s="6" t="s">
        <v>52</v>
      </c>
      <c r="B53" s="7">
        <f>$C$10*G10</f>
        <v>162.81741810449677</v>
      </c>
      <c r="C53" s="7">
        <f>$C$10*H10</f>
        <v>4884.5225431349027</v>
      </c>
      <c r="D53" s="20">
        <f t="shared" si="2"/>
        <v>2523.6699806196998</v>
      </c>
      <c r="E53" s="19"/>
      <c r="F53" s="12" t="s">
        <v>9</v>
      </c>
      <c r="G53" s="7">
        <f>$C$12*G6</f>
        <v>8310.6804823890379</v>
      </c>
      <c r="H53" s="7">
        <f>$C$12*H6</f>
        <v>58174.763376723255</v>
      </c>
      <c r="I53" s="7">
        <f t="shared" si="3"/>
        <v>33242.721929556144</v>
      </c>
    </row>
    <row r="54" spans="1:9" x14ac:dyDescent="0.25">
      <c r="A54" s="6" t="s">
        <v>49</v>
      </c>
      <c r="B54" s="7">
        <f>$C$10*G8</f>
        <v>814.08709052248378</v>
      </c>
      <c r="C54" s="7">
        <f>$C$10*H8</f>
        <v>4884.5225431349027</v>
      </c>
      <c r="D54" s="20">
        <f t="shared" si="2"/>
        <v>2849.3048168286932</v>
      </c>
      <c r="E54" s="19"/>
      <c r="F54" s="12" t="s">
        <v>40</v>
      </c>
      <c r="G54" s="7">
        <f>$C$12*G9</f>
        <v>415.53402411945189</v>
      </c>
      <c r="H54" s="7">
        <f>$C$12*H9</f>
        <v>2493.2041447167112</v>
      </c>
      <c r="I54" s="7">
        <f t="shared" si="3"/>
        <v>1454.3690844180815</v>
      </c>
    </row>
    <row r="55" spans="1:9" x14ac:dyDescent="0.25">
      <c r="A55" s="6" t="s">
        <v>10</v>
      </c>
      <c r="B55" s="7">
        <f>$C$10*G7</f>
        <v>1139.7219267314774</v>
      </c>
      <c r="C55" s="7">
        <f>$C$10*H7</f>
        <v>40704.354526124189</v>
      </c>
      <c r="D55" s="20">
        <f t="shared" si="2"/>
        <v>20922.038226427834</v>
      </c>
      <c r="E55" s="19"/>
      <c r="F55" s="12" t="s">
        <v>49</v>
      </c>
      <c r="G55" s="7">
        <f>$C$12*G8</f>
        <v>415.53402411945189</v>
      </c>
      <c r="H55" s="7">
        <f>$C$12*H8</f>
        <v>2493.2041447167112</v>
      </c>
      <c r="I55" s="7">
        <f t="shared" si="3"/>
        <v>1454.3690844180815</v>
      </c>
    </row>
    <row r="56" spans="1:9" x14ac:dyDescent="0.25">
      <c r="A56" s="6" t="s">
        <v>48</v>
      </c>
      <c r="B56" s="7">
        <f>$C$10*G18</f>
        <v>24.422612715674511</v>
      </c>
      <c r="C56" s="7">
        <f>$C$10*H18</f>
        <v>32.563483620899355</v>
      </c>
      <c r="D56" s="20">
        <f t="shared" si="2"/>
        <v>28.493048168286933</v>
      </c>
      <c r="E56" s="19"/>
      <c r="F56" s="12" t="s">
        <v>11</v>
      </c>
      <c r="G56" s="7">
        <f>$C$12*G16</f>
        <v>207.76701205972594</v>
      </c>
      <c r="H56" s="7">
        <f>$C$12*H16</f>
        <v>4155.340241194519</v>
      </c>
      <c r="I56" s="7">
        <f t="shared" si="3"/>
        <v>2181.5536266271224</v>
      </c>
    </row>
    <row r="57" spans="1:9" x14ac:dyDescent="0.25">
      <c r="A57" s="6" t="s">
        <v>46</v>
      </c>
      <c r="B57" s="7">
        <f>$C$10*G17</f>
        <v>1.6281741810449677</v>
      </c>
      <c r="C57" s="7">
        <f>$C$10*H17</f>
        <v>4070.4354526124189</v>
      </c>
      <c r="D57" s="20">
        <f t="shared" si="2"/>
        <v>2036.0318133967319</v>
      </c>
      <c r="E57" s="19"/>
      <c r="F57" s="6" t="s">
        <v>10</v>
      </c>
      <c r="G57" s="7">
        <f>$C$12*G7</f>
        <v>581.74763376723263</v>
      </c>
      <c r="H57" s="7">
        <f>$C$12*H7</f>
        <v>20776.701205972593</v>
      </c>
      <c r="I57" s="7">
        <f t="shared" si="3"/>
        <v>10679.224419869914</v>
      </c>
    </row>
    <row r="58" spans="1:9" x14ac:dyDescent="0.25">
      <c r="A58" s="35"/>
      <c r="B58" s="23"/>
      <c r="C58" s="23"/>
      <c r="D58" s="36"/>
      <c r="E58" s="19"/>
      <c r="F58" s="6" t="s">
        <v>98</v>
      </c>
      <c r="G58" s="7">
        <f t="shared" ref="G58:H60" si="4">$C$12*G13</f>
        <v>83.106804823890371</v>
      </c>
      <c r="H58" s="7">
        <f t="shared" si="4"/>
        <v>1662.1360964778075</v>
      </c>
      <c r="I58" s="7">
        <f t="shared" si="3"/>
        <v>872.62145065084894</v>
      </c>
    </row>
    <row r="59" spans="1:9" x14ac:dyDescent="0.25">
      <c r="A59" s="35"/>
      <c r="B59" s="23"/>
      <c r="C59" s="23"/>
      <c r="D59" s="36"/>
      <c r="E59" s="19"/>
      <c r="F59" s="6" t="s">
        <v>99</v>
      </c>
      <c r="G59" s="7">
        <f t="shared" si="4"/>
        <v>415.53402411945189</v>
      </c>
      <c r="H59" s="7">
        <f t="shared" si="4"/>
        <v>17036.894988897526</v>
      </c>
      <c r="I59" s="7">
        <f t="shared" si="3"/>
        <v>8726.2145065084896</v>
      </c>
    </row>
    <row r="60" spans="1:9" x14ac:dyDescent="0.25">
      <c r="A60" s="35"/>
      <c r="B60" s="23"/>
      <c r="C60" s="23"/>
      <c r="D60" s="36"/>
      <c r="E60" s="19"/>
      <c r="F60" s="6" t="s">
        <v>13</v>
      </c>
      <c r="G60" s="7">
        <f t="shared" si="4"/>
        <v>0.83106804823890379</v>
      </c>
      <c r="H60" s="7">
        <f t="shared" si="4"/>
        <v>831.06804823890377</v>
      </c>
      <c r="I60" s="7">
        <f t="shared" si="3"/>
        <v>415.94955814357132</v>
      </c>
    </row>
    <row r="61" spans="1:9" x14ac:dyDescent="0.25">
      <c r="A61" s="35"/>
      <c r="B61" s="23"/>
      <c r="C61" s="23"/>
      <c r="D61" s="36"/>
      <c r="E61" s="19"/>
      <c r="F61" s="6" t="s">
        <v>48</v>
      </c>
      <c r="G61" s="7">
        <f>$C$12*G18</f>
        <v>12.466020723583554</v>
      </c>
      <c r="H61" s="7">
        <f>$C$12*H18</f>
        <v>16.621360964778074</v>
      </c>
      <c r="I61" s="7">
        <f t="shared" si="3"/>
        <v>14.543690844180814</v>
      </c>
    </row>
    <row r="62" spans="1:9" x14ac:dyDescent="0.25">
      <c r="A62" s="35"/>
      <c r="B62" s="23"/>
      <c r="C62" s="23"/>
      <c r="D62" s="36"/>
      <c r="E62" s="19"/>
      <c r="F62" s="6" t="s">
        <v>100</v>
      </c>
      <c r="G62" s="7">
        <f>$C$12*G19</f>
        <v>8.3106804823890368</v>
      </c>
      <c r="H62" s="7">
        <f>$C$12*H19</f>
        <v>8310.6804823890379</v>
      </c>
      <c r="I62" s="7">
        <f t="shared" si="3"/>
        <v>4159.4955814357136</v>
      </c>
    </row>
    <row r="63" spans="1:9" x14ac:dyDescent="0.25">
      <c r="D63" s="19"/>
      <c r="E63" s="19"/>
      <c r="F63" s="6" t="s">
        <v>53</v>
      </c>
      <c r="G63" s="7">
        <f>$C$12*G8</f>
        <v>415.53402411945189</v>
      </c>
      <c r="H63" s="7">
        <f>$C$12*H8</f>
        <v>2493.2041447167112</v>
      </c>
      <c r="I63" s="7">
        <f t="shared" si="3"/>
        <v>1454.3690844180815</v>
      </c>
    </row>
    <row r="64" spans="1:9" ht="18.75" x14ac:dyDescent="0.25">
      <c r="A64" s="323" t="s">
        <v>7</v>
      </c>
      <c r="B64" s="323"/>
      <c r="C64" s="323"/>
      <c r="D64" s="323"/>
      <c r="E64" s="19"/>
      <c r="F64" s="6" t="s">
        <v>46</v>
      </c>
      <c r="G64" s="7">
        <f>$C$12*G17</f>
        <v>0.83106804823890379</v>
      </c>
      <c r="H64" s="7">
        <f>$C$12*H17</f>
        <v>2077.6701205972595</v>
      </c>
      <c r="I64" s="7">
        <f t="shared" si="3"/>
        <v>1039.2505943227493</v>
      </c>
    </row>
    <row r="65" spans="1:9" x14ac:dyDescent="0.25">
      <c r="A65" s="11" t="s">
        <v>35</v>
      </c>
      <c r="B65" s="322" t="s">
        <v>63</v>
      </c>
      <c r="C65" s="322"/>
      <c r="D65" s="322"/>
      <c r="E65" s="19"/>
      <c r="F65" s="6" t="s">
        <v>14</v>
      </c>
      <c r="G65" s="7">
        <f>$C$12*G20</f>
        <v>0.83106804823890379</v>
      </c>
      <c r="H65" s="7">
        <f>$C$12*H20</f>
        <v>41553.402411945186</v>
      </c>
      <c r="I65" s="7">
        <f t="shared" si="3"/>
        <v>20777.116739996713</v>
      </c>
    </row>
    <row r="66" spans="1:9" x14ac:dyDescent="0.25">
      <c r="A66" s="8"/>
      <c r="B66" s="9" t="s">
        <v>37</v>
      </c>
      <c r="C66" s="9" t="s">
        <v>38</v>
      </c>
      <c r="D66" s="21" t="s">
        <v>66</v>
      </c>
      <c r="E66" s="19"/>
      <c r="F66" s="6" t="s">
        <v>56</v>
      </c>
      <c r="G66" s="7">
        <f>$C$12*G21</f>
        <v>12466.020723583555</v>
      </c>
      <c r="H66" s="7">
        <f>$C$12*H21</f>
        <v>24932.04144716711</v>
      </c>
      <c r="I66" s="7">
        <f t="shared" si="3"/>
        <v>18699.031085375333</v>
      </c>
    </row>
    <row r="67" spans="1:9" x14ac:dyDescent="0.25">
      <c r="A67" s="12" t="s">
        <v>47</v>
      </c>
      <c r="B67" s="9">
        <f>$C$11-SUM(B68:B73)</f>
        <v>44494.252570702956</v>
      </c>
      <c r="C67" s="9">
        <f>$C$11-SUM(C68:C73)</f>
        <v>37248.2301908999</v>
      </c>
      <c r="D67" s="20">
        <f t="shared" si="2"/>
        <v>40871.241380801424</v>
      </c>
      <c r="E67" s="19"/>
      <c r="F67" s="6" t="s">
        <v>41</v>
      </c>
      <c r="G67" s="7">
        <f>$C$12*G11</f>
        <v>83.106804823890371</v>
      </c>
      <c r="H67" s="7">
        <f>$C$12*H11</f>
        <v>2493.2041447167112</v>
      </c>
      <c r="I67" s="7">
        <f t="shared" si="3"/>
        <v>1288.1554747703008</v>
      </c>
    </row>
    <row r="68" spans="1:9" x14ac:dyDescent="0.25">
      <c r="A68" s="6" t="s">
        <v>40</v>
      </c>
      <c r="B68" s="7">
        <f>$C$11*G9</f>
        <v>225.74684964181756</v>
      </c>
      <c r="C68" s="7">
        <f>$C$11*H9</f>
        <v>1354.4810978509054</v>
      </c>
      <c r="D68" s="20">
        <f t="shared" si="2"/>
        <v>790.11397374636147</v>
      </c>
      <c r="E68" s="19"/>
      <c r="F68" s="6" t="s">
        <v>52</v>
      </c>
      <c r="G68" s="7">
        <f>$C$12*G10</f>
        <v>83.106804823890371</v>
      </c>
      <c r="H68" s="7">
        <f>$C$12*H10</f>
        <v>2493.2041447167112</v>
      </c>
      <c r="I68" s="7">
        <f t="shared" si="3"/>
        <v>1288.1554747703008</v>
      </c>
    </row>
    <row r="69" spans="1:9" x14ac:dyDescent="0.25">
      <c r="A69" s="6" t="s">
        <v>52</v>
      </c>
      <c r="B69" s="7">
        <f>$C$11*G10</f>
        <v>45.149369928363512</v>
      </c>
      <c r="C69" s="7">
        <f>$C$11*H10</f>
        <v>1354.4810978509054</v>
      </c>
      <c r="D69" s="20">
        <f t="shared" si="2"/>
        <v>699.81523388963444</v>
      </c>
      <c r="E69" s="19"/>
      <c r="F69" s="6" t="s">
        <v>51</v>
      </c>
      <c r="G69" s="7">
        <f>$C$12*G12</f>
        <v>83.106804823890371</v>
      </c>
      <c r="H69" s="7">
        <f>$C$12*H12</f>
        <v>831.06804823890377</v>
      </c>
      <c r="I69" s="7">
        <f t="shared" si="3"/>
        <v>457.08742653139706</v>
      </c>
    </row>
    <row r="70" spans="1:9" x14ac:dyDescent="0.25">
      <c r="A70" s="6" t="s">
        <v>49</v>
      </c>
      <c r="B70" s="7">
        <f>$C$11*G8</f>
        <v>225.74684964181756</v>
      </c>
      <c r="C70" s="7">
        <f>$C$11*H8</f>
        <v>1354.4810978509054</v>
      </c>
      <c r="D70" s="20">
        <f t="shared" si="2"/>
        <v>790.11397374636147</v>
      </c>
      <c r="E70" s="19"/>
      <c r="F70" s="4" t="s">
        <v>68</v>
      </c>
    </row>
    <row r="71" spans="1:9" x14ac:dyDescent="0.25">
      <c r="A71" s="6" t="s">
        <v>51</v>
      </c>
      <c r="B71" s="7">
        <f>$C$11*G12</f>
        <v>45.149369928363512</v>
      </c>
      <c r="C71" s="7">
        <f>$C$11*H12</f>
        <v>451.49369928363512</v>
      </c>
      <c r="D71" s="20">
        <f t="shared" si="2"/>
        <v>248.32153460599932</v>
      </c>
      <c r="E71" s="19"/>
    </row>
    <row r="72" spans="1:9" x14ac:dyDescent="0.25">
      <c r="A72" s="6" t="s">
        <v>11</v>
      </c>
      <c r="B72" s="7">
        <f>$C$11*G16</f>
        <v>112.87342482090878</v>
      </c>
      <c r="C72" s="7">
        <f>$C$11*H16</f>
        <v>2257.4684964181756</v>
      </c>
      <c r="D72" s="20">
        <f t="shared" si="2"/>
        <v>1185.1709606195423</v>
      </c>
      <c r="E72" s="19"/>
    </row>
    <row r="73" spans="1:9" x14ac:dyDescent="0.25">
      <c r="A73" s="6" t="s">
        <v>46</v>
      </c>
      <c r="B73" s="7">
        <f>$C$11*G17</f>
        <v>0.4514936992836352</v>
      </c>
      <c r="C73" s="7">
        <f>$C$11*H17</f>
        <v>1128.7342482090878</v>
      </c>
      <c r="D73" s="20">
        <f t="shared" si="2"/>
        <v>564.59287095418574</v>
      </c>
      <c r="E73" s="19"/>
    </row>
    <row r="74" spans="1:9" x14ac:dyDescent="0.25">
      <c r="G74" s="19">
        <f>SUM(G52:G69,B67:B73,B51:B57,G39:G46,B39:B46,B28:B34,G27:G34,B18:B23)</f>
        <v>712800.67214336758</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Note</vt:lpstr>
      <vt:lpstr>US Mat Flow Analysis 2018</vt:lpstr>
      <vt:lpstr>Assumptions</vt:lpstr>
      <vt:lpstr>US 2018 Facts - Sensitivity</vt:lpstr>
      <vt:lpstr>CO2-Energy FootPrint - REMADE</vt:lpstr>
      <vt:lpstr>Data - REMADE</vt:lpstr>
      <vt:lpstr>Stream 3 - Emissions</vt:lpstr>
      <vt:lpstr>Stream 6 - PWaste Generated</vt:lpstr>
      <vt:lpstr>Stream 9 - Litter</vt:lpstr>
      <vt:lpstr>Stream 13-PlasticCompost</vt:lpstr>
      <vt:lpstr>Stream 16 - MechRecyc</vt:lpstr>
      <vt:lpstr>Stream 19 - Contamination</vt:lpstr>
      <vt:lpstr>Stream 20 - Domestic Recyc</vt:lpstr>
      <vt:lpstr>Stream 21 - Import</vt:lpstr>
      <vt:lpstr>Stream 22 - Re-Export</vt:lpstr>
      <vt:lpstr>Stream 23 - MechRec-ChemRec</vt:lpstr>
      <vt:lpstr>Stream 24 - Incineration</vt:lpstr>
      <vt:lpstr>Stream 26 - Landfilled Plastic</vt:lpstr>
      <vt:lpstr>Stream 27 - Export</vt:lpstr>
      <vt:lpstr>Stream 28-I (To Incineration)</vt:lpstr>
      <vt:lpstr>Stream 28-L (To Landfill)</vt:lpstr>
      <vt:lpstr>Stream 29 - Plastic Release</vt:lpstr>
      <vt:lpstr>Migration Data - Use</vt:lpstr>
      <vt:lpstr>Migration Data - MechRecycle</vt:lpstr>
      <vt:lpstr>Misc - for Line thickness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Chea</dc:creator>
  <cp:lastModifiedBy>John Chea</cp:lastModifiedBy>
  <dcterms:created xsi:type="dcterms:W3CDTF">2021-01-14T17:27:51Z</dcterms:created>
  <dcterms:modified xsi:type="dcterms:W3CDTF">2022-05-29T20:57:21Z</dcterms:modified>
</cp:coreProperties>
</file>