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5.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AA.AD.EPA.GOV\ORD\CIN\USERS\MAIN\F-K\JBEAULIE\Net MyDocuments\Documents\research\IPCC\methodology2019\"/>
    </mc:Choice>
  </mc:AlternateContent>
  <bookViews>
    <workbookView xWindow="0" yWindow="0" windowWidth="19200" windowHeight="10476"/>
  </bookViews>
  <sheets>
    <sheet name="summary" sheetId="1" r:id="rId1"/>
    <sheet name="mean by climate zone" sheetId="24" r:id="rId2"/>
    <sheet name="DelSontro et al. 2016 and Diem " sheetId="25" r:id="rId3"/>
    <sheet name="Bastien and Demarty 2013" sheetId="23" r:id="rId4"/>
    <sheet name="Deshmukh et al., 2016 and Serça" sheetId="22" r:id="rId5"/>
    <sheet name="Chanudet et al., 2011" sheetId="21" r:id="rId6"/>
    <sheet name="Guerin et al., 2006" sheetId="20" r:id="rId7"/>
    <sheet name="DelSontro et al. 2011" sheetId="19" r:id="rId8"/>
    <sheet name="Bastien et al. 2011" sheetId="18" r:id="rId9"/>
    <sheet name="Kemenes et al. 2007" sheetId="17" r:id="rId10"/>
    <sheet name="Chen et al. 2011" sheetId="15" r:id="rId11"/>
    <sheet name="Zhao et al. 2013" sheetId="16" r:id="rId12"/>
    <sheet name="Kumar and Sharma 2016" sheetId="14" r:id="rId13"/>
    <sheet name="Teodoru et al. 2012" sheetId="13" r:id="rId14"/>
    <sheet name="Soumis et al. 2004" sheetId="12" r:id="rId15"/>
    <sheet name="Maeck et al. 2013" sheetId="11" r:id="rId16"/>
    <sheet name="Diem et al. 2012" sheetId="10" r:id="rId17"/>
    <sheet name="Bevelheimer et al. 2016" sheetId="9" r:id="rId18"/>
    <sheet name="Beaulieu et al. 2014" sheetId="8" r:id="rId19"/>
    <sheet name="dos Santos 2017" sheetId="6" r:id="rId20"/>
    <sheet name="Galy-Lacaux 1997" sheetId="5" r:id="rId21"/>
    <sheet name="Descloux et al. 2017" sheetId="4" r:id="rId22"/>
    <sheet name="Abril 2005" sheetId="2" r:id="rId23"/>
  </sheets>
  <calcPr calcId="171026"/>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R42" i="1" l="1"/>
  <c r="J38" i="1" l="1"/>
  <c r="J39" i="1"/>
  <c r="J4" i="1"/>
  <c r="J5" i="1"/>
  <c r="J6" i="1"/>
  <c r="J7" i="1"/>
  <c r="J8" i="1"/>
  <c r="J9" i="1"/>
  <c r="J10" i="1"/>
  <c r="J15" i="1"/>
  <c r="J32" i="1"/>
  <c r="J33" i="1"/>
  <c r="J34" i="1"/>
  <c r="J35" i="1"/>
  <c r="J40" i="1"/>
  <c r="J41" i="1"/>
  <c r="J17" i="1"/>
  <c r="J18" i="1"/>
  <c r="J19" i="1"/>
  <c r="J20" i="1"/>
  <c r="J14" i="1"/>
  <c r="J31" i="1"/>
  <c r="J36" i="1"/>
  <c r="J13" i="1"/>
  <c r="J21" i="1"/>
  <c r="J11" i="1"/>
  <c r="J12" i="1"/>
  <c r="J22" i="1"/>
  <c r="J23" i="1"/>
  <c r="J24" i="1"/>
  <c r="J25" i="1"/>
  <c r="J26" i="1"/>
  <c r="J30" i="1"/>
  <c r="J2" i="1"/>
  <c r="J3" i="1"/>
  <c r="J16" i="1"/>
  <c r="J27" i="1"/>
  <c r="J28" i="1"/>
  <c r="J29" i="1"/>
  <c r="J37" i="1"/>
  <c r="J42" i="1"/>
  <c r="D2" i="25"/>
  <c r="F4" i="17" l="1"/>
  <c r="F3" i="17"/>
  <c r="N66" i="6"/>
  <c r="N57" i="6"/>
  <c r="N48" i="6"/>
  <c r="N39" i="6"/>
  <c r="N31" i="6"/>
  <c r="N23" i="6"/>
  <c r="N14" i="6"/>
  <c r="N6" i="6"/>
  <c r="L68" i="6"/>
  <c r="L67" i="6"/>
  <c r="M67" i="6"/>
  <c r="L66" i="6"/>
  <c r="M66" i="6"/>
  <c r="L59" i="6"/>
  <c r="L58" i="6"/>
  <c r="M58" i="6"/>
  <c r="L57" i="6"/>
  <c r="M57" i="6"/>
  <c r="L50" i="6"/>
  <c r="L49" i="6"/>
  <c r="M49" i="6"/>
  <c r="M48" i="6"/>
  <c r="L48" i="6"/>
  <c r="L41" i="6"/>
  <c r="L40" i="6"/>
  <c r="M40" i="6"/>
  <c r="M39" i="6"/>
  <c r="L39" i="6"/>
  <c r="L33" i="6"/>
  <c r="L32" i="6"/>
  <c r="M32" i="6"/>
  <c r="L31" i="6"/>
  <c r="M31" i="6"/>
  <c r="L25" i="6"/>
  <c r="M24" i="6"/>
  <c r="L24" i="6"/>
  <c r="L23" i="6"/>
  <c r="M23" i="6"/>
  <c r="L16" i="6"/>
  <c r="L15" i="6"/>
  <c r="M15" i="6"/>
  <c r="M14" i="6"/>
  <c r="L14" i="6"/>
  <c r="L8" i="6"/>
  <c r="L7" i="6"/>
  <c r="M7" i="6"/>
  <c r="L6" i="6"/>
  <c r="M6" i="6"/>
  <c r="E2" i="23"/>
  <c r="G9" i="22"/>
  <c r="E10" i="22"/>
  <c r="G10" i="22"/>
  <c r="J6" i="22"/>
  <c r="E7" i="22"/>
  <c r="G7" i="22"/>
  <c r="E8" i="22"/>
  <c r="G8" i="22"/>
  <c r="E9" i="22"/>
  <c r="E6" i="22"/>
  <c r="G6" i="22"/>
  <c r="G3" i="2"/>
  <c r="G4" i="2"/>
  <c r="G5" i="2"/>
  <c r="G6" i="2"/>
  <c r="H6" i="2"/>
  <c r="G7" i="2"/>
  <c r="G8" i="2"/>
  <c r="G9" i="2"/>
  <c r="G10" i="2"/>
  <c r="G11" i="2"/>
  <c r="G2" i="2"/>
  <c r="K2" i="2"/>
  <c r="D2" i="21"/>
  <c r="D2" i="20"/>
  <c r="D2" i="19"/>
  <c r="F2" i="17"/>
  <c r="E2" i="14"/>
  <c r="F3" i="13"/>
  <c r="F4" i="13"/>
  <c r="F5" i="13"/>
  <c r="F2" i="13"/>
  <c r="F6" i="13"/>
  <c r="D3" i="12"/>
  <c r="D4" i="12"/>
  <c r="D5" i="12"/>
  <c r="D6" i="12"/>
  <c r="D7" i="12"/>
  <c r="D2" i="12"/>
  <c r="E3" i="11"/>
  <c r="E4" i="11"/>
  <c r="E5" i="11"/>
  <c r="E6" i="11"/>
  <c r="E2" i="11"/>
  <c r="B4" i="10"/>
  <c r="B3" i="10"/>
  <c r="B2" i="10"/>
  <c r="E3" i="9"/>
  <c r="E4" i="9"/>
  <c r="E5" i="9"/>
  <c r="E6" i="9"/>
  <c r="E7" i="9"/>
  <c r="E2" i="9"/>
  <c r="H4" i="2"/>
  <c r="H5" i="2"/>
  <c r="D3" i="2"/>
  <c r="H3" i="2"/>
  <c r="D4" i="2"/>
  <c r="D5" i="2"/>
  <c r="D6" i="2"/>
  <c r="D7" i="2"/>
  <c r="H7" i="2"/>
  <c r="D8" i="2"/>
  <c r="H8" i="2"/>
  <c r="D9" i="2"/>
  <c r="H9" i="2"/>
  <c r="D10" i="2"/>
  <c r="H10" i="2"/>
  <c r="D11" i="2"/>
  <c r="H11" i="2"/>
  <c r="D2" i="2"/>
  <c r="G11" i="22"/>
  <c r="H2" i="2"/>
  <c r="H12" i="2"/>
</calcChain>
</file>

<file path=xl/comments1.xml><?xml version="1.0" encoding="utf-8"?>
<comments xmlns="http://schemas.openxmlformats.org/spreadsheetml/2006/main">
  <authors>
    <author>Beaulieu, Jake</author>
    <author>Frédéric Guérin</author>
    <author>Jake Beaulieu</author>
  </authors>
  <commentList>
    <comment ref="D1" authorId="0" shapeId="0">
      <text>
        <r>
          <rPr>
            <b/>
            <sz val="9"/>
            <color indexed="81"/>
            <rFont val="Tahoma"/>
            <charset val="1"/>
          </rPr>
          <t>Beaulieu, Jake:</t>
        </r>
        <r>
          <rPr>
            <sz val="9"/>
            <color indexed="81"/>
            <rFont val="Tahoma"/>
            <charset val="1"/>
          </rPr>
          <t xml:space="preserve">
derived from 1976-2000 map.  GIS layer downloaded on 10/26/2017.
http://koeppen-geiger.vu-wien.ac.at/shifts.htm</t>
        </r>
      </text>
    </comment>
    <comment ref="I1" authorId="0" shapeId="0">
      <text>
        <r>
          <rPr>
            <b/>
            <sz val="9"/>
            <color indexed="81"/>
            <rFont val="Tahoma"/>
            <charset val="1"/>
          </rPr>
          <t>Beaulieu, Jake:</t>
        </r>
        <r>
          <rPr>
            <sz val="9"/>
            <color indexed="81"/>
            <rFont val="Tahoma"/>
            <charset val="1"/>
          </rPr>
          <t xml:space="preserve">
provided by Yves on 10/30/17
confirmed against GIS shapefiles by JB on 11/8/2017</t>
        </r>
      </text>
    </comment>
    <comment ref="J1" authorId="0" shapeId="0">
      <text>
        <r>
          <rPr>
            <b/>
            <sz val="9"/>
            <color indexed="81"/>
            <rFont val="Tahoma"/>
            <charset val="1"/>
          </rPr>
          <t>Beaulieu, Jake:</t>
        </r>
        <r>
          <rPr>
            <sz val="9"/>
            <color indexed="81"/>
            <rFont val="Tahoma"/>
            <charset val="1"/>
          </rPr>
          <t xml:space="preserve">
Based on differences on Gres predicted emission rates between climate zones.  See Annex 1 for details.</t>
        </r>
      </text>
    </comment>
    <comment ref="O1" authorId="0" shapeId="0">
      <text>
        <r>
          <rPr>
            <b/>
            <sz val="9"/>
            <color indexed="81"/>
            <rFont val="Tahoma"/>
            <family val="2"/>
          </rPr>
          <t>Beaulieu, Jake:</t>
        </r>
        <r>
          <rPr>
            <sz val="9"/>
            <color indexed="81"/>
            <rFont val="Tahoma"/>
            <family val="2"/>
          </rPr>
          <t xml:space="preserve">
degassing
downstream
degassing + downstream</t>
        </r>
      </text>
    </comment>
    <comment ref="P1" authorId="0" shapeId="0">
      <text>
        <r>
          <rPr>
            <b/>
            <sz val="9"/>
            <color indexed="81"/>
            <rFont val="Tahoma"/>
            <family val="2"/>
          </rPr>
          <t>Beaulieu, Jake:</t>
        </r>
        <r>
          <rPr>
            <sz val="9"/>
            <color indexed="81"/>
            <rFont val="Tahoma"/>
            <family val="2"/>
          </rPr>
          <t xml:space="preserve">
Mostly interested in whether or not it is hypolimnetic or eplilmnetic.</t>
        </r>
      </text>
    </comment>
    <comment ref="S1" authorId="0" shapeId="0">
      <text>
        <r>
          <rPr>
            <b/>
            <sz val="9"/>
            <color indexed="81"/>
            <rFont val="Tahoma"/>
            <family val="2"/>
          </rPr>
          <t>Beaulieu, Jake:</t>
        </r>
        <r>
          <rPr>
            <sz val="9"/>
            <color indexed="81"/>
            <rFont val="Tahoma"/>
            <family val="2"/>
          </rPr>
          <t xml:space="preserve">
This column was extracted from Bioscience paper.  We don't necessarily need it for IPCC work,  but it may be useful for the Rd calculation.  Don't spend much time on this if not needed for Rd.</t>
        </r>
      </text>
    </comment>
    <comment ref="U1" authorId="0" shapeId="0">
      <text>
        <r>
          <rPr>
            <b/>
            <sz val="9"/>
            <color indexed="81"/>
            <rFont val="Tahoma"/>
            <family val="2"/>
          </rPr>
          <t>Beaulieu, Jake:</t>
        </r>
        <r>
          <rPr>
            <sz val="9"/>
            <color indexed="81"/>
            <rFont val="Tahoma"/>
            <family val="2"/>
          </rPr>
          <t xml:space="preserve">
(downstream + degasing) / surface</t>
        </r>
      </text>
    </comment>
    <comment ref="V1" authorId="0" shapeId="0">
      <text>
        <r>
          <rPr>
            <b/>
            <sz val="9"/>
            <color indexed="81"/>
            <rFont val="Tahoma"/>
            <family val="2"/>
          </rPr>
          <t>Beaulieu, Jake:</t>
        </r>
        <r>
          <rPr>
            <sz val="9"/>
            <color indexed="81"/>
            <rFont val="Tahoma"/>
            <family val="2"/>
          </rPr>
          <t xml:space="preserve">
Please add a worksheet for each citation.  Use the 'insert hyperlink' tool in the 'Insert' menu to link citation to worksheet.</t>
        </r>
      </text>
    </comment>
    <comment ref="N2" authorId="0" shapeId="0">
      <text>
        <r>
          <rPr>
            <b/>
            <sz val="9"/>
            <color indexed="81"/>
            <rFont val="Tahoma"/>
            <charset val="1"/>
          </rPr>
          <t>Beaulieu, Jake:</t>
        </r>
        <r>
          <rPr>
            <sz val="9"/>
            <color indexed="81"/>
            <rFont val="Tahoma"/>
            <charset val="1"/>
          </rPr>
          <t xml:space="preserve">
Measurements made over first 10 years following flooding.  This represents year 5 post flooding, a psuedo-mean value.</t>
        </r>
      </text>
    </comment>
    <comment ref="V2" authorId="0" shapeId="0">
      <text>
        <r>
          <rPr>
            <b/>
            <sz val="9"/>
            <color indexed="81"/>
            <rFont val="Tahoma"/>
            <family val="2"/>
          </rPr>
          <t>Beaulieu, Jake:</t>
        </r>
        <r>
          <rPr>
            <sz val="9"/>
            <color indexed="81"/>
            <rFont val="Tahoma"/>
            <family val="2"/>
          </rPr>
          <t xml:space="preserve">
Data also provided in Guerin et al 2006, but Abril data more comprehensive (Guerin e-mail on 10/27/17)</t>
        </r>
      </text>
    </comment>
    <comment ref="N3" authorId="0" shapeId="0">
      <text>
        <r>
          <rPr>
            <b/>
            <sz val="9"/>
            <color indexed="81"/>
            <rFont val="Tahoma"/>
            <charset val="1"/>
          </rPr>
          <t>Beaulieu, Jake:</t>
        </r>
        <r>
          <rPr>
            <sz val="9"/>
            <color indexed="81"/>
            <rFont val="Tahoma"/>
            <charset val="1"/>
          </rPr>
          <t xml:space="preserve">
measurements made in 2008 and 2010</t>
        </r>
      </text>
    </comment>
    <comment ref="P5" authorId="0" shapeId="0">
      <text>
        <r>
          <rPr>
            <b/>
            <sz val="9"/>
            <color indexed="81"/>
            <rFont val="Tahoma"/>
            <charset val="1"/>
          </rPr>
          <t>Beaulieu, Jake:</t>
        </r>
        <r>
          <rPr>
            <sz val="9"/>
            <color indexed="81"/>
            <rFont val="Tahoma"/>
            <charset val="1"/>
          </rPr>
          <t xml:space="preserve">
'deep water</t>
        </r>
      </text>
    </comment>
    <comment ref="N11" authorId="0" shapeId="0">
      <text>
        <r>
          <rPr>
            <b/>
            <sz val="9"/>
            <color indexed="81"/>
            <rFont val="Tahoma"/>
            <charset val="1"/>
          </rPr>
          <t>Beaulieu, Jake:</t>
        </r>
        <r>
          <rPr>
            <sz val="9"/>
            <color indexed="81"/>
            <rFont val="Tahoma"/>
            <charset val="1"/>
          </rPr>
          <t xml:space="preserve">
2009 - 2010 </t>
        </r>
      </text>
    </comment>
    <comment ref="O11" authorId="0" shapeId="0">
      <text>
        <r>
          <rPr>
            <b/>
            <sz val="9"/>
            <color indexed="81"/>
            <rFont val="Tahoma"/>
            <charset val="1"/>
          </rPr>
          <t>Beaulieu, Jake:</t>
        </r>
        <r>
          <rPr>
            <sz val="9"/>
            <color indexed="81"/>
            <rFont val="Tahoma"/>
            <charset val="1"/>
          </rPr>
          <t xml:space="preserve">
no downstream, right?</t>
        </r>
      </text>
    </comment>
    <comment ref="S11" authorId="1" shapeId="0">
      <text>
        <r>
          <rPr>
            <b/>
            <sz val="10"/>
            <color indexed="81"/>
            <rFont val="Calibri"/>
            <family val="2"/>
          </rPr>
          <t>Frédéric Guérin:</t>
        </r>
        <r>
          <rPr>
            <sz val="10"/>
            <color indexed="81"/>
            <rFont val="Calibri"/>
            <family val="2"/>
          </rPr>
          <t xml:space="preserve">
I have 1.475237092and it was 9.29 in the table</t>
        </r>
      </text>
    </comment>
    <comment ref="N12" authorId="0" shapeId="0">
      <text>
        <r>
          <rPr>
            <b/>
            <sz val="9"/>
            <color indexed="81"/>
            <rFont val="Tahoma"/>
            <charset val="1"/>
          </rPr>
          <t>Beaulieu, Jake:</t>
        </r>
        <r>
          <rPr>
            <sz val="9"/>
            <color indexed="81"/>
            <rFont val="Tahoma"/>
            <charset val="1"/>
          </rPr>
          <t xml:space="preserve">
2009 - 2010 </t>
        </r>
      </text>
    </comment>
    <comment ref="O12" authorId="0" shapeId="0">
      <text>
        <r>
          <rPr>
            <b/>
            <sz val="9"/>
            <color indexed="81"/>
            <rFont val="Tahoma"/>
            <charset val="1"/>
          </rPr>
          <t>Beaulieu, Jake:</t>
        </r>
        <r>
          <rPr>
            <sz val="9"/>
            <color indexed="81"/>
            <rFont val="Tahoma"/>
            <charset val="1"/>
          </rPr>
          <t xml:space="preserve">
no downstream, right?</t>
        </r>
      </text>
    </comment>
    <comment ref="D13" authorId="0" shapeId="0">
      <text>
        <r>
          <rPr>
            <b/>
            <sz val="9"/>
            <color indexed="81"/>
            <rFont val="Tahoma"/>
            <family val="2"/>
          </rPr>
          <t>Beaulieu, Jake:</t>
        </r>
        <r>
          <rPr>
            <sz val="9"/>
            <color indexed="81"/>
            <rFont val="Tahoma"/>
            <family val="2"/>
          </rPr>
          <t xml:space="preserve">
manually extracted from ArcGIS map</t>
        </r>
      </text>
    </comment>
    <comment ref="M13" authorId="0" shapeId="0">
      <text>
        <r>
          <rPr>
            <b/>
            <sz val="9"/>
            <color indexed="81"/>
            <rFont val="Tahoma"/>
            <charset val="1"/>
          </rPr>
          <t>Beaulieu, Jake:</t>
        </r>
        <r>
          <rPr>
            <sz val="9"/>
            <color indexed="81"/>
            <rFont val="Tahoma"/>
            <charset val="1"/>
          </rPr>
          <t xml:space="preserve">
filled from 1958-1963</t>
        </r>
      </text>
    </comment>
    <comment ref="N14" authorId="0" shapeId="0">
      <text>
        <r>
          <rPr>
            <b/>
            <sz val="9"/>
            <color indexed="81"/>
            <rFont val="Tahoma"/>
            <charset val="1"/>
          </rPr>
          <t>Beaulieu, Jake:</t>
        </r>
        <r>
          <rPr>
            <sz val="9"/>
            <color indexed="81"/>
            <rFont val="Tahoma"/>
            <charset val="1"/>
          </rPr>
          <t xml:space="preserve">
2012-2013 by Deemer
2003 - 2006 by Diem</t>
        </r>
      </text>
    </comment>
    <comment ref="K21" authorId="2" shapeId="0">
      <text>
        <r>
          <rPr>
            <sz val="11"/>
            <color theme="1"/>
            <rFont val="Calibri"/>
            <family val="2"/>
            <scheme val="minor"/>
          </rPr>
          <t xml:space="preserve">'Above dam' dissolved CH4 samples were collected from the intake pipe, prior to passing through turbines. 
</t>
        </r>
      </text>
    </comment>
    <comment ref="K22" authorId="2" shapeId="0">
      <text>
        <r>
          <rPr>
            <sz val="11"/>
            <color theme="1"/>
            <rFont val="Calibri"/>
            <family val="2"/>
            <scheme val="minor"/>
          </rPr>
          <t xml:space="preserve">'Above dam' dissolved CH4 samples were collected from the intake pipe, prior to passing through turbines. 
</t>
        </r>
      </text>
    </comment>
    <comment ref="K23" authorId="2" shapeId="0">
      <text>
        <r>
          <rPr>
            <sz val="11"/>
            <color theme="1"/>
            <rFont val="Calibri"/>
            <family val="2"/>
            <scheme val="minor"/>
          </rPr>
          <t xml:space="preserve">'Above dam' dissolved CH4 samples were collected from the intake pipe, prior to passing through turbines. 
</t>
        </r>
      </text>
    </comment>
    <comment ref="K24" authorId="2" shapeId="0">
      <text>
        <r>
          <rPr>
            <sz val="11"/>
            <color theme="1"/>
            <rFont val="Calibri"/>
            <family val="2"/>
            <scheme val="minor"/>
          </rPr>
          <t xml:space="preserve">'Above dam' dissolved CH4 samples were collected from the intake pipe, prior to passing through turbines. 
</t>
        </r>
      </text>
    </comment>
    <comment ref="K25" authorId="2" shapeId="0">
      <text>
        <r>
          <rPr>
            <sz val="11"/>
            <color theme="1"/>
            <rFont val="Calibri"/>
            <family val="2"/>
            <scheme val="minor"/>
          </rPr>
          <t xml:space="preserve">'Above dam' dissolved CH4 samples were collected from the intake pipe, prior to passing through turbines. 
</t>
        </r>
      </text>
    </comment>
    <comment ref="K26" authorId="2" shapeId="0">
      <text>
        <r>
          <rPr>
            <sz val="11"/>
            <color theme="1"/>
            <rFont val="Calibri"/>
            <family val="2"/>
            <scheme val="minor"/>
          </rPr>
          <t xml:space="preserve">'Above dam' dissolved CH4 samples were collected from the intake pipe, prior to passing through turbines. 
</t>
        </r>
      </text>
    </comment>
    <comment ref="K27" authorId="2" shapeId="0">
      <text>
        <r>
          <rPr>
            <sz val="11"/>
            <color theme="1"/>
            <rFont val="Calibri"/>
            <family val="2"/>
            <scheme val="minor"/>
          </rPr>
          <t xml:space="preserve">'Above dam' dissolved CH4 samples were collected from the intake pipe, prior to passing through turbines. 
</t>
        </r>
      </text>
    </comment>
    <comment ref="S28" authorId="1" shapeId="0">
      <text>
        <r>
          <rPr>
            <b/>
            <sz val="10"/>
            <color indexed="81"/>
            <rFont val="Calibri"/>
            <family val="2"/>
          </rPr>
          <t>Frédéric Guérin:</t>
        </r>
        <r>
          <rPr>
            <sz val="10"/>
            <color indexed="81"/>
            <rFont val="Calibri"/>
            <family val="2"/>
          </rPr>
          <t xml:space="preserve">
The value in the table was higher,  I did not write it for a double check</t>
        </r>
      </text>
    </comment>
    <comment ref="V29" authorId="0" shapeId="0">
      <text>
        <r>
          <rPr>
            <b/>
            <sz val="9"/>
            <color indexed="81"/>
            <rFont val="Tahoma"/>
            <family val="2"/>
          </rPr>
          <t>Beaulieu, Jake:</t>
        </r>
        <r>
          <rPr>
            <sz val="9"/>
            <color indexed="81"/>
            <rFont val="Tahoma"/>
            <family val="2"/>
          </rPr>
          <t xml:space="preserve">
Guerin et al. 2006 also has data for Balbina, but the Kemenes data are more comprehensive (e-mail from Guerin on 10/27/17)  Guerin data not used.</t>
        </r>
      </text>
    </comment>
  </commentList>
</comments>
</file>

<file path=xl/comments2.xml><?xml version="1.0" encoding="utf-8"?>
<comments xmlns="http://schemas.openxmlformats.org/spreadsheetml/2006/main">
  <authors>
    <author>Beaulieu, Jake</author>
  </authors>
  <commentList>
    <comment ref="B1" authorId="0" shapeId="0">
      <text>
        <r>
          <rPr>
            <b/>
            <sz val="9"/>
            <color indexed="81"/>
            <rFont val="Tahoma"/>
            <family val="2"/>
          </rPr>
          <t>Beaulieu, Jake:</t>
        </r>
        <r>
          <rPr>
            <sz val="9"/>
            <color indexed="81"/>
            <rFont val="Tahoma"/>
            <family val="2"/>
          </rPr>
          <t xml:space="preserve">
mean Rd by climate zone.  One outlier removed from warm temperate moist.</t>
        </r>
      </text>
    </comment>
    <comment ref="B9" authorId="0" shapeId="0">
      <text>
        <r>
          <rPr>
            <b/>
            <sz val="9"/>
            <color indexed="81"/>
            <rFont val="Tahoma"/>
            <family val="2"/>
          </rPr>
          <t>Beaulieu, Jake:</t>
        </r>
        <r>
          <rPr>
            <sz val="9"/>
            <color indexed="81"/>
            <rFont val="Tahoma"/>
            <family val="2"/>
          </rPr>
          <t xml:space="preserve">
Rd = 88 filtered out of mean</t>
        </r>
      </text>
    </comment>
  </commentList>
</comments>
</file>

<file path=xl/comments3.xml><?xml version="1.0" encoding="utf-8"?>
<comments xmlns="http://schemas.openxmlformats.org/spreadsheetml/2006/main">
  <authors>
    <author>Jake Beaulieu</author>
  </authors>
  <commentList>
    <comment ref="B2" authorId="0" shapeId="0">
      <text>
        <r>
          <rPr>
            <sz val="11"/>
            <color theme="1"/>
            <rFont val="Calibri"/>
            <family val="2"/>
            <scheme val="minor"/>
          </rPr>
          <t>A lower bubbling rate is reported in text, but this was based on measured bubble CH4 content of &lt; 1%, which seems wrong.  Number reported in Table 5 and used here assumes bubble CH4 content of 80%.</t>
        </r>
      </text>
    </comment>
  </commentList>
</comments>
</file>

<file path=xl/comments4.xml><?xml version="1.0" encoding="utf-8"?>
<comments xmlns="http://schemas.openxmlformats.org/spreadsheetml/2006/main">
  <authors>
    <author>Beaulieu, Jake</author>
  </authors>
  <commentList>
    <comment ref="D1" authorId="0" shapeId="0">
      <text>
        <r>
          <rPr>
            <b/>
            <sz val="9"/>
            <color indexed="81"/>
            <rFont val="Tahoma"/>
            <charset val="1"/>
          </rPr>
          <t>Beaulieu, Jake:</t>
        </r>
        <r>
          <rPr>
            <sz val="9"/>
            <color indexed="81"/>
            <rFont val="Tahoma"/>
            <charset val="1"/>
          </rPr>
          <t xml:space="preserve">
per area of reservoir</t>
        </r>
      </text>
    </comment>
  </commentList>
</comments>
</file>

<file path=xl/comments5.xml><?xml version="1.0" encoding="utf-8"?>
<comments xmlns="http://schemas.openxmlformats.org/spreadsheetml/2006/main">
  <authors>
    <author>Jake Beaulieu</author>
  </authors>
  <commentList>
    <comment ref="B1" authorId="0" shapeId="0">
      <text>
        <r>
          <rPr>
            <sz val="11"/>
            <color theme="1"/>
            <rFont val="Calibri"/>
            <family val="2"/>
            <scheme val="minor"/>
          </rPr>
          <t xml:space="preserve">See "Methane loss at turbines" section.
</t>
        </r>
      </text>
    </comment>
  </commentList>
</comments>
</file>

<file path=xl/comments6.xml><?xml version="1.0" encoding="utf-8"?>
<comments xmlns="http://schemas.openxmlformats.org/spreadsheetml/2006/main">
  <authors>
    <author>Frédéric Guérin</author>
  </authors>
  <commentList>
    <comment ref="G2" authorId="0" shapeId="0">
      <text>
        <r>
          <rPr>
            <b/>
            <sz val="10"/>
            <color indexed="81"/>
            <rFont val="Calibri"/>
            <family val="2"/>
          </rPr>
          <t>Frédéric Guérin:</t>
        </r>
        <r>
          <rPr>
            <sz val="10"/>
            <color indexed="81"/>
            <rFont val="Calibri"/>
            <family val="2"/>
          </rPr>
          <t xml:space="preserve">
half of estuary emissions are attributed to the reservoir (see text)</t>
        </r>
      </text>
    </comment>
  </commentList>
</comments>
</file>

<file path=xl/sharedStrings.xml><?xml version="1.0" encoding="utf-8"?>
<sst xmlns="http://schemas.openxmlformats.org/spreadsheetml/2006/main" count="861" uniqueCount="228">
  <si>
    <t>System Name</t>
  </si>
  <si>
    <t>latitude</t>
  </si>
  <si>
    <t>longitude</t>
  </si>
  <si>
    <t>Koppen-Geiger climate grid code</t>
  </si>
  <si>
    <t>Koppen-Geiger climate code</t>
  </si>
  <si>
    <t>Koppen-Geiger main climate</t>
  </si>
  <si>
    <t>Koppen-Geiger precipitation</t>
  </si>
  <si>
    <t>Koppen-Geiger temperature</t>
  </si>
  <si>
    <t>IPCC climate zone</t>
  </si>
  <si>
    <t>measurement method</t>
  </si>
  <si>
    <t>emission source</t>
  </si>
  <si>
    <t>withdrawal depth</t>
  </si>
  <si>
    <t>Surface flux components included in study</t>
  </si>
  <si>
    <t>degassing and/or downstream flux rate mg.ch4.c.m2.d</t>
  </si>
  <si>
    <t>Rd bias</t>
  </si>
  <si>
    <t>Rd</t>
  </si>
  <si>
    <t>citation</t>
  </si>
  <si>
    <t>Petit Saut</t>
  </si>
  <si>
    <t>Af</t>
  </si>
  <si>
    <t>equitorial</t>
  </si>
  <si>
    <t>fully humid</t>
  </si>
  <si>
    <t>tropical wet</t>
  </si>
  <si>
    <t>CH4 above and below dam + mixed approaches for downstream river</t>
  </si>
  <si>
    <r>
      <t>downstream and degassing</t>
    </r>
    <r>
      <rPr>
        <sz val="11"/>
        <rFont val="Calibri (Corps)"/>
      </rPr>
      <t xml:space="preserve"> and spillway</t>
    </r>
  </si>
  <si>
    <t>submerged wall mixes water column prior to turbine, Intake being 10 m above bottom</t>
  </si>
  <si>
    <t>diffusion + ebullition</t>
  </si>
  <si>
    <t>none</t>
  </si>
  <si>
    <t>Abril, G., et al. (2005). "Carbon dioxide and methane emissions and the carbon budget of a 10-year old tropical reservoir (Petit Saut, French Guiana)." Global Biogeochem. Cycles 19(4): GB4007.</t>
  </si>
  <si>
    <t>Koombooloomba</t>
  </si>
  <si>
    <t>Cfa</t>
  </si>
  <si>
    <t>warm temperate</t>
  </si>
  <si>
    <t>hot summer</t>
  </si>
  <si>
    <t>CH4 above and below dam</t>
  </si>
  <si>
    <t>degassing</t>
  </si>
  <si>
    <t>low</t>
  </si>
  <si>
    <t>Bastien,J. and M. Demarty (2013). "Spatio-temporal variation of gross CO2 and CH4 diffusive emissions from Australian reservoirs and natural aquatic ecosystems, and estimation of net reservoir emissions." Lakes &amp; Reservoirs: Research &amp; Management.</t>
  </si>
  <si>
    <t>William H Harsha Lake</t>
  </si>
  <si>
    <t>warm temperate moist</t>
  </si>
  <si>
    <t>CH4 above dam + assumption that all excess at intake eventually goes to atmosphere</t>
  </si>
  <si>
    <t>downstream and degassing</t>
  </si>
  <si>
    <t>high</t>
  </si>
  <si>
    <t>Beaulieu, J. J., Smolenski, R. L., Nietch, C. T., Townsend-Small, A. &amp; Elovitz, M. S. High methane emissions from a midlatitude reservoir draining an agricultural watershed. Environ. Sci. Technol. 48, 11100–11108 (2014).</t>
  </si>
  <si>
    <t>Allatoona</t>
  </si>
  <si>
    <t>CH4 above and below dam + assumption that excess gas at tailwater eventually goes to atmosphere</t>
  </si>
  <si>
    <t>Bevelhimer, M., Stewart, A., Fortner, A., Phillips, J. &amp; Mosher, J. CO2 is dominant greenhouse gas emitted from six hydropower reservoirs in southeastern United States during peak summer emissions. Water 8, 15 (2016).</t>
  </si>
  <si>
    <t>Douglas</t>
  </si>
  <si>
    <t>Fontana</t>
  </si>
  <si>
    <t>Guntersville</t>
  </si>
  <si>
    <t>Hartwell</t>
  </si>
  <si>
    <t>Watts Bar</t>
  </si>
  <si>
    <t>Nam Leuk</t>
  </si>
  <si>
    <t>Aw</t>
  </si>
  <si>
    <t>winter dry</t>
  </si>
  <si>
    <t>tropical moist</t>
  </si>
  <si>
    <t>8 m from bottom</t>
  </si>
  <si>
    <t>diffusion</t>
  </si>
  <si>
    <t>Chanudet, V. et al. Gross CO2 and CH4 emissions from the Nam Ngum and Nam Leuk sub-tropical reservoirs in Lao PDR. Sci. Total Environ. 409, 5382–5391 (2011).</t>
  </si>
  <si>
    <t>Nam Ngum</t>
  </si>
  <si>
    <t>Am</t>
  </si>
  <si>
    <t>monsoonal</t>
  </si>
  <si>
    <t>20m above bottom</t>
  </si>
  <si>
    <t>Lake Kariba</t>
  </si>
  <si>
    <t>BSh</t>
  </si>
  <si>
    <t>arid</t>
  </si>
  <si>
    <t>steppe</t>
  </si>
  <si>
    <t>hot arid</t>
  </si>
  <si>
    <t>tropical dry</t>
  </si>
  <si>
    <t>CH4 above dam and assumption all excess CH4 is emitted somewhere downstream</t>
  </si>
  <si>
    <t>DelSontro, T. et al. Spatial heterogeneity of methane ebullition in a large tropical reservoir. Environ. Sci. Technol. 45, 9866–9873 (2011).</t>
  </si>
  <si>
    <t>Eguzon</t>
  </si>
  <si>
    <t>Cfb</t>
  </si>
  <si>
    <t>warm summer</t>
  </si>
  <si>
    <t>CH4 above and below dam + thin boundary layer estimate for downstream river</t>
  </si>
  <si>
    <t>hypolimnion</t>
  </si>
  <si>
    <t>Descloux, S., et al. (2017). "Methane and nitrous oxide annual emissions from an old eutrophic temperate reservoir." Science of the Total Environment 598(Supplement C): 959-972.</t>
  </si>
  <si>
    <t>Nam Theun 2</t>
  </si>
  <si>
    <t>downstream and degassing and spillway</t>
  </si>
  <si>
    <t>5 m above the bottom in a shallow and narrow channel</t>
  </si>
  <si>
    <t>diffusion + ebullition + drawdown</t>
  </si>
  <si>
    <t>Deshmukh, C. et al. Low methane (CH4) emissions downstream of a monomictic subtropical hydroelectric reservoir (Nam Theun 2, Lao PDR). Biogeosciences 13, 1919–1932 (2016) and Serça et al (2016) Nam Theun 2 Reservoir four years after commissioning: signifi</t>
  </si>
  <si>
    <t>Gruyere</t>
  </si>
  <si>
    <t>cool temperate moist</t>
  </si>
  <si>
    <t>uncertain</t>
  </si>
  <si>
    <t>Diem, T., Koch, S., Schwarzenbach, S., Wehrli, B. &amp; Schubert, C. J. Greenhouse gas emissions (CO2, CH4, and N2O) from several perialpine and alpine hydropower reservoirs by diffusion and loss in turbines. Aquat. Sci. 74, 619–635 (2012).</t>
  </si>
  <si>
    <t>Lake Grimsel</t>
  </si>
  <si>
    <t>Dfc</t>
  </si>
  <si>
    <t>snow</t>
  </si>
  <si>
    <t>cool summer</t>
  </si>
  <si>
    <t>Lake Luzzone</t>
  </si>
  <si>
    <t>ET</t>
  </si>
  <si>
    <t>polar</t>
  </si>
  <si>
    <t>polar tundra</t>
  </si>
  <si>
    <t>Lake Sihl</t>
  </si>
  <si>
    <t>Wohlen</t>
  </si>
  <si>
    <t>Funil</t>
  </si>
  <si>
    <t>Cwa</t>
  </si>
  <si>
    <t>CH4 above and below dam + floating chambers in downstream river</t>
  </si>
  <si>
    <t>dos Santos, M. A., et al. (2017). "Estimates of GHG emissions by hydroelectric reservoirs: The Brazilian case." Energy 133: 99-107.</t>
  </si>
  <si>
    <t>Itaipu</t>
  </si>
  <si>
    <t>Segredo</t>
  </si>
  <si>
    <t>Serra da Mesa</t>
  </si>
  <si>
    <t>Três Marias</t>
  </si>
  <si>
    <t>Tucuruí</t>
  </si>
  <si>
    <t>Xingó</t>
  </si>
  <si>
    <t>Samuel</t>
  </si>
  <si>
    <t>floating chamber in downstream waters</t>
  </si>
  <si>
    <t>downstream</t>
  </si>
  <si>
    <t>Guérin, F., et al. (2006). "Methane and carbon dioxide emissions from tropical reservoirs: Significance of downstream rivers." Geophysical Research Letters 33(21).</t>
  </si>
  <si>
    <t>Balbina</t>
  </si>
  <si>
    <t>Kemenes, A., Forsberg, B. R. &amp; Melack, J. M. Methane release below a tropical hydroelectric dam. Geophys. Res. Lett. 34, L12809 (2007) &amp; dos Santos, M. A., et al. (2017). "Estimates of GHG emissions by hydroelectric reservoirs: The Brazilian case." Energy 133: 99-107.</t>
  </si>
  <si>
    <t>Tehri</t>
  </si>
  <si>
    <t>tropical montane</t>
  </si>
  <si>
    <t>Not clear</t>
  </si>
  <si>
    <t>Kumar, A. and M. P. Sharma (2016). "Assessment of risk of GHG emissions from Tehri hydropower reservoir, India." Human and Ecological Risk Assessment 22(1): 71-85.</t>
  </si>
  <si>
    <t>Lisdorf</t>
  </si>
  <si>
    <t>Maeck, A. et al. Sediment trapping by dams creates methane emission hot spots. Environ. Sci. Technol. 47, 8130–8137 (2013).448</t>
  </si>
  <si>
    <t>Mettlach</t>
  </si>
  <si>
    <t>Rehlingen</t>
  </si>
  <si>
    <t>Saarbrucken</t>
  </si>
  <si>
    <t>Serrig</t>
  </si>
  <si>
    <t>Dworshak</t>
  </si>
  <si>
    <t>Csb</t>
  </si>
  <si>
    <t>summer dry</t>
  </si>
  <si>
    <t>Soumis, N., Duchemin, É., Canuel, R. &amp; Lucotte, M. Greenhouse gas emissions from reservoirs of the western United States. Glob. Biogeochem. Cycles 18, GB3022 (2004). 432</t>
  </si>
  <si>
    <t>F.D. Roosevelt</t>
  </si>
  <si>
    <t>BSk</t>
  </si>
  <si>
    <t>cold arid</t>
  </si>
  <si>
    <t>warm temperate dry</t>
  </si>
  <si>
    <t>New Melones</t>
  </si>
  <si>
    <t>Csa</t>
  </si>
  <si>
    <t>Oroville</t>
  </si>
  <si>
    <t>Shasta</t>
  </si>
  <si>
    <t>Wallula</t>
  </si>
  <si>
    <t>Eastmain-1</t>
  </si>
  <si>
    <t>boreal moist</t>
  </si>
  <si>
    <t>Teodoru, C. R. et al. The net carbon footprint of a newly created boreal hydroelectric reservoir. Glob. Biogeochem. Cycles 26, GB2016 (2012).</t>
  </si>
  <si>
    <t>climate zone</t>
  </si>
  <si>
    <t>obs</t>
  </si>
  <si>
    <t>Reservoir</t>
  </si>
  <si>
    <t>surface ebullition (kt CH4 y-1)</t>
  </si>
  <si>
    <t>surface diffusion (t CH4 y-1)</t>
  </si>
  <si>
    <t>degassing (t CH4 y-1)</t>
  </si>
  <si>
    <t>year</t>
  </si>
  <si>
    <t>diffusive GgCH4 y-1</t>
  </si>
  <si>
    <t>bubbling GgCH4 y-1</t>
  </si>
  <si>
    <t>Drawdown</t>
  </si>
  <si>
    <t>total GgCH4 y-1</t>
  </si>
  <si>
    <t>degassing GgCH4 y-1</t>
  </si>
  <si>
    <t>prop degas + downstream</t>
  </si>
  <si>
    <t>Emissions downstream mgC m-2 d-1</t>
  </si>
  <si>
    <t>mean</t>
  </si>
  <si>
    <t>surface diffusion (GgC y-1)</t>
  </si>
  <si>
    <t>degassing + downstream (t y-1)</t>
  </si>
  <si>
    <t>surface diffusion + ebullition (t d-1)</t>
  </si>
  <si>
    <t>downstream (t d-1)</t>
  </si>
  <si>
    <t>surface diffusion + ebullition (t y-1)</t>
  </si>
  <si>
    <t>Kariba</t>
  </si>
  <si>
    <t>annual emissions from reservoir surface (Gg CH4-C)</t>
  </si>
  <si>
    <t>annual degassing + downstream emissions (Gg CH4-C)</t>
  </si>
  <si>
    <t>Kemenes et al. 2007</t>
  </si>
  <si>
    <t>dos Santos et al. 2017</t>
  </si>
  <si>
    <t>2011-2013</t>
  </si>
  <si>
    <t>suface diffusion (mg ch4 m-2 h-1)</t>
  </si>
  <si>
    <t>diffusion from downstream river (mg ch4 m-2 h-1)</t>
  </si>
  <si>
    <t>Three Gorges</t>
  </si>
  <si>
    <t>Three Gorges Dam</t>
  </si>
  <si>
    <t>CH4 diffusion (mg CH4 m-2 d-1)</t>
  </si>
  <si>
    <t>CH4 ebullition (mg CH4 m-2 d-1)</t>
  </si>
  <si>
    <t>Degassing (mg CH4 m-2 d-1)</t>
  </si>
  <si>
    <t>diffusive (mg C m-2 d-1)</t>
  </si>
  <si>
    <t>ebullition (mg C m-2 d-1)</t>
  </si>
  <si>
    <t>degassing (mg C m-2 d-1)</t>
  </si>
  <si>
    <t>Eastman-1</t>
  </si>
  <si>
    <t>diffusive flux (t d-1)</t>
  </si>
  <si>
    <t>degassing flux (t d-1)</t>
  </si>
  <si>
    <t>diffusive emissions (mol CH4 d-1)</t>
  </si>
  <si>
    <t>ebullition (mol CH4 d-1)</t>
  </si>
  <si>
    <t>degassing (mol CH4 d-1)</t>
  </si>
  <si>
    <t>Grimsel</t>
  </si>
  <si>
    <t>Luzzone</t>
  </si>
  <si>
    <t>Sihl</t>
  </si>
  <si>
    <t>Diffusive (kg d-1)</t>
  </si>
  <si>
    <t>Ebullitive (kg d-1)</t>
  </si>
  <si>
    <t>Tailwater (kg d-1)</t>
  </si>
  <si>
    <t>Segredo Reservoir</t>
  </si>
  <si>
    <t xml:space="preserve">Gas </t>
  </si>
  <si>
    <t>Reservoir Bubbling</t>
  </si>
  <si>
    <t>Reservoir Diffusion</t>
  </si>
  <si>
    <t>Downstream Diffusion</t>
  </si>
  <si>
    <t>Degassing</t>
  </si>
  <si>
    <t>Flux</t>
  </si>
  <si>
    <t>Stadard error</t>
  </si>
  <si>
    <t>Standard error</t>
  </si>
  <si>
    <t>Stard error</t>
  </si>
  <si>
    <t>Stardard error</t>
  </si>
  <si>
    <t>Total flux</t>
  </si>
  <si>
    <t>Percentage of Degassing/Total</t>
  </si>
  <si>
    <t>(t/day)</t>
  </si>
  <si>
    <t>CH4</t>
  </si>
  <si>
    <t>CO2</t>
  </si>
  <si>
    <t>N2O</t>
  </si>
  <si>
    <t>Três Marias Reservoir</t>
  </si>
  <si>
    <t>%</t>
  </si>
  <si>
    <t>Serra da Mesa Reservoir</t>
  </si>
  <si>
    <t>Xingó Reservoir</t>
  </si>
  <si>
    <t>* in this case the degassing flux is greater than the sum of other fluxes because we have CO2 absortption by diffusion in median values</t>
  </si>
  <si>
    <t>Tucuruí Reservoir</t>
  </si>
  <si>
    <t>Itaipu Reservoir</t>
  </si>
  <si>
    <t>Funil Reservoir</t>
  </si>
  <si>
    <t>Balbina Reservoir</t>
  </si>
  <si>
    <t>diffusive t CH.c.y</t>
  </si>
  <si>
    <t>bubbling t ch4.c.y</t>
  </si>
  <si>
    <t>total tch4.c.y</t>
  </si>
  <si>
    <t>degassing tch4.c.y</t>
  </si>
  <si>
    <t>estuary tch4.c.y</t>
  </si>
  <si>
    <t>degas + downstream t ch4.c.y</t>
  </si>
  <si>
    <t>Emissions downstream</t>
  </si>
  <si>
    <t>surface ebullition + diffusion (kg d-1)</t>
  </si>
  <si>
    <t>DelSontro, T., et al. (2016). "Methane dynamics downstream of a temperate run-of-the-river reservoir." Limnology and Oceanography 61(S1): S188-S203.
  AND Diem, T., Koch, S., Schwarzenbach, S., Wehrli, B. &amp; Schubert, C. J. Greenhouse gas emissions (CO2, CH4, and N2O) from several perialpine and alpine hydropower reservoirs by diffusion and loss in turbines. Aquat. Sci. 74, 619–635 (2012).</t>
  </si>
  <si>
    <t>Aggregated IPCC climate zone</t>
  </si>
  <si>
    <t>surface water flux rate</t>
  </si>
  <si>
    <t>reservoir surface area (km2)</t>
  </si>
  <si>
    <t>oxic water</t>
  </si>
  <si>
    <t>run of the river</t>
  </si>
  <si>
    <t>system description</t>
  </si>
  <si>
    <t>lock and dam</t>
  </si>
  <si>
    <t>year constructed</t>
  </si>
  <si>
    <t>year measured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</si>
</sst>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10"/>
      <color indexed="81"/>
      <name val="Calibri"/>
      <family val="2"/>
    </font>
    <font>
      <b/>
      <sz val="10"/>
      <color indexed="81"/>
      <name val="Calibri"/>
      <family val="2"/>
    </font>
    <font>
      <sz val="9"/>
      <color indexed="81"/>
      <name val="Tahoma"/>
      <charset val="1"/>
    </font>
    <font>
      <b/>
      <sz val="9"/>
      <color indexed="81"/>
      <name val="Tahoma"/>
      <charset val="1"/>
    </font>
    <font>
      <sz val="11"/>
      <name val="Calibri"/>
      <family val="2"/>
      <scheme val="minor"/>
    </font>
    <font>
      <sz val="11"/>
      <name val="Calibri (Corps)"/>
    </font>
  </fonts>
  <fills count="2">
    <fill>
      <patternFill patternType="none"/>
    </fill>
    <fill>
      <patternFill patternType="gray125"/>
    </fill>
  </fills>
  <borders count="4">
    <border>
      <left/>
      <right/>
      <top/>
      <bottom/>
      <diagonal/>
    </border>
    <border>
      <left/>
      <right/>
      <top/>
      <bottom style="medium">
        <color auto="1"/>
      </bottom>
      <diagonal/>
    </border>
    <border>
      <left/>
      <right/>
      <top/>
      <bottom style="thick">
        <color auto="1"/>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40">
    <xf numFmtId="0" fontId="0" fillId="0" borderId="0" xfId="0"/>
    <xf numFmtId="0" fontId="0" fillId="0" borderId="0" xfId="0" applyFill="1"/>
    <xf numFmtId="2" fontId="0" fillId="0" borderId="0" xfId="0" applyNumberFormat="1"/>
    <xf numFmtId="0" fontId="1" fillId="0" borderId="0" xfId="0" applyFont="1" applyAlignment="1">
      <alignment horizontal="right"/>
    </xf>
    <xf numFmtId="2" fontId="1" fillId="0" borderId="0" xfId="0" applyNumberFormat="1" applyFont="1"/>
    <xf numFmtId="2" fontId="0" fillId="0" borderId="1" xfId="0" applyNumberFormat="1" applyBorder="1"/>
    <xf numFmtId="0" fontId="0" fillId="0" borderId="0" xfId="0" applyAlignment="1">
      <alignment wrapText="1"/>
    </xf>
    <xf numFmtId="0" fontId="0" fillId="0" borderId="0" xfId="0" applyFill="1" applyBorder="1"/>
    <xf numFmtId="2" fontId="0" fillId="0" borderId="0" xfId="0" applyNumberFormat="1" applyFill="1" applyBorder="1" applyAlignment="1">
      <alignment horizontal="center"/>
    </xf>
    <xf numFmtId="2" fontId="0" fillId="0" borderId="0" xfId="0" applyNumberFormat="1" applyAlignment="1">
      <alignment horizontal="center"/>
    </xf>
    <xf numFmtId="0" fontId="4" fillId="0" borderId="0" xfId="1" applyAlignment="1">
      <alignment vertical="center"/>
    </xf>
    <xf numFmtId="0" fontId="4" fillId="0" borderId="0" xfId="1"/>
    <xf numFmtId="0" fontId="0" fillId="0" borderId="2" xfId="0" applyBorder="1"/>
    <xf numFmtId="0" fontId="4" fillId="0" borderId="0" xfId="1" applyFill="1" applyAlignment="1">
      <alignment vertical="center"/>
    </xf>
    <xf numFmtId="2" fontId="0" fillId="0" borderId="0" xfId="0" applyNumberFormat="1" applyFill="1"/>
    <xf numFmtId="1" fontId="0" fillId="0" borderId="0" xfId="0" applyNumberFormat="1" applyAlignment="1">
      <alignment wrapText="1"/>
    </xf>
    <xf numFmtId="1" fontId="0" fillId="0" borderId="0" xfId="0" applyNumberFormat="1" applyAlignment="1">
      <alignment horizontal="center"/>
    </xf>
    <xf numFmtId="1" fontId="0" fillId="0" borderId="0" xfId="0" applyNumberFormat="1" applyFill="1" applyBorder="1" applyAlignment="1">
      <alignment horizontal="center"/>
    </xf>
    <xf numFmtId="1" fontId="0" fillId="0" borderId="0" xfId="0" applyNumberFormat="1"/>
    <xf numFmtId="1" fontId="0" fillId="0" borderId="0" xfId="0" applyNumberFormat="1" applyFill="1" applyAlignment="1">
      <alignment horizontal="center"/>
    </xf>
    <xf numFmtId="0" fontId="4" fillId="0" borderId="0" xfId="1" applyFill="1"/>
    <xf numFmtId="2" fontId="0" fillId="0" borderId="0" xfId="0" applyNumberFormat="1" applyAlignment="1">
      <alignment wrapText="1"/>
    </xf>
    <xf numFmtId="0" fontId="0" fillId="0" borderId="0" xfId="0" applyAlignment="1">
      <alignment horizontal="center"/>
    </xf>
    <xf numFmtId="0" fontId="0" fillId="0" borderId="0" xfId="0" applyBorder="1" applyAlignment="1">
      <alignment horizontal="left"/>
    </xf>
    <xf numFmtId="0" fontId="0" fillId="0" borderId="0" xfId="0" applyBorder="1" applyAlignment="1">
      <alignment horizontal="center"/>
    </xf>
    <xf numFmtId="0" fontId="0" fillId="0" borderId="3" xfId="0" applyFill="1" applyBorder="1" applyAlignment="1">
      <alignment horizontal="center"/>
    </xf>
    <xf numFmtId="0" fontId="0" fillId="0" borderId="3" xfId="0" applyBorder="1" applyAlignment="1">
      <alignment horizontal="center"/>
    </xf>
    <xf numFmtId="2" fontId="0" fillId="0" borderId="0" xfId="0" applyNumberFormat="1" applyBorder="1" applyAlignment="1">
      <alignment horizontal="center"/>
    </xf>
    <xf numFmtId="164" fontId="0" fillId="0" borderId="0" xfId="0" applyNumberFormat="1" applyBorder="1" applyAlignment="1">
      <alignment horizontal="center"/>
    </xf>
    <xf numFmtId="2" fontId="0" fillId="0" borderId="3" xfId="0" applyNumberFormat="1" applyBorder="1" applyAlignment="1">
      <alignment horizontal="center"/>
    </xf>
    <xf numFmtId="10" fontId="0" fillId="0" borderId="3" xfId="0" applyNumberFormat="1" applyBorder="1" applyAlignment="1">
      <alignment horizontal="center"/>
    </xf>
    <xf numFmtId="165" fontId="0" fillId="0" borderId="0" xfId="0" applyNumberFormat="1" applyBorder="1" applyAlignment="1">
      <alignment horizontal="center"/>
    </xf>
    <xf numFmtId="164" fontId="0" fillId="0" borderId="0" xfId="0" applyNumberFormat="1" applyAlignment="1">
      <alignment horizontal="center"/>
    </xf>
    <xf numFmtId="0" fontId="0" fillId="0" borderId="3" xfId="0" applyBorder="1"/>
    <xf numFmtId="165" fontId="0" fillId="0" borderId="0" xfId="0" applyNumberFormat="1" applyAlignment="1">
      <alignment horizontal="center"/>
    </xf>
    <xf numFmtId="0" fontId="1" fillId="0" borderId="0" xfId="0" applyFont="1"/>
    <xf numFmtId="1" fontId="0" fillId="0" borderId="1" xfId="0" applyNumberFormat="1" applyBorder="1"/>
    <xf numFmtId="0" fontId="0" fillId="0" borderId="1" xfId="0" applyBorder="1"/>
    <xf numFmtId="0" fontId="0" fillId="0" borderId="0" xfId="0" applyFill="1" applyBorder="1" applyAlignment="1">
      <alignment horizontal="left"/>
    </xf>
    <xf numFmtId="0" fontId="9"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'Abril 2005'!$A$2:$A$11</c:f>
              <c:numCache>
                <c:formatCode>General</c:formatCode>
                <c:ptCount val="10"/>
                <c:pt idx="0">
                  <c:v>1994</c:v>
                </c:pt>
                <c:pt idx="1">
                  <c:v>1995</c:v>
                </c:pt>
                <c:pt idx="2">
                  <c:v>1996</c:v>
                </c:pt>
                <c:pt idx="3">
                  <c:v>1997</c:v>
                </c:pt>
                <c:pt idx="4">
                  <c:v>1998</c:v>
                </c:pt>
                <c:pt idx="5">
                  <c:v>1999</c:v>
                </c:pt>
                <c:pt idx="6">
                  <c:v>2000</c:v>
                </c:pt>
                <c:pt idx="7">
                  <c:v>2001</c:v>
                </c:pt>
                <c:pt idx="8">
                  <c:v>2002</c:v>
                </c:pt>
                <c:pt idx="9">
                  <c:v>2003</c:v>
                </c:pt>
              </c:numCache>
            </c:numRef>
          </c:xVal>
          <c:yVal>
            <c:numRef>
              <c:f>'Abril 2005'!$H$2:$H$11</c:f>
              <c:numCache>
                <c:formatCode>0.00</c:formatCode>
                <c:ptCount val="10"/>
                <c:pt idx="0">
                  <c:v>0.16023809523809524</c:v>
                </c:pt>
                <c:pt idx="1">
                  <c:v>1.1921145894861194</c:v>
                </c:pt>
                <c:pt idx="2">
                  <c:v>1.706758304696449</c:v>
                </c:pt>
                <c:pt idx="3">
                  <c:v>3.6636971046770603</c:v>
                </c:pt>
                <c:pt idx="4">
                  <c:v>2.9849340866290017</c:v>
                </c:pt>
                <c:pt idx="5">
                  <c:v>3.6295731707317072</c:v>
                </c:pt>
                <c:pt idx="6">
                  <c:v>4.8813775510204085</c:v>
                </c:pt>
                <c:pt idx="7">
                  <c:v>3.3647260273972601</c:v>
                </c:pt>
                <c:pt idx="8">
                  <c:v>6.0090090090090094</c:v>
                </c:pt>
                <c:pt idx="9">
                  <c:v>3.2568306010928962</c:v>
                </c:pt>
              </c:numCache>
            </c:numRef>
          </c:yVal>
          <c:smooth val="0"/>
          <c:extLst>
            <c:ext xmlns:c16="http://schemas.microsoft.com/office/drawing/2014/chart" uri="{C3380CC4-5D6E-409C-BE32-E72D297353CC}">
              <c16:uniqueId val="{00000000-C354-482D-9C35-7EA22BDEBF1F}"/>
            </c:ext>
          </c:extLst>
        </c:ser>
        <c:dLbls>
          <c:showLegendKey val="0"/>
          <c:showVal val="0"/>
          <c:showCatName val="0"/>
          <c:showSerName val="0"/>
          <c:showPercent val="0"/>
          <c:showBubbleSize val="0"/>
        </c:dLbls>
        <c:axId val="577860960"/>
        <c:axId val="577852760"/>
      </c:scatterChart>
      <c:valAx>
        <c:axId val="577860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52760"/>
        <c:crosses val="autoZero"/>
        <c:crossBetween val="midCat"/>
      </c:valAx>
      <c:valAx>
        <c:axId val="5778527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60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819151</xdr:colOff>
      <xdr:row>7</xdr:row>
      <xdr:rowOff>38099</xdr:rowOff>
    </xdr:from>
    <xdr:ext cx="4000500" cy="1297919"/>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819151" y="1371599"/>
          <a:ext cx="4000500" cy="1297919"/>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See final section of Del Sontro et al 2016 for details.  Surface</a:t>
          </a:r>
          <a:r>
            <a:rPr lang="en-US" sz="1100" baseline="0"/>
            <a:t> ebullition + diffusion taken from DelSontro et al. 2010.  Both </a:t>
          </a:r>
          <a:r>
            <a:rPr lang="en-US" sz="1100">
              <a:solidFill>
                <a:schemeClr val="tx1"/>
              </a:solidFill>
              <a:effectLst/>
              <a:latin typeface="+mn-lt"/>
              <a:ea typeface="+mn-ea"/>
              <a:cs typeface="+mn-cs"/>
            </a:rPr>
            <a:t>Del Sontro et al 2016 and Diem et al. 2012 report 0 turbine degassing emissions for</a:t>
          </a:r>
          <a:r>
            <a:rPr lang="en-US" sz="1100" baseline="0">
              <a:solidFill>
                <a:schemeClr val="tx1"/>
              </a:solidFill>
              <a:effectLst/>
              <a:latin typeface="+mn-lt"/>
              <a:ea typeface="+mn-ea"/>
              <a:cs typeface="+mn-cs"/>
            </a:rPr>
            <a:t> Wohlen.  The downstream emissions account for diffusive CH4 for the 4km of river between dam and Saane inflow.  Tonya reports these emissions constitute 3% of total CH4 emissions from reservoir (surface + degassing + downstream).</a:t>
          </a:r>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3</xdr:col>
      <xdr:colOff>466725</xdr:colOff>
      <xdr:row>10</xdr:row>
      <xdr:rowOff>66675</xdr:rowOff>
    </xdr:from>
    <xdr:ext cx="1117422"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2295525" y="1971675"/>
          <a:ext cx="1117422"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Table 4 of paper</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6</xdr:col>
      <xdr:colOff>95250</xdr:colOff>
      <xdr:row>4</xdr:row>
      <xdr:rowOff>85725</xdr:rowOff>
    </xdr:from>
    <xdr:ext cx="601062" cy="264560"/>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3752850" y="847725"/>
          <a:ext cx="601062"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Table 3</a:t>
          </a: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781050</xdr:colOff>
      <xdr:row>9</xdr:row>
      <xdr:rowOff>104775</xdr:rowOff>
    </xdr:from>
    <xdr:ext cx="4191000" cy="1125693"/>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1371600" y="1819275"/>
          <a:ext cx="4191000" cy="112569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Difficult to extract these</a:t>
          </a:r>
          <a:r>
            <a:rPr lang="en-US" sz="1100" baseline="0"/>
            <a:t> numbers from tables; however, the values are reported in "Methane loss at turbines" section.  The authors also report 0 degassing at turbine for Wohlen reservoir.  DelSontro et al 2016 also report 0 degassing and downstream emissions for Wohlen.  See the 'DelSontrol et al. and Diem' worksheet for complete Lake Wohlen data.</a:t>
          </a:r>
          <a:endParaRPr lang="en-US"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2</xdr:col>
      <xdr:colOff>838200</xdr:colOff>
      <xdr:row>9</xdr:row>
      <xdr:rowOff>95250</xdr:rowOff>
    </xdr:from>
    <xdr:ext cx="601062" cy="264560"/>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2981325" y="1809750"/>
          <a:ext cx="601062"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Table 3</a:t>
          </a:r>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371475</xdr:colOff>
      <xdr:row>3</xdr:row>
      <xdr:rowOff>66675</xdr:rowOff>
    </xdr:from>
    <xdr:ext cx="3676650" cy="2705100"/>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371475" y="638175"/>
          <a:ext cx="3676650" cy="270510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Excerpt from paper:</a:t>
          </a:r>
        </a:p>
        <a:p>
          <a:r>
            <a:rPr lang="en-US" sz="1100" b="1"/>
            <a:t>'Greenhouse Gas Emissions Mitigation Strategies.</a:t>
          </a:r>
        </a:p>
        <a:p>
          <a:r>
            <a:rPr lang="en-US" sz="1100"/>
            <a:t>Previous studies have shown that degassing while water is</a:t>
          </a:r>
        </a:p>
        <a:p>
          <a:r>
            <a:rPr lang="en-US" sz="1100"/>
            <a:t>routed through the dam is a major source of CH4 emissions</a:t>
          </a:r>
        </a:p>
        <a:p>
          <a:r>
            <a:rPr lang="en-US" sz="1100"/>
            <a:t>from reservoirs, comprising up to 33% of total reservoir</a:t>
          </a:r>
        </a:p>
        <a:p>
          <a:r>
            <a:rPr lang="en-US" sz="1100"/>
            <a:t>emissions.  We estimate that this pathway constitutes only</a:t>
          </a:r>
        </a:p>
        <a:p>
          <a:r>
            <a:rPr lang="en-US" sz="1100"/>
            <a:t>0.8% of annual CH4 emissions from Harsha Lake.'                                               Therefore (degassing + downstream)</a:t>
          </a:r>
          <a:r>
            <a:rPr lang="en-US" sz="1100" baseline="0"/>
            <a:t> / surface = 0.087</a:t>
          </a:r>
          <a:endParaRPr lang="en-US"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323850</xdr:colOff>
      <xdr:row>0</xdr:row>
      <xdr:rowOff>85725</xdr:rowOff>
    </xdr:from>
    <xdr:ext cx="5176353" cy="264560"/>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933450" y="85725"/>
          <a:ext cx="5176353"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Rd cannot be calculated from data in paper.  Data provided by Marco on </a:t>
          </a:r>
          <a:r>
            <a:rPr lang="en-US" sz="1100">
              <a:solidFill>
                <a:schemeClr val="tx1"/>
              </a:solidFill>
              <a:effectLst/>
              <a:latin typeface="+mn-lt"/>
              <a:ea typeface="+mn-ea"/>
              <a:cs typeface="+mn-cs"/>
            </a:rPr>
            <a:t>10/29/2017</a:t>
          </a:r>
          <a:r>
            <a:rPr lang="en-US" sz="1100" baseline="0"/>
            <a:t>.</a:t>
          </a:r>
          <a:endParaRPr lang="en-US" sz="1100"/>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1</xdr:col>
      <xdr:colOff>514350</xdr:colOff>
      <xdr:row>4</xdr:row>
      <xdr:rowOff>133350</xdr:rowOff>
    </xdr:from>
    <xdr:ext cx="4533900" cy="609013"/>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1123950" y="895350"/>
          <a:ext cx="4533900" cy="60901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Paper contains data from first two years following reservoir filling.  These data are included in Abril et al. 2005 who present data</a:t>
          </a:r>
          <a:r>
            <a:rPr lang="en-US" sz="1100" baseline="0"/>
            <a:t> for the first 10 years post filling.  No data extracted from this paper for Rd.</a:t>
          </a:r>
          <a:endParaRPr lang="en-US" sz="1100"/>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3</xdr:col>
      <xdr:colOff>152400</xdr:colOff>
      <xdr:row>7</xdr:row>
      <xdr:rowOff>142875</xdr:rowOff>
    </xdr:from>
    <xdr:ext cx="6362255" cy="436786"/>
    <xdr:sp macro="" textlink="">
      <xdr:nvSpPr>
        <xdr:cNvPr id="2" name="TextBox 1">
          <a:extLst>
            <a:ext uri="{FF2B5EF4-FFF2-40B4-BE49-F238E27FC236}">
              <a16:creationId xmlns:a16="http://schemas.microsoft.com/office/drawing/2014/main" id="{00000000-0008-0000-1200-000002000000}"/>
            </a:ext>
          </a:extLst>
        </xdr:cNvPr>
        <xdr:cNvSpPr txBox="1"/>
      </xdr:nvSpPr>
      <xdr:spPr>
        <a:xfrm>
          <a:off x="1981200" y="1476375"/>
          <a:ext cx="6362255" cy="43678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Abstract: 'Downstream degassing and diffusion represented 8.1% of the total CH4 emissions and 7.7% of the</a:t>
          </a:r>
        </a:p>
        <a:p>
          <a:r>
            <a:rPr lang="en-US" sz="1100"/>
            <a:t>total N2O emissions.'  Therefore</a:t>
          </a:r>
          <a:r>
            <a:rPr lang="en-US" sz="1100" baseline="0"/>
            <a:t> down+degas = 0.074*surface flux</a:t>
          </a:r>
          <a:r>
            <a:rPr lang="en-US" sz="1100"/>
            <a:t>   </a:t>
          </a:r>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3</xdr:col>
      <xdr:colOff>200026</xdr:colOff>
      <xdr:row>13</xdr:row>
      <xdr:rowOff>19049</xdr:rowOff>
    </xdr:from>
    <xdr:ext cx="5238750" cy="609013"/>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2552701" y="2505074"/>
          <a:ext cx="5238750" cy="60901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Data taken</a:t>
          </a:r>
          <a:r>
            <a:rPr lang="en-US" sz="1100" baseline="0"/>
            <a:t> from Table 4, </a:t>
          </a:r>
          <a:r>
            <a:rPr lang="en-US" sz="1100">
              <a:solidFill>
                <a:schemeClr val="tx1"/>
              </a:solidFill>
              <a:latin typeface="+mn-lt"/>
              <a:ea typeface="+mn-ea"/>
              <a:cs typeface="+mn-cs"/>
            </a:rPr>
            <a:t>Abril, G., et al. (2005). "Carbon dioxide and methane emissions and the carbon budget of a 10-year old tropical reservoir (Petit Saut, French Guiana)." </a:t>
          </a:r>
          <a:r>
            <a:rPr lang="en-US" sz="1100" u="sng">
              <a:solidFill>
                <a:schemeClr val="tx1"/>
              </a:solidFill>
              <a:latin typeface="+mn-lt"/>
              <a:ea typeface="+mn-ea"/>
              <a:cs typeface="+mn-cs"/>
            </a:rPr>
            <a:t>Global Biogeochem. Cycles </a:t>
          </a:r>
          <a:r>
            <a:rPr lang="en-US" sz="1100" b="1" u="sng">
              <a:solidFill>
                <a:schemeClr val="tx1"/>
              </a:solidFill>
              <a:latin typeface="+mn-lt"/>
              <a:ea typeface="+mn-ea"/>
              <a:cs typeface="+mn-cs"/>
            </a:rPr>
            <a:t>19</a:t>
          </a:r>
          <a:r>
            <a:rPr lang="en-US" sz="1100" b="0" u="sng">
              <a:solidFill>
                <a:schemeClr val="tx1"/>
              </a:solidFill>
              <a:latin typeface="+mn-lt"/>
              <a:ea typeface="+mn-ea"/>
              <a:cs typeface="+mn-cs"/>
            </a:rPr>
            <a:t>(4): GB4007.</a:t>
          </a:r>
          <a:endParaRPr lang="en-US" sz="1100"/>
        </a:p>
      </xdr:txBody>
    </xdr:sp>
    <xdr:clientData/>
  </xdr:oneCellAnchor>
  <xdr:oneCellAnchor>
    <xdr:from>
      <xdr:col>3</xdr:col>
      <xdr:colOff>323850</xdr:colOff>
      <xdr:row>17</xdr:row>
      <xdr:rowOff>38100</xdr:rowOff>
    </xdr:from>
    <xdr:ext cx="4800600" cy="1297919"/>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3257550" y="3286125"/>
          <a:ext cx="4800600" cy="1297919"/>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Galy-Lacaux et al 1997 presents</a:t>
          </a:r>
          <a:r>
            <a:rPr lang="en-US" sz="1100" baseline="0"/>
            <a:t> data from 1994 and 1995 for this reservoir.  Given that Galy-Lacaux is an author on both papers, I'll assume the more recent Abril 2005 paper is more accurate.  No data extracted from </a:t>
          </a:r>
          <a:r>
            <a:rPr lang="en-US" sz="1100">
              <a:solidFill>
                <a:schemeClr val="tx1"/>
              </a:solidFill>
              <a:effectLst/>
              <a:latin typeface="+mn-lt"/>
              <a:ea typeface="+mn-ea"/>
              <a:cs typeface="+mn-cs"/>
            </a:rPr>
            <a:t>Galy-Lacaux et al 1997 for this effort.  Data</a:t>
          </a:r>
          <a:r>
            <a:rPr lang="en-US" sz="1100" baseline="0">
              <a:solidFill>
                <a:schemeClr val="tx1"/>
              </a:solidFill>
              <a:effectLst/>
              <a:latin typeface="+mn-lt"/>
              <a:ea typeface="+mn-ea"/>
              <a:cs typeface="+mn-cs"/>
            </a:rPr>
            <a:t> also presented in Guerin et al. 2006, but Abril data more comprehensive (e-mail for Guerin on 10/27/17).            Guérin, F., et al. (2006). "Methane and carbon dioxide emissions from tropical reservoirs: Significance of downstream rivers." Geophysical Research Letters 33(21).</a:t>
          </a:r>
          <a:endParaRPr lang="en-US" sz="1100"/>
        </a:p>
      </xdr:txBody>
    </xdr:sp>
    <xdr:clientData/>
  </xdr:oneCellAnchor>
  <xdr:twoCellAnchor>
    <xdr:from>
      <xdr:col>8</xdr:col>
      <xdr:colOff>266700</xdr:colOff>
      <xdr:row>3</xdr:row>
      <xdr:rowOff>167640</xdr:rowOff>
    </xdr:from>
    <xdr:to>
      <xdr:col>15</xdr:col>
      <xdr:colOff>365760</xdr:colOff>
      <xdr:row>18</xdr:row>
      <xdr:rowOff>160020</xdr:rowOff>
    </xdr:to>
    <xdr:graphicFrame macro="">
      <xdr:nvGraphicFramePr>
        <xdr:cNvPr id="3" name="Chart 2">
          <a:extLst>
            <a:ext uri="{FF2B5EF4-FFF2-40B4-BE49-F238E27FC236}">
              <a16:creationId xmlns:a16="http://schemas.microsoft.com/office/drawing/2014/main" id="{6A417D0F-6780-4BE4-842C-EB89ED69E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1285875</xdr:colOff>
      <xdr:row>5</xdr:row>
      <xdr:rowOff>57150</xdr:rowOff>
    </xdr:from>
    <xdr:ext cx="1769587" cy="264560"/>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524125" y="1009650"/>
          <a:ext cx="1769587"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All data taken from Table 5.</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4</xdr:row>
      <xdr:rowOff>0</xdr:rowOff>
    </xdr:from>
    <xdr:ext cx="4171951" cy="1125693"/>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825500" y="762000"/>
          <a:ext cx="4171951" cy="112569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Data</a:t>
          </a:r>
          <a:r>
            <a:rPr lang="en-US" sz="1100" baseline="0"/>
            <a:t> from Petit Saut are not considered since they were already presented in Abril et al., 2005</a:t>
          </a:r>
        </a:p>
        <a:p>
          <a:r>
            <a:rPr lang="en-US" sz="1100" baseline="0"/>
            <a:t>Data from Balbina are not considered since the study of Kemenes was conducted the same year and the study was comprehensive (bubbling and diff at the reservoir surf and degassing + downstream emissions below the dam)</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438150</xdr:colOff>
      <xdr:row>4</xdr:row>
      <xdr:rowOff>57150</xdr:rowOff>
    </xdr:from>
    <xdr:ext cx="4171951" cy="1125693"/>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047750" y="819150"/>
          <a:ext cx="4171951" cy="112569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Teodoreau et al 2012 reports emissions for the same time period, but the numbers are slightly different.  Data in Bastien</a:t>
          </a:r>
          <a:r>
            <a:rPr lang="en-US" sz="1100" baseline="0"/>
            <a:t> 2011 </a:t>
          </a:r>
          <a:r>
            <a:rPr lang="en-US" sz="1100"/>
            <a:t>data are shown in figures, but not reported in table or text, making it difficult to extract values.  I'll assume Teodoru 2012, the more recent paper, contains more accurate data.  Only Teodoru will be used in this synthesis.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733426</xdr:colOff>
      <xdr:row>7</xdr:row>
      <xdr:rowOff>152398</xdr:rowOff>
    </xdr:from>
    <xdr:ext cx="4705350" cy="78124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514476" y="2095498"/>
          <a:ext cx="4705350" cy="78124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tx1"/>
              </a:solidFill>
              <a:effectLst/>
              <a:latin typeface="+mn-lt"/>
              <a:ea typeface="+mn-ea"/>
              <a:cs typeface="+mn-cs"/>
            </a:rPr>
            <a:t>Kemenes data extracted</a:t>
          </a:r>
          <a:r>
            <a:rPr lang="en-US" sz="1100" baseline="0">
              <a:solidFill>
                <a:schemeClr val="tx1"/>
              </a:solidFill>
              <a:effectLst/>
              <a:latin typeface="+mn-lt"/>
              <a:ea typeface="+mn-ea"/>
              <a:cs typeface="+mn-cs"/>
            </a:rPr>
            <a:t> from abstract.  Similar data provided for Balbina in Guerin et al. 2006, but Kemenes data are more comprehensive, according the Guerin (10/27/17 e-mail).  Guerin data not used for Rd.  See dos Santos 2017 worksheet for more details.</a:t>
          </a:r>
          <a:endParaRPr lang="en-US">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857251</xdr:colOff>
      <xdr:row>5</xdr:row>
      <xdr:rowOff>123824</xdr:rowOff>
    </xdr:from>
    <xdr:ext cx="3486150" cy="78124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52626" y="1076324"/>
          <a:ext cx="3486150" cy="78124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We can scale mean surface diffusion rate to entire reservoir using a reservoir area of 1080km2, but there is no</a:t>
          </a:r>
          <a:r>
            <a:rPr lang="en-US" sz="1100" baseline="0"/>
            <a:t> way to scale the downstream river emission rate.  Can't calculate Rd from these data.</a:t>
          </a: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1219200</xdr:colOff>
      <xdr:row>3</xdr:row>
      <xdr:rowOff>47625</xdr:rowOff>
    </xdr:from>
    <xdr:ext cx="6772275" cy="953466"/>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219200" y="619125"/>
          <a:ext cx="6772275" cy="95346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Diffusive CH4 emission rates</a:t>
          </a:r>
          <a:r>
            <a:rPr lang="en-US" sz="1100" baseline="0"/>
            <a:t> are reported for the reservoir surface and downstream waters, but no surface area provided for downstream emissions, therefore Rd cannot be calculated.  They claim no difference in dissolved [CH4] up and downstream of dam, therfore no degassing flux, but the data are not reported.  If the upstream dissolved CH4 and turbine flow rates were known, we could estimate degassing and downstream.  Cannot calculate Rd from this paper.</a:t>
          </a: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342900</xdr:colOff>
      <xdr:row>4</xdr:row>
      <xdr:rowOff>123825</xdr:rowOff>
    </xdr:from>
    <xdr:ext cx="5324475" cy="609013"/>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342900" y="885825"/>
          <a:ext cx="5324475" cy="60901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Data pulled from abstract.  Difficult to extract data from paper.  Paper isn't clear on how degassing/downstream</a:t>
          </a:r>
          <a:r>
            <a:rPr lang="en-US" sz="1100" baseline="0"/>
            <a:t> emissions were estimated or if the estimate is degassing, downstream, or both.  I think both.</a:t>
          </a: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142875</xdr:colOff>
      <xdr:row>6</xdr:row>
      <xdr:rowOff>171450</xdr:rowOff>
    </xdr:from>
    <xdr:ext cx="4192173"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752475" y="1314450"/>
          <a:ext cx="4192173"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Table 2 in manuscript.  Note the ebullition was only measured in 2008.</a:t>
          </a:r>
        </a:p>
      </xdr:txBody>
    </xdr:sp>
    <xdr:clientData/>
  </xdr:oneCellAnchor>
  <xdr:oneCellAnchor>
    <xdr:from>
      <xdr:col>1</xdr:col>
      <xdr:colOff>114299</xdr:colOff>
      <xdr:row>9</xdr:row>
      <xdr:rowOff>38098</xdr:rowOff>
    </xdr:from>
    <xdr:ext cx="4171951" cy="953466"/>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723899" y="1752598"/>
          <a:ext cx="4171951" cy="95346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Bastien et al 2011 reports emissions for the same time period, but the numbers are slightly different.  Furthermore, some data are shown in figures, but not reported in table or text, making it difficult to extract values.  I'll assume Teodoru 2012, the more recent paper, contains more accurate data.  Only Teodoru will be used in this synthesis.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8.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2"/>
  <sheetViews>
    <sheetView tabSelected="1" zoomScale="80" zoomScaleNormal="80" workbookViewId="0">
      <pane xSplit="1" ySplit="1" topLeftCell="M2" activePane="bottomRight" state="frozen"/>
      <selection pane="topRight"/>
      <selection pane="bottomLeft"/>
      <selection pane="bottomRight" activeCell="M16" sqref="M16"/>
    </sheetView>
  </sheetViews>
  <sheetFormatPr defaultColWidth="8.88671875" defaultRowHeight="14.4"/>
  <cols>
    <col min="1" max="1" width="20.44140625" customWidth="1"/>
    <col min="2" max="2" width="16.44140625" customWidth="1"/>
    <col min="3" max="3" width="18.6640625" customWidth="1"/>
    <col min="4" max="8" width="18.6640625" style="18" customWidth="1"/>
    <col min="9" max="9" width="28.6640625" style="18" customWidth="1"/>
    <col min="10" max="10" width="32.44140625" style="18" customWidth="1"/>
    <col min="11" max="11" width="102.44140625" customWidth="1"/>
    <col min="12" max="12" width="40.33203125" customWidth="1"/>
    <col min="13" max="13" width="16.6640625" customWidth="1"/>
    <col min="14" max="14" width="16.44140625" customWidth="1"/>
    <col min="15" max="15" width="44.33203125" customWidth="1"/>
    <col min="16" max="16" width="18.109375" customWidth="1"/>
    <col min="17" max="18" width="30.33203125" customWidth="1"/>
    <col min="19" max="19" width="24.21875" style="2" customWidth="1"/>
    <col min="20" max="20" width="14.5546875" style="2" customWidth="1"/>
    <col min="21" max="21" width="13.88671875" style="2" customWidth="1"/>
  </cols>
  <sheetData>
    <row r="1" spans="1:22" s="6" customFormat="1" ht="43.2">
      <c r="A1" s="6" t="s">
        <v>0</v>
      </c>
      <c r="B1" s="6" t="s">
        <v>1</v>
      </c>
      <c r="C1" s="6" t="s">
        <v>2</v>
      </c>
      <c r="D1" s="15" t="s">
        <v>3</v>
      </c>
      <c r="E1" s="15" t="s">
        <v>4</v>
      </c>
      <c r="F1" s="15" t="s">
        <v>5</v>
      </c>
      <c r="G1" s="15" t="s">
        <v>6</v>
      </c>
      <c r="H1" s="15" t="s">
        <v>7</v>
      </c>
      <c r="I1" s="15" t="s">
        <v>8</v>
      </c>
      <c r="J1" s="15" t="s">
        <v>219</v>
      </c>
      <c r="K1" s="6" t="s">
        <v>9</v>
      </c>
      <c r="L1" s="6" t="s">
        <v>224</v>
      </c>
      <c r="M1" s="6" t="s">
        <v>226</v>
      </c>
      <c r="N1" s="6" t="s">
        <v>227</v>
      </c>
      <c r="O1" s="6" t="s">
        <v>10</v>
      </c>
      <c r="P1" s="6" t="s">
        <v>11</v>
      </c>
      <c r="Q1" s="6" t="s">
        <v>12</v>
      </c>
      <c r="R1" s="6" t="s">
        <v>220</v>
      </c>
      <c r="S1" s="21" t="s">
        <v>13</v>
      </c>
      <c r="T1" s="21" t="s">
        <v>14</v>
      </c>
      <c r="U1" s="21" t="s">
        <v>15</v>
      </c>
      <c r="V1" s="6" t="s">
        <v>16</v>
      </c>
    </row>
    <row r="2" spans="1:22">
      <c r="A2" s="7" t="s">
        <v>17</v>
      </c>
      <c r="B2" s="8">
        <v>5.05</v>
      </c>
      <c r="C2" s="8">
        <v>-53.033333329999998</v>
      </c>
      <c r="D2" s="17">
        <v>11</v>
      </c>
      <c r="E2" s="17" t="s">
        <v>18</v>
      </c>
      <c r="F2" s="19" t="s">
        <v>19</v>
      </c>
      <c r="G2" s="19" t="s">
        <v>20</v>
      </c>
      <c r="H2" s="17"/>
      <c r="I2" s="23" t="s">
        <v>21</v>
      </c>
      <c r="J2" s="23" t="str">
        <f>_xlfn.IFS(OR(I2="boreal moist", I2= "boreal dry", I2 = "polar dry", I2="polar moist"), "boreal", OR(I2="cool temperate dry", I2="cool temperate moist"), "cool temperate", I2="warm temperate dry", "warm temperate dry",I2= "warm temperate moist", "warm temperate moist", OR(I2="tropical dry",I2= "tropical montane"), "tropical dry/montane",OR(I2="tropical moist",I2= "tropical wet"), "tropical moist/wet")</f>
        <v>tropical moist/wet</v>
      </c>
      <c r="K2" s="1" t="s">
        <v>22</v>
      </c>
      <c r="L2" s="1"/>
      <c r="M2" s="1">
        <v>1994</v>
      </c>
      <c r="N2" s="1">
        <v>1999</v>
      </c>
      <c r="O2" s="39" t="s">
        <v>23</v>
      </c>
      <c r="P2" s="1" t="s">
        <v>24</v>
      </c>
      <c r="Q2" s="1" t="s">
        <v>25</v>
      </c>
      <c r="R2" s="1"/>
      <c r="S2" s="14">
        <v>131.44977170000001</v>
      </c>
      <c r="T2" s="14" t="s">
        <v>26</v>
      </c>
      <c r="U2" s="14">
        <v>3.08</v>
      </c>
      <c r="V2" s="20" t="s">
        <v>27</v>
      </c>
    </row>
    <row r="3" spans="1:22">
      <c r="A3" t="s">
        <v>28</v>
      </c>
      <c r="B3" s="22">
        <v>-17.829999999999998</v>
      </c>
      <c r="C3" s="22">
        <v>145.6</v>
      </c>
      <c r="D3" s="16">
        <v>31</v>
      </c>
      <c r="E3" s="17" t="s">
        <v>29</v>
      </c>
      <c r="F3" s="16" t="s">
        <v>30</v>
      </c>
      <c r="G3" s="16" t="s">
        <v>20</v>
      </c>
      <c r="H3" s="16" t="s">
        <v>31</v>
      </c>
      <c r="I3" s="23" t="s">
        <v>21</v>
      </c>
      <c r="J3" s="23" t="str">
        <f>_xlfn.IFS(OR(I3="boreal moist", I3= "boreal dry", I3 = "polar dry", I3="polar moist"), "boreal", OR(I3="cool temperate dry", I3="cool temperate moist"), "cool temperate", I3="warm temperate dry", "warm temperate dry",I3= "warm temperate moist", "warm temperate moist", OR(I3="tropical dry",I3= "tropical montane"), "tropical dry/montane",OR(I3="tropical moist",I3= "tropical wet"), "tropical moist/wet")</f>
        <v>tropical moist/wet</v>
      </c>
      <c r="K3" t="s">
        <v>32</v>
      </c>
      <c r="M3">
        <v>1961</v>
      </c>
      <c r="N3">
        <v>2009</v>
      </c>
      <c r="O3" t="s">
        <v>33</v>
      </c>
      <c r="Q3" t="s">
        <v>25</v>
      </c>
      <c r="T3" s="2" t="s">
        <v>34</v>
      </c>
      <c r="U3" s="2">
        <v>0.28999999999999998</v>
      </c>
      <c r="V3" s="11" t="s">
        <v>35</v>
      </c>
    </row>
    <row r="4" spans="1:22" s="1" customFormat="1">
      <c r="A4" s="7" t="s">
        <v>36</v>
      </c>
      <c r="B4" s="8">
        <v>39.020000000000003</v>
      </c>
      <c r="C4" s="8">
        <v>-84.133333329999999</v>
      </c>
      <c r="D4" s="17">
        <v>31</v>
      </c>
      <c r="E4" s="17" t="s">
        <v>29</v>
      </c>
      <c r="F4" s="16" t="s">
        <v>30</v>
      </c>
      <c r="G4" s="16" t="s">
        <v>20</v>
      </c>
      <c r="H4" s="16" t="s">
        <v>31</v>
      </c>
      <c r="I4" s="23" t="s">
        <v>37</v>
      </c>
      <c r="J4" s="23" t="str">
        <f>_xlfn.IFS(OR(I4="boreal moist", I4= "boreal dry", I4 = "polar dry", I4="polar moist"), "boreal", OR(I4="cool temperate dry", I4="cool temperate moist"), "cool temperate", I4="warm temperate dry", "warm temperate dry",I4= "warm temperate moist", "warm temperate moist", OR(I4="tropical dry",I4= "tropical montane"), "tropical dry/montane",OR(I4="tropical moist",I4= "tropical wet"), "tropical moist/wet")</f>
        <v>warm temperate moist</v>
      </c>
      <c r="K4" t="s">
        <v>38</v>
      </c>
      <c r="L4"/>
      <c r="M4">
        <v>1978</v>
      </c>
      <c r="N4">
        <v>2012</v>
      </c>
      <c r="O4" t="s">
        <v>39</v>
      </c>
      <c r="P4" t="s">
        <v>222</v>
      </c>
      <c r="Q4" t="s">
        <v>25</v>
      </c>
      <c r="R4"/>
      <c r="S4" s="2">
        <v>1.22</v>
      </c>
      <c r="T4" s="2" t="s">
        <v>40</v>
      </c>
      <c r="U4" s="2">
        <v>8.6999999999999994E-2</v>
      </c>
      <c r="V4" s="10" t="s">
        <v>41</v>
      </c>
    </row>
    <row r="5" spans="1:22" s="1" customFormat="1">
      <c r="A5" t="s">
        <v>42</v>
      </c>
      <c r="B5" s="9">
        <v>34.14</v>
      </c>
      <c r="C5" s="9">
        <v>-84.64</v>
      </c>
      <c r="D5" s="16">
        <v>31</v>
      </c>
      <c r="E5" s="16" t="s">
        <v>29</v>
      </c>
      <c r="F5" s="16" t="s">
        <v>30</v>
      </c>
      <c r="G5" s="16" t="s">
        <v>20</v>
      </c>
      <c r="H5" s="16" t="s">
        <v>31</v>
      </c>
      <c r="I5" s="23" t="s">
        <v>37</v>
      </c>
      <c r="J5" s="23" t="str">
        <f>_xlfn.IFS(OR(I5="boreal moist", I5= "boreal dry", I5 = "polar dry", I5="polar moist"), "boreal", OR(I5="cool temperate dry", I5="cool temperate moist"), "cool temperate", I5="warm temperate dry", "warm temperate dry",I5= "warm temperate moist", "warm temperate moist", OR(I5="tropical dry",I5= "tropical montane"), "tropical dry/montane",OR(I5="tropical moist",I5= "tropical wet"), "tropical moist/wet")</f>
        <v>warm temperate moist</v>
      </c>
      <c r="K5" t="s">
        <v>43</v>
      </c>
      <c r="L5"/>
      <c r="M5">
        <v>1949</v>
      </c>
      <c r="N5">
        <v>2012</v>
      </c>
      <c r="O5" t="s">
        <v>39</v>
      </c>
      <c r="P5" t="s">
        <v>73</v>
      </c>
      <c r="Q5" t="s">
        <v>25</v>
      </c>
      <c r="R5"/>
      <c r="S5" s="2">
        <v>117.98</v>
      </c>
      <c r="T5" s="2" t="s">
        <v>40</v>
      </c>
      <c r="U5" s="2">
        <v>5.33</v>
      </c>
      <c r="V5" s="11" t="s">
        <v>44</v>
      </c>
    </row>
    <row r="6" spans="1:22" s="1" customFormat="1">
      <c r="A6" s="7" t="s">
        <v>45</v>
      </c>
      <c r="B6" s="8">
        <v>35.96</v>
      </c>
      <c r="C6" s="8">
        <v>-83.54</v>
      </c>
      <c r="D6" s="17">
        <v>31</v>
      </c>
      <c r="E6" s="17" t="s">
        <v>29</v>
      </c>
      <c r="F6" s="16" t="s">
        <v>30</v>
      </c>
      <c r="G6" s="16" t="s">
        <v>20</v>
      </c>
      <c r="H6" s="16" t="s">
        <v>31</v>
      </c>
      <c r="I6" s="23" t="s">
        <v>37</v>
      </c>
      <c r="J6" s="23" t="str">
        <f>_xlfn.IFS(OR(I6="boreal moist", I6= "boreal dry", I6 = "polar dry", I6="polar moist"), "boreal", OR(I6="cool temperate dry", I6="cool temperate moist"), "cool temperate", I6="warm temperate dry", "warm temperate dry",I6= "warm temperate moist", "warm temperate moist", OR(I6="tropical dry",I6= "tropical montane"), "tropical dry/montane",OR(I6="tropical moist",I6= "tropical wet"), "tropical moist/wet")</f>
        <v>warm temperate moist</v>
      </c>
      <c r="K6" t="s">
        <v>43</v>
      </c>
      <c r="L6"/>
      <c r="M6">
        <v>1943</v>
      </c>
      <c r="N6">
        <v>2012</v>
      </c>
      <c r="O6" t="s">
        <v>39</v>
      </c>
      <c r="P6" t="s">
        <v>73</v>
      </c>
      <c r="Q6" t="s">
        <v>25</v>
      </c>
      <c r="R6"/>
      <c r="S6" s="2">
        <v>24.16</v>
      </c>
      <c r="T6" s="2" t="s">
        <v>40</v>
      </c>
      <c r="U6" s="2">
        <v>4.24</v>
      </c>
      <c r="V6" s="11" t="s">
        <v>44</v>
      </c>
    </row>
    <row r="7" spans="1:22" s="1" customFormat="1" ht="16.5" customHeight="1">
      <c r="A7" s="7" t="s">
        <v>46</v>
      </c>
      <c r="B7" s="8">
        <v>35.450000000000003</v>
      </c>
      <c r="C7" s="8">
        <v>-83.81</v>
      </c>
      <c r="D7" s="17">
        <v>31</v>
      </c>
      <c r="E7" s="17" t="s">
        <v>29</v>
      </c>
      <c r="F7" s="16" t="s">
        <v>30</v>
      </c>
      <c r="G7" s="16" t="s">
        <v>20</v>
      </c>
      <c r="H7" s="16" t="s">
        <v>31</v>
      </c>
      <c r="I7" s="23" t="s">
        <v>37</v>
      </c>
      <c r="J7" s="23" t="str">
        <f>_xlfn.IFS(OR(I7="boreal moist", I7= "boreal dry", I7 = "polar dry", I7="polar moist"), "boreal", OR(I7="cool temperate dry", I7="cool temperate moist"), "cool temperate", I7="warm temperate dry", "warm temperate dry",I7= "warm temperate moist", "warm temperate moist", OR(I7="tropical dry",I7= "tropical montane"), "tropical dry/montane",OR(I7="tropical moist",I7= "tropical wet"), "tropical moist/wet")</f>
        <v>warm temperate moist</v>
      </c>
      <c r="K7" t="s">
        <v>43</v>
      </c>
      <c r="L7"/>
      <c r="M7">
        <v>1944</v>
      </c>
      <c r="N7">
        <v>2012</v>
      </c>
      <c r="O7" t="s">
        <v>39</v>
      </c>
      <c r="P7" t="s">
        <v>73</v>
      </c>
      <c r="Q7" t="s">
        <v>25</v>
      </c>
      <c r="R7"/>
      <c r="S7" s="2">
        <v>0</v>
      </c>
      <c r="T7" s="2" t="s">
        <v>40</v>
      </c>
      <c r="U7" s="2">
        <v>0</v>
      </c>
      <c r="V7" s="11" t="s">
        <v>44</v>
      </c>
    </row>
    <row r="8" spans="1:22" s="1" customFormat="1">
      <c r="A8" s="7" t="s">
        <v>47</v>
      </c>
      <c r="B8" s="8">
        <v>34.42</v>
      </c>
      <c r="C8" s="8">
        <v>-86.39</v>
      </c>
      <c r="D8" s="17">
        <v>31</v>
      </c>
      <c r="E8" s="17" t="s">
        <v>29</v>
      </c>
      <c r="F8" s="16" t="s">
        <v>30</v>
      </c>
      <c r="G8" s="16" t="s">
        <v>20</v>
      </c>
      <c r="H8" s="16" t="s">
        <v>31</v>
      </c>
      <c r="I8" s="23" t="s">
        <v>37</v>
      </c>
      <c r="J8" s="23" t="str">
        <f>_xlfn.IFS(OR(I8="boreal moist", I8= "boreal dry", I8 = "polar dry", I8="polar moist"), "boreal", OR(I8="cool temperate dry", I8="cool temperate moist"), "cool temperate", I8="warm temperate dry", "warm temperate dry",I8= "warm temperate moist", "warm temperate moist", OR(I8="tropical dry",I8= "tropical montane"), "tropical dry/montane",OR(I8="tropical moist",I8= "tropical wet"), "tropical moist/wet")</f>
        <v>warm temperate moist</v>
      </c>
      <c r="K8" t="s">
        <v>43</v>
      </c>
      <c r="L8"/>
      <c r="M8">
        <v>1939</v>
      </c>
      <c r="N8">
        <v>2012</v>
      </c>
      <c r="O8" t="s">
        <v>39</v>
      </c>
      <c r="P8" t="s">
        <v>73</v>
      </c>
      <c r="Q8" t="s">
        <v>25</v>
      </c>
      <c r="R8"/>
      <c r="S8" s="2">
        <v>1.2</v>
      </c>
      <c r="T8" s="2" t="s">
        <v>40</v>
      </c>
      <c r="U8" s="2">
        <v>0.08</v>
      </c>
      <c r="V8" s="11" t="s">
        <v>44</v>
      </c>
    </row>
    <row r="9" spans="1:22">
      <c r="A9" s="7" t="s">
        <v>48</v>
      </c>
      <c r="B9" s="8">
        <v>34.47</v>
      </c>
      <c r="C9" s="8">
        <v>-82.85</v>
      </c>
      <c r="D9" s="17">
        <v>31</v>
      </c>
      <c r="E9" s="17" t="s">
        <v>29</v>
      </c>
      <c r="F9" s="16" t="s">
        <v>30</v>
      </c>
      <c r="G9" s="16" t="s">
        <v>20</v>
      </c>
      <c r="H9" s="16" t="s">
        <v>31</v>
      </c>
      <c r="I9" s="23" t="s">
        <v>37</v>
      </c>
      <c r="J9" s="23" t="str">
        <f>_xlfn.IFS(OR(I9="boreal moist", I9= "boreal dry", I9 = "polar dry", I9="polar moist"), "boreal", OR(I9="cool temperate dry", I9="cool temperate moist"), "cool temperate", I9="warm temperate dry", "warm temperate dry",I9= "warm temperate moist", "warm temperate moist", OR(I9="tropical dry",I9= "tropical montane"), "tropical dry/montane",OR(I9="tropical moist",I9= "tropical wet"), "tropical moist/wet")</f>
        <v>warm temperate moist</v>
      </c>
      <c r="K9" t="s">
        <v>43</v>
      </c>
      <c r="M9">
        <v>1962</v>
      </c>
      <c r="N9">
        <v>2012</v>
      </c>
      <c r="O9" t="s">
        <v>39</v>
      </c>
      <c r="P9" t="s">
        <v>73</v>
      </c>
      <c r="Q9" t="s">
        <v>25</v>
      </c>
      <c r="S9" s="2">
        <v>0</v>
      </c>
      <c r="T9" s="2" t="s">
        <v>40</v>
      </c>
      <c r="U9" s="2">
        <v>0</v>
      </c>
      <c r="V9" s="11" t="s">
        <v>44</v>
      </c>
    </row>
    <row r="10" spans="1:22">
      <c r="A10" s="7" t="s">
        <v>49</v>
      </c>
      <c r="B10" s="8">
        <v>35.619999999999997</v>
      </c>
      <c r="C10" s="8">
        <v>-84.78</v>
      </c>
      <c r="D10" s="17">
        <v>31</v>
      </c>
      <c r="E10" s="17" t="s">
        <v>29</v>
      </c>
      <c r="F10" s="16" t="s">
        <v>30</v>
      </c>
      <c r="G10" s="16" t="s">
        <v>20</v>
      </c>
      <c r="H10" s="16" t="s">
        <v>31</v>
      </c>
      <c r="I10" s="23" t="s">
        <v>37</v>
      </c>
      <c r="J10" s="23" t="str">
        <f>_xlfn.IFS(OR(I10="boreal moist", I10= "boreal dry", I10 = "polar dry", I10="polar moist"), "boreal", OR(I10="cool temperate dry", I10="cool temperate moist"), "cool temperate", I10="warm temperate dry", "warm temperate dry",I10= "warm temperate moist", "warm temperate moist", OR(I10="tropical dry",I10= "tropical montane"), "tropical dry/montane",OR(I10="tropical moist",I10= "tropical wet"), "tropical moist/wet")</f>
        <v>warm temperate moist</v>
      </c>
      <c r="K10" t="s">
        <v>43</v>
      </c>
      <c r="M10">
        <v>1942</v>
      </c>
      <c r="N10">
        <v>2012</v>
      </c>
      <c r="O10" t="s">
        <v>39</v>
      </c>
      <c r="P10" t="s">
        <v>73</v>
      </c>
      <c r="Q10" t="s">
        <v>25</v>
      </c>
      <c r="S10" s="2">
        <v>0</v>
      </c>
      <c r="T10" s="2" t="s">
        <v>40</v>
      </c>
      <c r="U10" s="2">
        <v>0</v>
      </c>
      <c r="V10" s="11" t="s">
        <v>44</v>
      </c>
    </row>
    <row r="11" spans="1:22">
      <c r="A11" s="7" t="s">
        <v>50</v>
      </c>
      <c r="B11" s="8">
        <v>18.45</v>
      </c>
      <c r="C11" s="8">
        <v>102.95</v>
      </c>
      <c r="D11" s="17">
        <v>14</v>
      </c>
      <c r="E11" s="17" t="s">
        <v>51</v>
      </c>
      <c r="F11" s="19" t="s">
        <v>19</v>
      </c>
      <c r="G11" s="17" t="s">
        <v>52</v>
      </c>
      <c r="H11" s="17"/>
      <c r="I11" s="23" t="s">
        <v>53</v>
      </c>
      <c r="J11" s="23" t="str">
        <f>_xlfn.IFS(OR(I11="boreal moist", I11= "boreal dry", I11 = "polar dry", I11="polar moist"), "boreal", OR(I11="cool temperate dry", I11="cool temperate moist"), "cool temperate", I11="warm temperate dry", "warm temperate dry",I11= "warm temperate moist", "warm temperate moist", OR(I11="tropical dry",I11= "tropical montane"), "tropical dry/montane",OR(I11="tropical moist",I11= "tropical wet"), "tropical moist/wet")</f>
        <v>tropical moist/wet</v>
      </c>
      <c r="K11" s="1" t="s">
        <v>32</v>
      </c>
      <c r="L11" s="1"/>
      <c r="M11" s="1">
        <v>1999</v>
      </c>
      <c r="N11" s="1">
        <v>2010</v>
      </c>
      <c r="O11" s="1" t="s">
        <v>39</v>
      </c>
      <c r="P11" s="17" t="s">
        <v>54</v>
      </c>
      <c r="Q11" s="1" t="s">
        <v>55</v>
      </c>
      <c r="R11" s="1"/>
      <c r="S11" s="14">
        <v>1.47</v>
      </c>
      <c r="T11" s="14"/>
      <c r="U11" s="14">
        <v>0.33333333333333337</v>
      </c>
      <c r="V11" s="13" t="s">
        <v>56</v>
      </c>
    </row>
    <row r="12" spans="1:22">
      <c r="A12" s="7" t="s">
        <v>57</v>
      </c>
      <c r="B12" s="8">
        <v>18.53</v>
      </c>
      <c r="C12" s="8">
        <v>103.55</v>
      </c>
      <c r="D12" s="17">
        <v>12</v>
      </c>
      <c r="E12" s="17" t="s">
        <v>58</v>
      </c>
      <c r="F12" s="19" t="s">
        <v>19</v>
      </c>
      <c r="G12" s="17" t="s">
        <v>59</v>
      </c>
      <c r="H12" s="17"/>
      <c r="I12" s="23" t="s">
        <v>53</v>
      </c>
      <c r="J12" s="23" t="str">
        <f>_xlfn.IFS(OR(I12="boreal moist", I12= "boreal dry", I12 = "polar dry", I12="polar moist"), "boreal", OR(I12="cool temperate dry", I12="cool temperate moist"), "cool temperate", I12="warm temperate dry", "warm temperate dry",I12= "warm temperate moist", "warm temperate moist", OR(I12="tropical dry",I12= "tropical montane"), "tropical dry/montane",OR(I12="tropical moist",I12= "tropical wet"), "tropical moist/wet")</f>
        <v>tropical moist/wet</v>
      </c>
      <c r="K12" s="1" t="s">
        <v>32</v>
      </c>
      <c r="L12" s="1"/>
      <c r="M12" s="1">
        <v>1971</v>
      </c>
      <c r="N12" s="1">
        <v>2010</v>
      </c>
      <c r="O12" s="1" t="s">
        <v>39</v>
      </c>
      <c r="P12" s="1" t="s">
        <v>60</v>
      </c>
      <c r="Q12" s="1" t="s">
        <v>55</v>
      </c>
      <c r="R12" s="1"/>
      <c r="S12" s="14">
        <v>0</v>
      </c>
      <c r="T12" s="14"/>
      <c r="U12" s="14">
        <v>0</v>
      </c>
      <c r="V12" s="13" t="s">
        <v>56</v>
      </c>
    </row>
    <row r="13" spans="1:22">
      <c r="A13" s="7" t="s">
        <v>61</v>
      </c>
      <c r="B13" s="8">
        <v>-17</v>
      </c>
      <c r="C13" s="8">
        <v>28</v>
      </c>
      <c r="D13" s="17">
        <v>27</v>
      </c>
      <c r="E13" s="17" t="s">
        <v>62</v>
      </c>
      <c r="F13" s="17" t="s">
        <v>63</v>
      </c>
      <c r="G13" s="17" t="s">
        <v>64</v>
      </c>
      <c r="H13" s="17" t="s">
        <v>65</v>
      </c>
      <c r="I13" s="23" t="s">
        <v>66</v>
      </c>
      <c r="J13" s="23" t="str">
        <f>_xlfn.IFS(OR(I13="boreal moist", I13= "boreal dry", I13 = "polar dry", I13="polar moist"), "boreal", OR(I13="cool temperate dry", I13="cool temperate moist"), "cool temperate", I13="warm temperate dry", "warm temperate dry",I13= "warm temperate moist", "warm temperate moist", OR(I13="tropical dry",I13= "tropical montane"), "tropical dry/montane",OR(I13="tropical moist",I13= "tropical wet"), "tropical moist/wet")</f>
        <v>tropical dry/montane</v>
      </c>
      <c r="K13" t="s">
        <v>67</v>
      </c>
      <c r="M13" s="1">
        <v>1963</v>
      </c>
      <c r="N13" s="1">
        <v>2009</v>
      </c>
      <c r="O13" t="s">
        <v>39</v>
      </c>
      <c r="Q13" t="s">
        <v>25</v>
      </c>
      <c r="S13" s="2">
        <v>7.0000000000000007E-2</v>
      </c>
      <c r="T13" s="2" t="s">
        <v>40</v>
      </c>
      <c r="U13" s="2">
        <v>1.0506798516687269E-2</v>
      </c>
      <c r="V13" s="10" t="s">
        <v>68</v>
      </c>
    </row>
    <row r="14" spans="1:22">
      <c r="A14" s="7" t="s">
        <v>93</v>
      </c>
      <c r="B14" s="8">
        <v>46.97</v>
      </c>
      <c r="C14" s="8">
        <v>7.28</v>
      </c>
      <c r="D14" s="16">
        <v>32</v>
      </c>
      <c r="E14" s="17" t="s">
        <v>70</v>
      </c>
      <c r="F14" s="16" t="s">
        <v>30</v>
      </c>
      <c r="G14" s="16" t="s">
        <v>20</v>
      </c>
      <c r="H14" s="17" t="s">
        <v>71</v>
      </c>
      <c r="I14" s="23" t="s">
        <v>81</v>
      </c>
      <c r="J14" s="23" t="str">
        <f>_xlfn.IFS(OR(I14="boreal moist", I14= "boreal dry", I14 = "polar dry", I14="polar moist"), "boreal", OR(I14="cool temperate dry", I14="cool temperate moist"), "cool temperate", I14="warm temperate dry", "warm temperate dry",I14= "warm temperate moist", "warm temperate moist", OR(I14="tropical dry",I14= "tropical montane"), "tropical dry/montane",OR(I14="tropical moist",I14= "tropical wet"), "tropical moist/wet")</f>
        <v>cool temperate</v>
      </c>
      <c r="K14" s="1" t="s">
        <v>22</v>
      </c>
      <c r="L14" s="1"/>
      <c r="M14" s="1">
        <v>1920</v>
      </c>
      <c r="N14" s="1">
        <v>2008</v>
      </c>
      <c r="O14" t="s">
        <v>39</v>
      </c>
      <c r="Q14" t="s">
        <v>25</v>
      </c>
      <c r="T14" s="2" t="s">
        <v>26</v>
      </c>
      <c r="U14" s="2">
        <v>0.03</v>
      </c>
      <c r="V14" s="13" t="s">
        <v>218</v>
      </c>
    </row>
    <row r="15" spans="1:22">
      <c r="A15" s="7" t="s">
        <v>69</v>
      </c>
      <c r="B15" s="8">
        <v>46.44</v>
      </c>
      <c r="C15" s="8">
        <v>1.61</v>
      </c>
      <c r="D15" s="17">
        <v>32</v>
      </c>
      <c r="E15" s="17" t="s">
        <v>70</v>
      </c>
      <c r="F15" s="16" t="s">
        <v>30</v>
      </c>
      <c r="G15" s="16" t="s">
        <v>20</v>
      </c>
      <c r="H15" s="17" t="s">
        <v>71</v>
      </c>
      <c r="I15" s="23" t="s">
        <v>37</v>
      </c>
      <c r="J15" s="23" t="str">
        <f>_xlfn.IFS(OR(I15="boreal moist", I15= "boreal dry", I15 = "polar dry", I15="polar moist"), "boreal", OR(I15="cool temperate dry", I15="cool temperate moist"), "cool temperate", I15="warm temperate dry", "warm temperate dry",I15= "warm temperate moist", "warm temperate moist", OR(I15="tropical dry",I15= "tropical montane"), "tropical dry/montane",OR(I15="tropical moist",I15= "tropical wet"), "tropical moist/wet")</f>
        <v>warm temperate moist</v>
      </c>
      <c r="K15" t="s">
        <v>72</v>
      </c>
      <c r="M15" s="1">
        <v>1996</v>
      </c>
      <c r="N15" s="1">
        <v>2011</v>
      </c>
      <c r="O15" t="s">
        <v>39</v>
      </c>
      <c r="P15" t="s">
        <v>73</v>
      </c>
      <c r="Q15" t="s">
        <v>25</v>
      </c>
      <c r="S15" s="2">
        <v>1.22</v>
      </c>
      <c r="T15" s="2" t="s">
        <v>26</v>
      </c>
      <c r="U15" s="2">
        <v>0.09</v>
      </c>
      <c r="V15" s="11" t="s">
        <v>74</v>
      </c>
    </row>
    <row r="16" spans="1:22">
      <c r="A16" s="7" t="s">
        <v>75</v>
      </c>
      <c r="B16" s="8">
        <v>17.98</v>
      </c>
      <c r="C16" s="8">
        <v>104.95</v>
      </c>
      <c r="D16" s="17">
        <v>14</v>
      </c>
      <c r="E16" s="17" t="s">
        <v>51</v>
      </c>
      <c r="F16" s="19" t="s">
        <v>19</v>
      </c>
      <c r="G16" s="17" t="s">
        <v>52</v>
      </c>
      <c r="H16" s="17"/>
      <c r="I16" s="23" t="s">
        <v>21</v>
      </c>
      <c r="J16" s="23" t="str">
        <f>_xlfn.IFS(OR(I16="boreal moist", I16= "boreal dry", I16 = "polar dry", I16="polar moist"), "boreal", OR(I16="cool temperate dry", I16="cool temperate moist"), "cool temperate", I16="warm temperate dry", "warm temperate dry",I16= "warm temperate moist", "warm temperate moist", OR(I16="tropical dry",I16= "tropical montane"), "tropical dry/montane",OR(I16="tropical moist",I16= "tropical wet"), "tropical moist/wet")</f>
        <v>tropical moist/wet</v>
      </c>
      <c r="K16" s="1" t="s">
        <v>72</v>
      </c>
      <c r="L16" s="1"/>
      <c r="M16" s="1"/>
      <c r="N16" s="1"/>
      <c r="O16" s="1" t="s">
        <v>76</v>
      </c>
      <c r="P16" s="1" t="s">
        <v>77</v>
      </c>
      <c r="Q16" s="1" t="s">
        <v>78</v>
      </c>
      <c r="R16" s="1"/>
      <c r="S16" s="14">
        <v>23.962097655265147</v>
      </c>
      <c r="T16" s="14" t="s">
        <v>26</v>
      </c>
      <c r="U16" s="14">
        <v>0.26</v>
      </c>
      <c r="V16" s="13" t="s">
        <v>79</v>
      </c>
    </row>
    <row r="17" spans="1:22">
      <c r="A17" s="7" t="s">
        <v>80</v>
      </c>
      <c r="B17" s="8">
        <v>46.65</v>
      </c>
      <c r="C17" s="8">
        <v>7.1</v>
      </c>
      <c r="D17" s="17">
        <v>32</v>
      </c>
      <c r="E17" s="17" t="s">
        <v>70</v>
      </c>
      <c r="F17" s="16" t="s">
        <v>30</v>
      </c>
      <c r="G17" s="16" t="s">
        <v>20</v>
      </c>
      <c r="H17" s="17" t="s">
        <v>71</v>
      </c>
      <c r="I17" s="23" t="s">
        <v>81</v>
      </c>
      <c r="J17" s="23" t="str">
        <f>_xlfn.IFS(OR(I17="boreal moist", I17= "boreal dry", I17 = "polar dry", I17="polar moist"), "boreal", OR(I17="cool temperate dry", I17="cool temperate moist"), "cool temperate", I17="warm temperate dry", "warm temperate dry",I17= "warm temperate moist", "warm temperate moist", OR(I17="tropical dry",I17= "tropical montane"), "tropical dry/montane",OR(I17="tropical moist",I17= "tropical wet"), "tropical moist/wet")</f>
        <v>cool temperate</v>
      </c>
      <c r="K17" t="s">
        <v>32</v>
      </c>
      <c r="O17" s="1" t="s">
        <v>33</v>
      </c>
      <c r="Q17" t="s">
        <v>55</v>
      </c>
      <c r="T17" s="2" t="s">
        <v>82</v>
      </c>
      <c r="U17" s="2">
        <v>0</v>
      </c>
      <c r="V17" s="13" t="s">
        <v>83</v>
      </c>
    </row>
    <row r="18" spans="1:22">
      <c r="A18" s="7" t="s">
        <v>84</v>
      </c>
      <c r="B18" s="8">
        <v>46.57</v>
      </c>
      <c r="C18" s="8">
        <v>8.3333333330000006</v>
      </c>
      <c r="D18" s="17">
        <v>43</v>
      </c>
      <c r="E18" s="17" t="s">
        <v>85</v>
      </c>
      <c r="F18" s="17" t="s">
        <v>86</v>
      </c>
      <c r="G18" s="17" t="s">
        <v>20</v>
      </c>
      <c r="H18" s="17" t="s">
        <v>87</v>
      </c>
      <c r="I18" s="23" t="s">
        <v>81</v>
      </c>
      <c r="J18" s="23" t="str">
        <f>_xlfn.IFS(OR(I18="boreal moist", I18= "boreal dry", I18 = "polar dry", I18="polar moist"), "boreal", OR(I18="cool temperate dry", I18="cool temperate moist"), "cool temperate", I18="warm temperate dry", "warm temperate dry",I18= "warm temperate moist", "warm temperate moist", OR(I18="tropical dry",I18= "tropical montane"), "tropical dry/montane",OR(I18="tropical moist",I18= "tropical wet"), "tropical moist/wet")</f>
        <v>cool temperate</v>
      </c>
      <c r="K18" s="1" t="s">
        <v>32</v>
      </c>
      <c r="L18" s="1"/>
      <c r="M18" s="1"/>
      <c r="N18" s="1"/>
      <c r="O18" s="1" t="s">
        <v>33</v>
      </c>
      <c r="P18" s="1"/>
      <c r="Q18" t="s">
        <v>55</v>
      </c>
      <c r="S18" s="14">
        <v>0.32</v>
      </c>
      <c r="T18" s="2" t="s">
        <v>82</v>
      </c>
      <c r="U18" s="14">
        <v>0.79</v>
      </c>
      <c r="V18" s="13" t="s">
        <v>83</v>
      </c>
    </row>
    <row r="19" spans="1:22">
      <c r="A19" s="7" t="s">
        <v>88</v>
      </c>
      <c r="B19" s="8">
        <v>46.57</v>
      </c>
      <c r="C19" s="8">
        <v>8.9666666670000001</v>
      </c>
      <c r="D19" s="17">
        <v>62</v>
      </c>
      <c r="E19" s="17" t="s">
        <v>89</v>
      </c>
      <c r="F19" s="17" t="s">
        <v>90</v>
      </c>
      <c r="G19" s="17"/>
      <c r="H19" s="17" t="s">
        <v>91</v>
      </c>
      <c r="I19" s="23" t="s">
        <v>81</v>
      </c>
      <c r="J19" s="23" t="str">
        <f>_xlfn.IFS(OR(I19="boreal moist", I19= "boreal dry", I19 = "polar dry", I19="polar moist"), "boreal", OR(I19="cool temperate dry", I19="cool temperate moist"), "cool temperate", I19="warm temperate dry", "warm temperate dry",I19= "warm temperate moist", "warm temperate moist", OR(I19="tropical dry",I19= "tropical montane"), "tropical dry/montane",OR(I19="tropical moist",I19= "tropical wet"), "tropical moist/wet")</f>
        <v>cool temperate</v>
      </c>
      <c r="K19" t="s">
        <v>32</v>
      </c>
      <c r="O19" s="1" t="s">
        <v>33</v>
      </c>
      <c r="Q19" t="s">
        <v>55</v>
      </c>
      <c r="S19" s="2">
        <v>0.09</v>
      </c>
      <c r="T19" s="2" t="s">
        <v>82</v>
      </c>
      <c r="U19" s="2">
        <v>0.79</v>
      </c>
      <c r="V19" s="13" t="s">
        <v>83</v>
      </c>
    </row>
    <row r="20" spans="1:22">
      <c r="A20" s="7" t="s">
        <v>92</v>
      </c>
      <c r="B20" s="8">
        <v>47.13</v>
      </c>
      <c r="C20" s="8">
        <v>8.8000000000000007</v>
      </c>
      <c r="D20" s="17">
        <v>32</v>
      </c>
      <c r="E20" s="17" t="s">
        <v>70</v>
      </c>
      <c r="F20" s="16" t="s">
        <v>30</v>
      </c>
      <c r="G20" s="16" t="s">
        <v>20</v>
      </c>
      <c r="H20" s="17" t="s">
        <v>71</v>
      </c>
      <c r="I20" s="23" t="s">
        <v>81</v>
      </c>
      <c r="J20" s="23" t="str">
        <f>_xlfn.IFS(OR(I20="boreal moist", I20= "boreal dry", I20 = "polar dry", I20="polar moist"), "boreal", OR(I20="cool temperate dry", I20="cool temperate moist"), "cool temperate", I20="warm temperate dry", "warm temperate dry",I20= "warm temperate moist", "warm temperate moist", OR(I20="tropical dry",I20= "tropical montane"), "tropical dry/montane",OR(I20="tropical moist",I20= "tropical wet"), "tropical moist/wet")</f>
        <v>cool temperate</v>
      </c>
      <c r="K20" t="s">
        <v>32</v>
      </c>
      <c r="O20" s="1" t="s">
        <v>33</v>
      </c>
      <c r="Q20" t="s">
        <v>55</v>
      </c>
      <c r="S20" s="2">
        <v>0.15</v>
      </c>
      <c r="T20" s="2" t="s">
        <v>82</v>
      </c>
      <c r="U20" s="2">
        <v>0.16</v>
      </c>
      <c r="V20" s="13" t="s">
        <v>83</v>
      </c>
    </row>
    <row r="21" spans="1:22">
      <c r="A21" t="s">
        <v>103</v>
      </c>
      <c r="B21" s="8">
        <v>-9.6199999999999992</v>
      </c>
      <c r="C21" s="8">
        <v>-37.79</v>
      </c>
      <c r="D21" s="16">
        <v>27</v>
      </c>
      <c r="E21" s="17" t="s">
        <v>62</v>
      </c>
      <c r="F21" s="17" t="s">
        <v>63</v>
      </c>
      <c r="G21" s="17" t="s">
        <v>64</v>
      </c>
      <c r="H21" s="17" t="s">
        <v>65</v>
      </c>
      <c r="I21" s="18" t="s">
        <v>66</v>
      </c>
      <c r="J21" s="23" t="str">
        <f>_xlfn.IFS(OR(I21="boreal moist", I21= "boreal dry", I21 = "polar dry", I21="polar moist"), "boreal", OR(I21="cool temperate dry", I21="cool temperate moist"), "cool temperate", I21="warm temperate dry", "warm temperate dry",I21= "warm temperate moist", "warm temperate moist", OR(I21="tropical dry",I21= "tropical montane"), "tropical dry/montane",OR(I21="tropical moist",I21= "tropical wet"), "tropical moist/wet")</f>
        <v>tropical dry/montane</v>
      </c>
      <c r="K21" t="s">
        <v>96</v>
      </c>
      <c r="O21" t="s">
        <v>39</v>
      </c>
      <c r="P21" t="s">
        <v>73</v>
      </c>
      <c r="Q21" t="s">
        <v>25</v>
      </c>
      <c r="T21" s="2" t="s">
        <v>26</v>
      </c>
      <c r="U21" s="2">
        <v>6.430650602120111E-2</v>
      </c>
      <c r="V21" s="11" t="s">
        <v>97</v>
      </c>
    </row>
    <row r="22" spans="1:22">
      <c r="A22" t="s">
        <v>94</v>
      </c>
      <c r="B22" s="8">
        <v>-21.14</v>
      </c>
      <c r="C22" s="8">
        <v>-45.04</v>
      </c>
      <c r="D22" s="16">
        <v>37</v>
      </c>
      <c r="E22" s="17" t="s">
        <v>95</v>
      </c>
      <c r="F22" s="16" t="s">
        <v>30</v>
      </c>
      <c r="G22" s="17" t="s">
        <v>52</v>
      </c>
      <c r="H22" s="17" t="s">
        <v>31</v>
      </c>
      <c r="I22" s="18" t="s">
        <v>53</v>
      </c>
      <c r="J22" s="23" t="str">
        <f>_xlfn.IFS(OR(I22="boreal moist", I22= "boreal dry", I22 = "polar dry", I22="polar moist"), "boreal", OR(I22="cool temperate dry", I22="cool temperate moist"), "cool temperate", I22="warm temperate dry", "warm temperate dry",I22= "warm temperate moist", "warm temperate moist", OR(I22="tropical dry",I22= "tropical montane"), "tropical dry/montane",OR(I22="tropical moist",I22= "tropical wet"), "tropical moist/wet")</f>
        <v>tropical moist/wet</v>
      </c>
      <c r="K22" t="s">
        <v>96</v>
      </c>
      <c r="O22" t="s">
        <v>39</v>
      </c>
      <c r="P22" t="s">
        <v>73</v>
      </c>
      <c r="Q22" t="s">
        <v>25</v>
      </c>
      <c r="T22" s="2" t="s">
        <v>26</v>
      </c>
      <c r="U22" s="2">
        <v>5.9387627133487615E-2</v>
      </c>
      <c r="V22" s="11" t="s">
        <v>97</v>
      </c>
    </row>
    <row r="23" spans="1:22">
      <c r="A23" t="s">
        <v>98</v>
      </c>
      <c r="B23" s="8">
        <v>-25.41</v>
      </c>
      <c r="C23" s="8">
        <v>-54.59</v>
      </c>
      <c r="D23" s="16">
        <v>31</v>
      </c>
      <c r="E23" s="17" t="s">
        <v>29</v>
      </c>
      <c r="F23" s="16" t="s">
        <v>30</v>
      </c>
      <c r="G23" s="16" t="s">
        <v>20</v>
      </c>
      <c r="H23" s="16" t="s">
        <v>31</v>
      </c>
      <c r="I23" s="18" t="s">
        <v>53</v>
      </c>
      <c r="J23" s="23" t="str">
        <f>_xlfn.IFS(OR(I23="boreal moist", I23= "boreal dry", I23 = "polar dry", I23="polar moist"), "boreal", OR(I23="cool temperate dry", I23="cool temperate moist"), "cool temperate", I23="warm temperate dry", "warm temperate dry",I23= "warm temperate moist", "warm temperate moist", OR(I23="tropical dry",I23= "tropical montane"), "tropical dry/montane",OR(I23="tropical moist",I23= "tropical wet"), "tropical moist/wet")</f>
        <v>tropical moist/wet</v>
      </c>
      <c r="K23" t="s">
        <v>96</v>
      </c>
      <c r="O23" t="s">
        <v>39</v>
      </c>
      <c r="P23" t="s">
        <v>73</v>
      </c>
      <c r="Q23" t="s">
        <v>25</v>
      </c>
      <c r="T23" s="2" t="s">
        <v>26</v>
      </c>
      <c r="U23" s="2">
        <v>5.4665496718427908E-2</v>
      </c>
      <c r="V23" s="11" t="s">
        <v>97</v>
      </c>
    </row>
    <row r="24" spans="1:22">
      <c r="A24" t="s">
        <v>99</v>
      </c>
      <c r="B24" s="8">
        <v>-25.79</v>
      </c>
      <c r="C24" s="8">
        <v>-52.11</v>
      </c>
      <c r="D24" s="16">
        <v>31</v>
      </c>
      <c r="E24" s="17" t="s">
        <v>29</v>
      </c>
      <c r="F24" s="16" t="s">
        <v>30</v>
      </c>
      <c r="G24" s="16" t="s">
        <v>20</v>
      </c>
      <c r="H24" s="16" t="s">
        <v>31</v>
      </c>
      <c r="I24" s="18" t="s">
        <v>53</v>
      </c>
      <c r="J24" s="23" t="str">
        <f>_xlfn.IFS(OR(I24="boreal moist", I24= "boreal dry", I24 = "polar dry", I24="polar moist"), "boreal", OR(I24="cool temperate dry", I24="cool temperate moist"), "cool temperate", I24="warm temperate dry", "warm temperate dry",I24= "warm temperate moist", "warm temperate moist", OR(I24="tropical dry",I24= "tropical montane"), "tropical dry/montane",OR(I24="tropical moist",I24= "tropical wet"), "tropical moist/wet")</f>
        <v>tropical moist/wet</v>
      </c>
      <c r="K24" t="s">
        <v>96</v>
      </c>
      <c r="O24" t="s">
        <v>39</v>
      </c>
      <c r="P24" t="s">
        <v>223</v>
      </c>
      <c r="Q24" t="s">
        <v>25</v>
      </c>
      <c r="T24" s="2" t="s">
        <v>26</v>
      </c>
      <c r="U24" s="2">
        <v>9.4E-2</v>
      </c>
      <c r="V24" s="11" t="s">
        <v>97</v>
      </c>
    </row>
    <row r="25" spans="1:22">
      <c r="A25" t="s">
        <v>100</v>
      </c>
      <c r="B25" s="8">
        <v>-13.83</v>
      </c>
      <c r="C25" s="8">
        <v>-48.3</v>
      </c>
      <c r="D25" s="16">
        <v>14</v>
      </c>
      <c r="E25" s="17" t="s">
        <v>51</v>
      </c>
      <c r="F25" s="19" t="s">
        <v>19</v>
      </c>
      <c r="G25" s="17" t="s">
        <v>52</v>
      </c>
      <c r="I25" s="18" t="s">
        <v>53</v>
      </c>
      <c r="J25" s="23" t="str">
        <f>_xlfn.IFS(OR(I25="boreal moist", I25= "boreal dry", I25 = "polar dry", I25="polar moist"), "boreal", OR(I25="cool temperate dry", I25="cool temperate moist"), "cool temperate", I25="warm temperate dry", "warm temperate dry",I25= "warm temperate moist", "warm temperate moist", OR(I25="tropical dry",I25= "tropical montane"), "tropical dry/montane",OR(I25="tropical moist",I25= "tropical wet"), "tropical moist/wet")</f>
        <v>tropical moist/wet</v>
      </c>
      <c r="K25" t="s">
        <v>96</v>
      </c>
      <c r="O25" t="s">
        <v>39</v>
      </c>
      <c r="P25" t="s">
        <v>73</v>
      </c>
      <c r="Q25" t="s">
        <v>25</v>
      </c>
      <c r="T25" s="2" t="s">
        <v>26</v>
      </c>
      <c r="U25" s="2">
        <v>0.8698181581026655</v>
      </c>
      <c r="V25" s="11" t="s">
        <v>97</v>
      </c>
    </row>
    <row r="26" spans="1:22">
      <c r="A26" t="s">
        <v>101</v>
      </c>
      <c r="B26" s="8">
        <v>-18.21</v>
      </c>
      <c r="C26" s="8">
        <v>-45.26</v>
      </c>
      <c r="D26" s="16">
        <v>14</v>
      </c>
      <c r="E26" s="17" t="s">
        <v>51</v>
      </c>
      <c r="F26" s="19" t="s">
        <v>19</v>
      </c>
      <c r="G26" s="17" t="s">
        <v>52</v>
      </c>
      <c r="I26" s="18" t="s">
        <v>53</v>
      </c>
      <c r="J26" s="23" t="str">
        <f>_xlfn.IFS(OR(I26="boreal moist", I26= "boreal dry", I26 = "polar dry", I26="polar moist"), "boreal", OR(I26="cool temperate dry", I26="cool temperate moist"), "cool temperate", I26="warm temperate dry", "warm temperate dry",I26= "warm temperate moist", "warm temperate moist", OR(I26="tropical dry",I26= "tropical montane"), "tropical dry/montane",OR(I26="tropical moist",I26= "tropical wet"), "tropical moist/wet")</f>
        <v>tropical moist/wet</v>
      </c>
      <c r="K26" t="s">
        <v>96</v>
      </c>
      <c r="O26" t="s">
        <v>39</v>
      </c>
      <c r="Q26" t="s">
        <v>25</v>
      </c>
      <c r="T26" s="2" t="s">
        <v>26</v>
      </c>
      <c r="U26" s="2">
        <v>8.25090277528155E-3</v>
      </c>
      <c r="V26" s="11" t="s">
        <v>97</v>
      </c>
    </row>
    <row r="27" spans="1:22">
      <c r="A27" t="s">
        <v>102</v>
      </c>
      <c r="B27" s="8">
        <v>-3.83</v>
      </c>
      <c r="C27" s="8">
        <v>-49.65</v>
      </c>
      <c r="D27" s="16">
        <v>12</v>
      </c>
      <c r="E27" s="17" t="s">
        <v>58</v>
      </c>
      <c r="F27" s="19" t="s">
        <v>19</v>
      </c>
      <c r="G27" s="17" t="s">
        <v>59</v>
      </c>
      <c r="I27" s="18" t="s">
        <v>21</v>
      </c>
      <c r="J27" s="23" t="str">
        <f>_xlfn.IFS(OR(I27="boreal moist", I27= "boreal dry", I27 = "polar dry", I27="polar moist"), "boreal", OR(I27="cool temperate dry", I27="cool temperate moist"), "cool temperate", I27="warm temperate dry", "warm temperate dry",I27= "warm temperate moist", "warm temperate moist", OR(I27="tropical dry",I27= "tropical montane"), "tropical dry/montane",OR(I27="tropical moist",I27= "tropical wet"), "tropical moist/wet")</f>
        <v>tropical moist/wet</v>
      </c>
      <c r="K27" t="s">
        <v>96</v>
      </c>
      <c r="O27" t="s">
        <v>39</v>
      </c>
      <c r="P27" t="s">
        <v>73</v>
      </c>
      <c r="Q27" t="s">
        <v>25</v>
      </c>
      <c r="T27" s="2" t="s">
        <v>26</v>
      </c>
      <c r="U27" s="2">
        <v>5.5586434617965384E-2</v>
      </c>
      <c r="V27" s="11" t="s">
        <v>97</v>
      </c>
    </row>
    <row r="28" spans="1:22">
      <c r="A28" s="7" t="s">
        <v>104</v>
      </c>
      <c r="B28" s="8">
        <v>-8.8000000000000007</v>
      </c>
      <c r="C28" s="8">
        <v>-63.416666669999998</v>
      </c>
      <c r="D28" s="17">
        <v>12</v>
      </c>
      <c r="E28" s="17" t="s">
        <v>58</v>
      </c>
      <c r="F28" s="19" t="s">
        <v>19</v>
      </c>
      <c r="G28" s="17" t="s">
        <v>59</v>
      </c>
      <c r="H28" s="17"/>
      <c r="I28" s="38" t="s">
        <v>21</v>
      </c>
      <c r="J28" s="23" t="str">
        <f>_xlfn.IFS(OR(I28="boreal moist", I28= "boreal dry", I28 = "polar dry", I28="polar moist"), "boreal", OR(I28="cool temperate dry", I28="cool temperate moist"), "cool temperate", I28="warm temperate dry", "warm temperate dry",I28= "warm temperate moist", "warm temperate moist", OR(I28="tropical dry",I28= "tropical montane"), "tropical dry/montane",OR(I28="tropical moist",I28= "tropical wet"), "tropical moist/wet")</f>
        <v>tropical moist/wet</v>
      </c>
      <c r="K28" s="1" t="s">
        <v>105</v>
      </c>
      <c r="L28" s="1"/>
      <c r="M28" s="1"/>
      <c r="N28" s="1"/>
      <c r="O28" s="1" t="s">
        <v>106</v>
      </c>
      <c r="P28" s="1" t="s">
        <v>73</v>
      </c>
      <c r="Q28" s="1" t="s">
        <v>25</v>
      </c>
      <c r="R28" s="1"/>
      <c r="S28" s="14">
        <v>10.733452593917709</v>
      </c>
      <c r="T28" s="14" t="s">
        <v>34</v>
      </c>
      <c r="U28" s="14">
        <v>0.31578947368421051</v>
      </c>
      <c r="V28" s="20" t="s">
        <v>107</v>
      </c>
    </row>
    <row r="29" spans="1:22">
      <c r="A29" s="7" t="s">
        <v>108</v>
      </c>
      <c r="B29" s="8">
        <v>-1.92</v>
      </c>
      <c r="C29" s="8">
        <v>-59.466666670000002</v>
      </c>
      <c r="D29" s="17">
        <v>11</v>
      </c>
      <c r="E29" s="17" t="s">
        <v>18</v>
      </c>
      <c r="F29" s="16" t="s">
        <v>19</v>
      </c>
      <c r="G29" s="16" t="s">
        <v>20</v>
      </c>
      <c r="H29" s="17"/>
      <c r="I29" s="23" t="s">
        <v>21</v>
      </c>
      <c r="J29" s="23" t="str">
        <f>_xlfn.IFS(OR(I29="boreal moist", I29= "boreal dry", I29 = "polar dry", I29="polar moist"), "boreal", OR(I29="cool temperate dry", I29="cool temperate moist"), "cool temperate", I29="warm temperate dry", "warm temperate dry",I29= "warm temperate moist", "warm temperate moist", OR(I29="tropical dry",I29= "tropical montane"), "tropical dry/montane",OR(I29="tropical moist",I29= "tropical wet"), "tropical moist/wet")</f>
        <v>tropical moist/wet</v>
      </c>
      <c r="K29" t="s">
        <v>96</v>
      </c>
      <c r="O29" t="s">
        <v>39</v>
      </c>
      <c r="P29" t="s">
        <v>73</v>
      </c>
      <c r="Q29" t="s">
        <v>25</v>
      </c>
      <c r="S29" s="2">
        <v>45.3</v>
      </c>
      <c r="T29" s="2" t="s">
        <v>26</v>
      </c>
      <c r="U29" s="2">
        <v>3.5417401292942241</v>
      </c>
      <c r="V29" s="10" t="s">
        <v>109</v>
      </c>
    </row>
    <row r="30" spans="1:22">
      <c r="A30" s="7" t="s">
        <v>110</v>
      </c>
      <c r="B30" s="8">
        <v>30.38</v>
      </c>
      <c r="C30" s="8">
        <v>78.48</v>
      </c>
      <c r="D30" s="17">
        <v>37</v>
      </c>
      <c r="E30" s="17" t="s">
        <v>95</v>
      </c>
      <c r="F30" s="16" t="s">
        <v>30</v>
      </c>
      <c r="G30" s="17" t="s">
        <v>52</v>
      </c>
      <c r="H30" s="17" t="s">
        <v>31</v>
      </c>
      <c r="I30" s="23" t="s">
        <v>111</v>
      </c>
      <c r="J30" s="23" t="str">
        <f>_xlfn.IFS(OR(I30="boreal moist", I30= "boreal dry", I30 = "polar dry", I30="polar moist"), "boreal", OR(I30="cool temperate dry", I30="cool temperate moist"), "cool temperate", I30="warm temperate dry", "warm temperate dry",I30= "warm temperate moist", "warm temperate moist", OR(I30="tropical dry",I30= "tropical montane"), "tropical dry/montane",OR(I30="tropical moist",I30= "tropical wet"), "tropical moist/wet")</f>
        <v>tropical dry/montane</v>
      </c>
      <c r="K30" t="s">
        <v>112</v>
      </c>
      <c r="O30" t="s">
        <v>39</v>
      </c>
      <c r="Q30" t="s">
        <v>25</v>
      </c>
      <c r="S30" s="2">
        <v>5.56</v>
      </c>
      <c r="T30" s="2" t="s">
        <v>26</v>
      </c>
      <c r="U30" s="2">
        <v>0.27</v>
      </c>
      <c r="V30" s="11" t="s">
        <v>113</v>
      </c>
    </row>
    <row r="31" spans="1:22">
      <c r="A31" s="7" t="s">
        <v>119</v>
      </c>
      <c r="B31" s="8">
        <v>49.566667000000002</v>
      </c>
      <c r="C31" s="8">
        <v>6.5925000000000002</v>
      </c>
      <c r="D31" s="17">
        <v>32</v>
      </c>
      <c r="E31" s="17" t="s">
        <v>70</v>
      </c>
      <c r="F31" s="16" t="s">
        <v>30</v>
      </c>
      <c r="G31" s="16" t="s">
        <v>20</v>
      </c>
      <c r="H31" s="17" t="s">
        <v>71</v>
      </c>
      <c r="I31" s="23" t="s">
        <v>81</v>
      </c>
      <c r="J31" s="23" t="str">
        <f>_xlfn.IFS(OR(I31="boreal moist", I31= "boreal dry", I31 = "polar dry", I31="polar moist"), "boreal", OR(I31="cool temperate dry", I31="cool temperate moist"), "cool temperate", I31="warm temperate dry", "warm temperate dry",I31= "warm temperate moist", "warm temperate moist", OR(I31="tropical dry",I31= "tropical montane"), "tropical dry/montane",OR(I31="tropical moist",I31= "tropical wet"), "tropical moist/wet")</f>
        <v>cool temperate</v>
      </c>
      <c r="K31" t="s">
        <v>32</v>
      </c>
      <c r="L31" t="s">
        <v>225</v>
      </c>
      <c r="O31" t="s">
        <v>33</v>
      </c>
      <c r="Q31" t="s">
        <v>25</v>
      </c>
      <c r="S31" s="2">
        <v>127.6</v>
      </c>
      <c r="T31" s="2" t="s">
        <v>34</v>
      </c>
      <c r="U31" s="2">
        <v>0.38</v>
      </c>
      <c r="V31" s="10" t="s">
        <v>115</v>
      </c>
    </row>
    <row r="32" spans="1:22">
      <c r="A32" s="7" t="s">
        <v>114</v>
      </c>
      <c r="B32" s="8">
        <v>49.295555999999998</v>
      </c>
      <c r="C32" s="8">
        <v>6.7647219999999999</v>
      </c>
      <c r="D32" s="17">
        <v>32</v>
      </c>
      <c r="E32" s="17" t="s">
        <v>70</v>
      </c>
      <c r="F32" s="16" t="s">
        <v>30</v>
      </c>
      <c r="G32" s="16" t="s">
        <v>20</v>
      </c>
      <c r="H32" s="17" t="s">
        <v>71</v>
      </c>
      <c r="I32" s="23" t="s">
        <v>37</v>
      </c>
      <c r="J32" s="23" t="str">
        <f>_xlfn.IFS(OR(I32="boreal moist", I32= "boreal dry", I32 = "polar dry", I32="polar moist"), "boreal", OR(I32="cool temperate dry", I32="cool temperate moist"), "cool temperate", I32="warm temperate dry", "warm temperate dry",I32= "warm temperate moist", "warm temperate moist", OR(I32="tropical dry",I32= "tropical montane"), "tropical dry/montane",OR(I32="tropical moist",I32= "tropical wet"), "tropical moist/wet")</f>
        <v>warm temperate moist</v>
      </c>
      <c r="K32" t="s">
        <v>32</v>
      </c>
      <c r="L32" t="s">
        <v>225</v>
      </c>
      <c r="O32" t="s">
        <v>33</v>
      </c>
      <c r="Q32" t="s">
        <v>25</v>
      </c>
      <c r="S32" s="2">
        <v>227.2</v>
      </c>
      <c r="T32" s="2" t="s">
        <v>34</v>
      </c>
      <c r="U32" s="2">
        <v>1.1599999999999999</v>
      </c>
      <c r="V32" s="10" t="s">
        <v>115</v>
      </c>
    </row>
    <row r="33" spans="1:22">
      <c r="A33" s="7" t="s">
        <v>116</v>
      </c>
      <c r="B33" s="8">
        <v>49.491388999999998</v>
      </c>
      <c r="C33" s="8">
        <v>6.5805559999999996</v>
      </c>
      <c r="D33" s="17">
        <v>32</v>
      </c>
      <c r="E33" s="17" t="s">
        <v>70</v>
      </c>
      <c r="F33" s="16" t="s">
        <v>30</v>
      </c>
      <c r="G33" s="16" t="s">
        <v>20</v>
      </c>
      <c r="H33" s="17" t="s">
        <v>71</v>
      </c>
      <c r="I33" s="23" t="s">
        <v>37</v>
      </c>
      <c r="J33" s="23" t="str">
        <f>_xlfn.IFS(OR(I33="boreal moist", I33= "boreal dry", I33 = "polar dry", I33="polar moist"), "boreal", OR(I33="cool temperate dry", I33="cool temperate moist"), "cool temperate", I33="warm temperate dry", "warm temperate dry",I33= "warm temperate moist", "warm temperate moist", OR(I33="tropical dry",I33= "tropical montane"), "tropical dry/montane",OR(I33="tropical moist",I33= "tropical wet"), "tropical moist/wet")</f>
        <v>warm temperate moist</v>
      </c>
      <c r="K33" t="s">
        <v>32</v>
      </c>
      <c r="L33" t="s">
        <v>225</v>
      </c>
      <c r="O33" t="s">
        <v>33</v>
      </c>
      <c r="Q33" t="s">
        <v>25</v>
      </c>
      <c r="S33" s="2">
        <v>41.7</v>
      </c>
      <c r="T33" s="2" t="s">
        <v>34</v>
      </c>
      <c r="U33" s="2">
        <v>1.4</v>
      </c>
      <c r="V33" s="10" t="s">
        <v>115</v>
      </c>
    </row>
    <row r="34" spans="1:22">
      <c r="A34" s="7" t="s">
        <v>117</v>
      </c>
      <c r="B34" s="8">
        <v>49.373610999999997</v>
      </c>
      <c r="C34" s="8">
        <v>6.6994439999999997</v>
      </c>
      <c r="D34" s="17">
        <v>32</v>
      </c>
      <c r="E34" s="17" t="s">
        <v>70</v>
      </c>
      <c r="F34" s="16" t="s">
        <v>30</v>
      </c>
      <c r="G34" s="16" t="s">
        <v>20</v>
      </c>
      <c r="H34" s="17" t="s">
        <v>71</v>
      </c>
      <c r="I34" s="23" t="s">
        <v>37</v>
      </c>
      <c r="J34" s="23" t="str">
        <f>_xlfn.IFS(OR(I34="boreal moist", I34= "boreal dry", I34 = "polar dry", I34="polar moist"), "boreal", OR(I34="cool temperate dry", I34="cool temperate moist"), "cool temperate", I34="warm temperate dry", "warm temperate dry",I34= "warm temperate moist", "warm temperate moist", OR(I34="tropical dry",I34= "tropical montane"), "tropical dry/montane",OR(I34="tropical moist",I34= "tropical wet"), "tropical moist/wet")</f>
        <v>warm temperate moist</v>
      </c>
      <c r="K34" t="s">
        <v>32</v>
      </c>
      <c r="L34" t="s">
        <v>225</v>
      </c>
      <c r="O34" t="s">
        <v>33</v>
      </c>
      <c r="Q34" t="s">
        <v>25</v>
      </c>
      <c r="S34" s="2">
        <v>28.3</v>
      </c>
      <c r="T34" s="2" t="s">
        <v>34</v>
      </c>
      <c r="U34" s="2">
        <v>1.04</v>
      </c>
      <c r="V34" s="10" t="s">
        <v>115</v>
      </c>
    </row>
    <row r="35" spans="1:22">
      <c r="A35" s="7" t="s">
        <v>118</v>
      </c>
      <c r="B35" s="8">
        <v>49.239722</v>
      </c>
      <c r="C35" s="8">
        <v>6.9294440000000002</v>
      </c>
      <c r="D35" s="17">
        <v>32</v>
      </c>
      <c r="E35" s="17" t="s">
        <v>70</v>
      </c>
      <c r="F35" s="16" t="s">
        <v>30</v>
      </c>
      <c r="G35" s="16" t="s">
        <v>20</v>
      </c>
      <c r="H35" s="17" t="s">
        <v>71</v>
      </c>
      <c r="I35" s="23" t="s">
        <v>37</v>
      </c>
      <c r="J35" s="23" t="str">
        <f>_xlfn.IFS(OR(I35="boreal moist", I35= "boreal dry", I35 = "polar dry", I35="polar moist"), "boreal", OR(I35="cool temperate dry", I35="cool temperate moist"), "cool temperate", I35="warm temperate dry", "warm temperate dry",I35= "warm temperate moist", "warm temperate moist", OR(I35="tropical dry",I35= "tropical montane"), "tropical dry/montane",OR(I35="tropical moist",I35= "tropical wet"), "tropical moist/wet")</f>
        <v>warm temperate moist</v>
      </c>
      <c r="K35" t="s">
        <v>32</v>
      </c>
      <c r="L35" t="s">
        <v>225</v>
      </c>
      <c r="O35" t="s">
        <v>33</v>
      </c>
      <c r="Q35" t="s">
        <v>25</v>
      </c>
      <c r="S35" s="2">
        <v>184.7</v>
      </c>
      <c r="T35" s="2" t="s">
        <v>34</v>
      </c>
      <c r="U35" s="2">
        <v>87.86</v>
      </c>
      <c r="V35" s="10" t="s">
        <v>115</v>
      </c>
    </row>
    <row r="36" spans="1:22">
      <c r="A36" s="7" t="s">
        <v>120</v>
      </c>
      <c r="B36" s="8">
        <v>46.57</v>
      </c>
      <c r="C36" s="8">
        <v>-116.25</v>
      </c>
      <c r="D36" s="17">
        <v>35</v>
      </c>
      <c r="E36" s="17" t="s">
        <v>121</v>
      </c>
      <c r="F36" s="16" t="s">
        <v>30</v>
      </c>
      <c r="G36" s="17" t="s">
        <v>122</v>
      </c>
      <c r="H36" s="17" t="s">
        <v>71</v>
      </c>
      <c r="I36" s="23" t="s">
        <v>81</v>
      </c>
      <c r="J36" s="23" t="str">
        <f>_xlfn.IFS(OR(I36="boreal moist", I36= "boreal dry", I36 = "polar dry", I36="polar moist"), "boreal", OR(I36="cool temperate dry", I36="cool temperate moist"), "cool temperate", I36="warm temperate dry", "warm temperate dry",I36= "warm temperate moist", "warm temperate moist", OR(I36="tropical dry",I36= "tropical montane"), "tropical dry/montane",OR(I36="tropical moist",I36= "tropical wet"), "tropical moist/wet")</f>
        <v>cool temperate</v>
      </c>
      <c r="K36" t="s">
        <v>38</v>
      </c>
      <c r="O36" t="s">
        <v>39</v>
      </c>
      <c r="P36" t="s">
        <v>73</v>
      </c>
      <c r="Q36" t="s">
        <v>55</v>
      </c>
      <c r="S36" s="2">
        <v>0.12</v>
      </c>
      <c r="T36" s="2" t="s">
        <v>40</v>
      </c>
      <c r="U36" s="2">
        <v>0.04</v>
      </c>
      <c r="V36" s="10" t="s">
        <v>123</v>
      </c>
    </row>
    <row r="37" spans="1:22">
      <c r="A37" s="7" t="s">
        <v>124</v>
      </c>
      <c r="B37" s="8">
        <v>47.9</v>
      </c>
      <c r="C37" s="8">
        <v>-118.7666667</v>
      </c>
      <c r="D37" s="17">
        <v>26</v>
      </c>
      <c r="E37" s="17" t="s">
        <v>125</v>
      </c>
      <c r="F37" s="17" t="s">
        <v>63</v>
      </c>
      <c r="G37" s="17" t="s">
        <v>64</v>
      </c>
      <c r="H37" s="17" t="s">
        <v>126</v>
      </c>
      <c r="I37" s="23" t="s">
        <v>127</v>
      </c>
      <c r="J37" s="23" t="str">
        <f>_xlfn.IFS(OR(I37="boreal moist", I37= "boreal dry", I37 = "polar dry", I37="polar moist"), "boreal", OR(I37="cool temperate dry", I37="cool temperate moist"), "cool temperate", I37="warm temperate dry", "warm temperate dry",I37= "warm temperate moist", "warm temperate moist", OR(I37="tropical dry",I37= "tropical montane"), "tropical dry/montane",OR(I37="tropical moist",I37= "tropical wet"), "tropical moist/wet")</f>
        <v>warm temperate dry</v>
      </c>
      <c r="K37" t="s">
        <v>38</v>
      </c>
      <c r="O37" t="s">
        <v>39</v>
      </c>
      <c r="P37" t="s">
        <v>73</v>
      </c>
      <c r="Q37" t="s">
        <v>55</v>
      </c>
      <c r="S37" s="2">
        <v>0.43</v>
      </c>
      <c r="T37" s="2" t="s">
        <v>40</v>
      </c>
      <c r="U37" s="2">
        <v>0.18</v>
      </c>
      <c r="V37" s="10" t="s">
        <v>123</v>
      </c>
    </row>
    <row r="38" spans="1:22">
      <c r="A38" s="7" t="s">
        <v>128</v>
      </c>
      <c r="B38" s="8">
        <v>37.979999999999997</v>
      </c>
      <c r="C38" s="8">
        <v>-120.5166667</v>
      </c>
      <c r="D38" s="17">
        <v>34</v>
      </c>
      <c r="E38" s="17" t="s">
        <v>129</v>
      </c>
      <c r="F38" s="16" t="s">
        <v>30</v>
      </c>
      <c r="G38" s="17" t="s">
        <v>122</v>
      </c>
      <c r="H38" s="17" t="s">
        <v>31</v>
      </c>
      <c r="I38" s="23" t="s">
        <v>127</v>
      </c>
      <c r="J38" s="23" t="str">
        <f>_xlfn.IFS(OR(I38="boreal moist", I38= "boreal dry", I38 = "polar dry", I38="polar moist"), "boreal", OR(I38="cool temperate dry", I38="cool temperate moist"), "cool temperate", I38="warm temperate dry", "warm temperate dry",I38= "warm temperate moist", "warm temperate moist", OR(I38="tropical dry",I38= "tropical montane"), "tropical dry/montane",OR(I38="tropical moist",I38= "tropical wet"), "tropical moist/wet")</f>
        <v>warm temperate dry</v>
      </c>
      <c r="K38" t="s">
        <v>38</v>
      </c>
      <c r="O38" t="s">
        <v>39</v>
      </c>
      <c r="P38" t="s">
        <v>73</v>
      </c>
      <c r="Q38" t="s">
        <v>55</v>
      </c>
      <c r="S38" s="2">
        <v>0.08</v>
      </c>
      <c r="T38" s="2" t="s">
        <v>40</v>
      </c>
      <c r="U38" s="2">
        <v>0.01</v>
      </c>
      <c r="V38" s="10" t="s">
        <v>123</v>
      </c>
    </row>
    <row r="39" spans="1:22">
      <c r="A39" s="7" t="s">
        <v>132</v>
      </c>
      <c r="B39" s="8">
        <v>45.92</v>
      </c>
      <c r="C39" s="8">
        <v>-119.16666669999999</v>
      </c>
      <c r="D39" s="17">
        <v>26</v>
      </c>
      <c r="E39" s="17" t="s">
        <v>125</v>
      </c>
      <c r="F39" s="17" t="s">
        <v>63</v>
      </c>
      <c r="G39" s="17" t="s">
        <v>64</v>
      </c>
      <c r="H39" s="17" t="s">
        <v>126</v>
      </c>
      <c r="I39" s="23" t="s">
        <v>127</v>
      </c>
      <c r="J39" s="23" t="str">
        <f>_xlfn.IFS(OR(I39="boreal moist", I39= "boreal dry", I39 = "polar dry", I39="polar moist"), "boreal", OR(I39="cool temperate dry", I39="cool temperate moist"), "cool temperate", I39="warm temperate dry", "warm temperate dry",I39= "warm temperate moist", "warm temperate moist", OR(I39="tropical dry",I39= "tropical montane"), "tropical dry/montane",OR(I39="tropical moist",I39= "tropical wet"), "tropical moist/wet")</f>
        <v>warm temperate dry</v>
      </c>
      <c r="K39" t="s">
        <v>38</v>
      </c>
      <c r="O39" t="s">
        <v>39</v>
      </c>
      <c r="P39" t="s">
        <v>73</v>
      </c>
      <c r="Q39" t="s">
        <v>55</v>
      </c>
      <c r="S39" s="2">
        <v>3.89</v>
      </c>
      <c r="T39" s="2" t="s">
        <v>40</v>
      </c>
      <c r="U39" s="2">
        <v>0.57999999999999996</v>
      </c>
      <c r="V39" s="10" t="s">
        <v>123</v>
      </c>
    </row>
    <row r="40" spans="1:22">
      <c r="A40" s="7" t="s">
        <v>130</v>
      </c>
      <c r="B40" s="8">
        <v>39.549999999999997</v>
      </c>
      <c r="C40" s="8">
        <v>-121.4333333</v>
      </c>
      <c r="D40" s="17">
        <v>35</v>
      </c>
      <c r="E40" s="17" t="s">
        <v>121</v>
      </c>
      <c r="F40" s="16" t="s">
        <v>30</v>
      </c>
      <c r="G40" s="17" t="s">
        <v>122</v>
      </c>
      <c r="H40" s="17" t="s">
        <v>71</v>
      </c>
      <c r="I40" s="23" t="s">
        <v>37</v>
      </c>
      <c r="J40" s="23" t="str">
        <f>_xlfn.IFS(OR(I40="boreal moist", I40= "boreal dry", I40 = "polar dry", I40="polar moist"), "boreal", OR(I40="cool temperate dry", I40="cool temperate moist"), "cool temperate", I40="warm temperate dry", "warm temperate dry",I40= "warm temperate moist", "warm temperate moist", OR(I40="tropical dry",I40= "tropical montane"), "tropical dry/montane",OR(I40="tropical moist",I40= "tropical wet"), "tropical moist/wet")</f>
        <v>warm temperate moist</v>
      </c>
      <c r="K40" t="s">
        <v>38</v>
      </c>
      <c r="O40" t="s">
        <v>39</v>
      </c>
      <c r="P40" t="s">
        <v>73</v>
      </c>
      <c r="Q40" t="s">
        <v>55</v>
      </c>
      <c r="S40" s="2">
        <v>7.0000000000000007E-2</v>
      </c>
      <c r="T40" s="2" t="s">
        <v>40</v>
      </c>
      <c r="U40" s="2">
        <v>0.02</v>
      </c>
      <c r="V40" s="10" t="s">
        <v>123</v>
      </c>
    </row>
    <row r="41" spans="1:22">
      <c r="A41" s="7" t="s">
        <v>131</v>
      </c>
      <c r="B41" s="8">
        <v>40.85</v>
      </c>
      <c r="C41" s="8">
        <v>-122.3833333</v>
      </c>
      <c r="D41" s="17">
        <v>34</v>
      </c>
      <c r="E41" s="17" t="s">
        <v>129</v>
      </c>
      <c r="F41" s="16" t="s">
        <v>30</v>
      </c>
      <c r="G41" s="17" t="s">
        <v>122</v>
      </c>
      <c r="H41" s="17" t="s">
        <v>31</v>
      </c>
      <c r="I41" s="23" t="s">
        <v>37</v>
      </c>
      <c r="J41" s="23" t="str">
        <f>_xlfn.IFS(OR(I41="boreal moist", I41= "boreal dry", I41 = "polar dry", I41="polar moist"), "boreal", OR(I41="cool temperate dry", I41="cool temperate moist"), "cool temperate", I41="warm temperate dry", "warm temperate dry",I41= "warm temperate moist", "warm temperate moist", OR(I41="tropical dry",I41= "tropical montane"), "tropical dry/montane",OR(I41="tropical moist",I41= "tropical wet"), "tropical moist/wet")</f>
        <v>warm temperate moist</v>
      </c>
      <c r="K41" t="s">
        <v>38</v>
      </c>
      <c r="O41" t="s">
        <v>39</v>
      </c>
      <c r="P41" t="s">
        <v>73</v>
      </c>
      <c r="Q41" t="s">
        <v>55</v>
      </c>
      <c r="S41" s="2">
        <v>0.65</v>
      </c>
      <c r="T41" s="2" t="s">
        <v>40</v>
      </c>
      <c r="U41" s="2">
        <v>0.09</v>
      </c>
      <c r="V41" s="10" t="s">
        <v>123</v>
      </c>
    </row>
    <row r="42" spans="1:22">
      <c r="A42" s="7" t="s">
        <v>133</v>
      </c>
      <c r="B42" s="8">
        <v>51.5</v>
      </c>
      <c r="C42" s="8">
        <v>-74</v>
      </c>
      <c r="D42" s="17">
        <v>43</v>
      </c>
      <c r="E42" s="17" t="s">
        <v>85</v>
      </c>
      <c r="F42" s="17" t="s">
        <v>86</v>
      </c>
      <c r="G42" s="17" t="s">
        <v>20</v>
      </c>
      <c r="H42" s="17" t="s">
        <v>87</v>
      </c>
      <c r="I42" s="23" t="s">
        <v>134</v>
      </c>
      <c r="J42" s="23" t="str">
        <f>_xlfn.IFS(OR(I42="boreal moist", I42= "boreal dry", I42 = "polar dry", I42="polar moist"), "boreal", OR(I42="cool temperate dry", I42="cool temperate moist"), "cool temperate", I42="warm temperate dry", "warm temperate dry",I42= "warm temperate moist", "warm temperate moist", OR(I42="tropical dry",I42= "tropical montane"), "tropical dry/montane",OR(I42="tropical moist",I42= "tropical wet"), "tropical moist/wet")</f>
        <v>boreal</v>
      </c>
      <c r="K42" t="s">
        <v>38</v>
      </c>
      <c r="O42" t="s">
        <v>39</v>
      </c>
      <c r="P42" t="s">
        <v>73</v>
      </c>
      <c r="Q42" t="s">
        <v>25</v>
      </c>
      <c r="R42">
        <f>'Teodoru et al. 2012'!C2</f>
        <v>7.3</v>
      </c>
      <c r="S42" s="2">
        <v>1.1299999999999999</v>
      </c>
      <c r="T42" s="2" t="s">
        <v>40</v>
      </c>
      <c r="U42" s="2">
        <v>0.19</v>
      </c>
      <c r="V42" s="11" t="s">
        <v>135</v>
      </c>
    </row>
  </sheetData>
  <sortState ref="A2:V42">
    <sortCondition ref="V2:V42"/>
  </sortState>
  <hyperlinks>
    <hyperlink ref="V4" location="'Beaulieu et al. 2014'!A1" display="Beaulieu, J. J., Smolenski, R. L., Nietch, C. T., Townsend-Small, A. &amp; Elovitz, M. S. High methane emissions from a midlatitude reservoir draining an agricultural watershed. Environ. Sci. Technol. 48, 11100–11108 (2014)."/>
    <hyperlink ref="V2" location="'Abril 2005'!A1" display="Abril, G., et al. (2005). &quot;Carbon dioxide and methane emissions and the carbon budget of a 10-year old tropical reservoir (Petit Saut, French Guiana).&quot; Global Biogeochem. Cycles 19(4): GB4007."/>
    <hyperlink ref="V15" location="'Descloux et al. 2017'!A1" display="Descloux, S., et al. (2017). &quot;Methane and nitrous oxide annual emissions from an old eutrophic temperate reservoir.&quot; Science of the Total Environment 598(Supplement C): 959-972."/>
    <hyperlink ref="V3:V7" location="'Bevelheimer et al. 2016'!A1" display="Bevelhimer, M., Stewart, A., Fortner, A., Phillips, J. &amp; Mosher, J. CO2 is dominant greenhouse gas emitted from six hydropower reservoirs in southeastern United States during peak summer emissions. Water 8, 15 (2016)."/>
    <hyperlink ref="V13:V17" location="'Diem et al. 2012'!A1" display="Diem, T., Koch, S., Schwarzenbach, S., Wehrli, B. &amp; Schubert, C. J. Greenhouse gas emissions (CO2, CH4, and N2O) from several perialpine and alpine hydropower reservoirs by diffusion and loss in turbines. Aquat. Sci. 74, 619–635 (2012)."/>
    <hyperlink ref="V23:V27" location="'Maeck et al. 2013'!A1" display="Maeck, A. et al. Sediment trapping by dams creates methane emission hot spots. Environ. Sci. Technol. 47, 8130–8137 (2013).448"/>
    <hyperlink ref="V28:V33" location="'Soumis et al. 2004'!A1" display="Soumis, N., Duchemin, É., Canuel, R. &amp; Lucotte, M. Greenhouse gas emissions from reservoirs of the western United States. Glob. Biogeochem. Cycles 18, GB3022 (2004). 432"/>
    <hyperlink ref="V42" location="'Teodoru et al. 2012'!A1" display="Teodoru, C. R. et al. The net carbon footprint of a newly created boreal hydroelectric reservoir. Glob. Biogeochem. Cycles 26, GB2016 (2012)."/>
    <hyperlink ref="V30" location="'Kumar and Sharma 2016'!A1" display="Kumar, A. and M. P. Sharma (2016). &quot;Assessment of risk of GHG emissions from Tehri hydropower reservoir, India.&quot; Human and Ecological Risk Assessment 22(1): 71-85."/>
    <hyperlink ref="V29" location="'Kemenes et al. 2007'!A1" display="Kemenes, A., Forsberg, B. R. &amp; Melack, J. M. Methane release below a tropical hydroelectric dam. Geophys. Res. Lett. 34, L12809 (2007)."/>
    <hyperlink ref="V13" location="'DelSontro et al. 2011'!A1" display="DelSontro, T. et al. Spatial heterogeneity of methane ebullition in a large tropical reservoir. Environ. Sci. Technol. 45, 9866–9873 (2011)."/>
    <hyperlink ref="V12" location="'Chanudet et al., 2011'!A1" display="Chanudet, V. et al. Gross CO2 and CH4 emissions from the Nam Ngum and Nam Leuk sub-tropical reservoirs in Lao PDR. Sci. Total Environ. 409, 5382–5391 (2011)."/>
    <hyperlink ref="V28" location="'Guerin et al., 2006'!A1" display="Guérin, F., et al. (2006). &quot;Methane and carbon dioxide emissions from tropical reservoirs: Significance of downstream rivers.&quot; Geophysical Research Letters 33(21)."/>
    <hyperlink ref="V11" location="'Chanudet et al., 2011'!A1" display="Chanudet, V. et al. Gross CO2 and CH4 emissions from the Nam Ngum and Nam Leuk sub-tropical reservoirs in Lao PDR. Sci. Total Environ. 409, 5382–5391 (2011)."/>
    <hyperlink ref="V16" location="'Deshmukh et al., 2016 and Serça'!A1" display="Deshmukh, C. et al. Low methane (CH4) emissions downstream of a monomictic subtropical hydroelectric reservoir (Nam Theun 2, Lao PDR). Biogeosciences 13, 1919–1932 (2016) and Serça et al (2016) Nam Theun 2 Reservoir four years after commissioning: signifi"/>
    <hyperlink ref="V36:V42" location="'dos Santos 2017'!A1" display="dos Santos, M. A., et al. (2017). &quot;Estimates of GHG emissions by hydroelectric reservoirs: The Brazilian case.&quot; Energy 133: 99-107."/>
    <hyperlink ref="V3" location="'Bastien and Demarty 2013'!A1" display="Bastien,J. and M. Demarty (2013). &quot;Spatio-temporal variation of gross CO2 and CH4 diffusive emissions from Australian reservoirs and natural aquatic ecosystems, and estimation of net reservoir emissions.&quot; Lakes &amp; Reservoirs: Research &amp; Management."/>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ColWidth="8.88671875" defaultRowHeight="14.4"/>
  <cols>
    <col min="1" max="1" width="11.6640625" customWidth="1"/>
    <col min="2" max="3" width="21.88671875" customWidth="1"/>
    <col min="4" max="4" width="26.6640625" customWidth="1"/>
    <col min="5" max="5" width="26.44140625" customWidth="1"/>
  </cols>
  <sheetData>
    <row r="1" spans="1:6" s="6" customFormat="1" ht="63" customHeight="1">
      <c r="A1" s="6" t="s">
        <v>138</v>
      </c>
      <c r="B1" s="6" t="s">
        <v>16</v>
      </c>
      <c r="C1" s="6" t="s">
        <v>142</v>
      </c>
      <c r="D1" s="6" t="s">
        <v>157</v>
      </c>
      <c r="E1" s="6" t="s">
        <v>158</v>
      </c>
      <c r="F1" s="6" t="s">
        <v>15</v>
      </c>
    </row>
    <row r="2" spans="1:6">
      <c r="A2" t="s">
        <v>108</v>
      </c>
      <c r="B2" t="s">
        <v>159</v>
      </c>
      <c r="C2">
        <v>2005</v>
      </c>
      <c r="D2">
        <v>34</v>
      </c>
      <c r="E2">
        <v>39</v>
      </c>
      <c r="F2">
        <f>E2/D2</f>
        <v>1.1470588235294117</v>
      </c>
    </row>
    <row r="3" spans="1:6" ht="15" thickBot="1">
      <c r="A3" t="s">
        <v>108</v>
      </c>
      <c r="B3" t="s">
        <v>160</v>
      </c>
      <c r="C3" t="s">
        <v>161</v>
      </c>
      <c r="D3" s="18">
        <v>11.01</v>
      </c>
      <c r="E3" s="36">
        <v>65.36</v>
      </c>
      <c r="F3" s="37">
        <f>E3/D3</f>
        <v>5.936421435059037</v>
      </c>
    </row>
    <row r="4" spans="1:6">
      <c r="E4" s="3" t="s">
        <v>150</v>
      </c>
      <c r="F4" s="35">
        <f>AVERAGE(F2:F3)</f>
        <v>3.5417401292942241</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2" sqref="C2"/>
    </sheetView>
  </sheetViews>
  <sheetFormatPr defaultColWidth="8.88671875" defaultRowHeight="14.4"/>
  <cols>
    <col min="1" max="1" width="16.44140625" customWidth="1"/>
    <col min="2" max="2" width="31" customWidth="1"/>
    <col min="3" max="3" width="47" customWidth="1"/>
  </cols>
  <sheetData>
    <row r="1" spans="1:3">
      <c r="A1" t="s">
        <v>138</v>
      </c>
      <c r="B1" t="s">
        <v>162</v>
      </c>
      <c r="C1" t="s">
        <v>163</v>
      </c>
    </row>
    <row r="2" spans="1:3">
      <c r="A2" t="s">
        <v>164</v>
      </c>
      <c r="B2">
        <v>0.26</v>
      </c>
      <c r="C2">
        <v>0.24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F19" sqref="F19"/>
    </sheetView>
  </sheetViews>
  <sheetFormatPr defaultColWidth="8.88671875" defaultRowHeight="14.4"/>
  <cols>
    <col min="1" max="1" width="20.44140625" customWidth="1"/>
  </cols>
  <sheetData>
    <row r="1" spans="1:1">
      <c r="A1" t="s">
        <v>138</v>
      </c>
    </row>
    <row r="2" spans="1:1">
      <c r="A2" t="s">
        <v>165</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
  <sheetViews>
    <sheetView workbookViewId="0">
      <selection activeCell="F2" sqref="F2"/>
    </sheetView>
  </sheetViews>
  <sheetFormatPr defaultColWidth="8.88671875" defaultRowHeight="14.4"/>
  <cols>
    <col min="2" max="2" width="28.6640625" customWidth="1"/>
    <col min="3" max="3" width="29.21875" customWidth="1"/>
    <col min="4" max="4" width="28.109375" customWidth="1"/>
    <col min="6" max="6" width="24.5546875" customWidth="1"/>
  </cols>
  <sheetData>
    <row r="1" spans="1:6">
      <c r="A1" t="s">
        <v>138</v>
      </c>
      <c r="B1" t="s">
        <v>166</v>
      </c>
      <c r="C1" t="s">
        <v>167</v>
      </c>
      <c r="D1" t="s">
        <v>168</v>
      </c>
      <c r="E1" t="s">
        <v>15</v>
      </c>
      <c r="F1" t="s">
        <v>221</v>
      </c>
    </row>
    <row r="2" spans="1:6">
      <c r="A2" t="s">
        <v>110</v>
      </c>
      <c r="B2">
        <v>23.11</v>
      </c>
      <c r="C2">
        <v>4.79</v>
      </c>
      <c r="D2">
        <v>7.41</v>
      </c>
      <c r="E2">
        <f>D2/(C2+B2)</f>
        <v>0.2655913978494624</v>
      </c>
      <c r="F2">
        <v>52</v>
      </c>
    </row>
  </sheetData>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4" sqref="E4"/>
    </sheetView>
  </sheetViews>
  <sheetFormatPr defaultColWidth="8.88671875" defaultRowHeight="14.4"/>
  <cols>
    <col min="3" max="3" width="22.88671875" customWidth="1"/>
    <col min="4" max="4" width="23" customWidth="1"/>
    <col min="5" max="5" width="23.77734375" customWidth="1"/>
  </cols>
  <sheetData>
    <row r="1" spans="1:6">
      <c r="A1" t="s">
        <v>138</v>
      </c>
      <c r="B1" t="s">
        <v>142</v>
      </c>
      <c r="C1" t="s">
        <v>169</v>
      </c>
      <c r="D1" t="s">
        <v>170</v>
      </c>
      <c r="E1" t="s">
        <v>171</v>
      </c>
      <c r="F1" t="s">
        <v>15</v>
      </c>
    </row>
    <row r="2" spans="1:6">
      <c r="A2" t="s">
        <v>172</v>
      </c>
      <c r="B2">
        <v>2006</v>
      </c>
      <c r="C2">
        <v>7.3</v>
      </c>
      <c r="E2">
        <v>1.2</v>
      </c>
      <c r="F2">
        <f>E2/(C2+D2)</f>
        <v>0.16438356164383561</v>
      </c>
    </row>
    <row r="3" spans="1:6">
      <c r="A3" t="s">
        <v>172</v>
      </c>
      <c r="B3">
        <v>2007</v>
      </c>
      <c r="C3">
        <v>6.2</v>
      </c>
      <c r="E3">
        <v>1.8</v>
      </c>
      <c r="F3">
        <f>E3/(C3+D3)</f>
        <v>0.29032258064516131</v>
      </c>
    </row>
    <row r="4" spans="1:6">
      <c r="A4" t="s">
        <v>172</v>
      </c>
      <c r="B4">
        <v>2008</v>
      </c>
      <c r="C4">
        <v>6.9</v>
      </c>
      <c r="D4">
        <v>1.7</v>
      </c>
      <c r="E4">
        <v>1.8</v>
      </c>
      <c r="F4">
        <f>E4/(C4+D4)</f>
        <v>0.20930232558139536</v>
      </c>
    </row>
    <row r="5" spans="1:6">
      <c r="A5" t="s">
        <v>172</v>
      </c>
      <c r="B5">
        <v>2009</v>
      </c>
      <c r="C5">
        <v>10.5</v>
      </c>
      <c r="E5">
        <v>1.2</v>
      </c>
      <c r="F5" s="12">
        <f>E5/(C5+D5)</f>
        <v>0.11428571428571428</v>
      </c>
    </row>
    <row r="6" spans="1:6">
      <c r="E6" s="3" t="s">
        <v>150</v>
      </c>
      <c r="F6">
        <f>AVERAGE(F2:F5)</f>
        <v>0.19457354553902664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F6" sqref="F6"/>
    </sheetView>
  </sheetViews>
  <sheetFormatPr defaultColWidth="8.88671875" defaultRowHeight="14.4"/>
  <cols>
    <col min="2" max="2" width="21.109375" customWidth="1"/>
    <col min="3" max="3" width="18.44140625" customWidth="1"/>
    <col min="4" max="4" width="14.5546875" customWidth="1"/>
  </cols>
  <sheetData>
    <row r="1" spans="1:4">
      <c r="A1" t="s">
        <v>138</v>
      </c>
      <c r="B1" t="s">
        <v>173</v>
      </c>
      <c r="C1" t="s">
        <v>174</v>
      </c>
      <c r="D1" t="s">
        <v>15</v>
      </c>
    </row>
    <row r="2" spans="1:4">
      <c r="A2" t="s">
        <v>124</v>
      </c>
      <c r="B2">
        <v>0.97899999999999998</v>
      </c>
      <c r="C2">
        <v>0.17599999999999999</v>
      </c>
      <c r="D2">
        <f t="shared" ref="D2:D7" si="0">C2/B2</f>
        <v>0.1797752808988764</v>
      </c>
    </row>
    <row r="3" spans="1:4">
      <c r="A3" t="s">
        <v>120</v>
      </c>
      <c r="B3">
        <v>0.16300000000000001</v>
      </c>
      <c r="C3">
        <v>6.0000000000000001E-3</v>
      </c>
      <c r="D3">
        <f t="shared" si="0"/>
        <v>3.6809815950920248E-2</v>
      </c>
    </row>
    <row r="4" spans="1:4">
      <c r="A4" t="s">
        <v>132</v>
      </c>
      <c r="B4">
        <v>1.413</v>
      </c>
      <c r="C4">
        <v>0.81499999999999995</v>
      </c>
      <c r="D4">
        <f t="shared" si="0"/>
        <v>0.57678697806086332</v>
      </c>
    </row>
    <row r="5" spans="1:4">
      <c r="A5" t="s">
        <v>131</v>
      </c>
      <c r="B5">
        <v>0.73199999999999998</v>
      </c>
      <c r="C5">
        <v>6.7000000000000004E-2</v>
      </c>
      <c r="D5">
        <f t="shared" si="0"/>
        <v>9.1530054644808748E-2</v>
      </c>
    </row>
    <row r="6" spans="1:4">
      <c r="A6" t="s">
        <v>130</v>
      </c>
      <c r="B6">
        <v>0.14299999999999999</v>
      </c>
      <c r="C6">
        <v>3.0000000000000001E-3</v>
      </c>
      <c r="D6">
        <f t="shared" si="0"/>
        <v>2.097902097902098E-2</v>
      </c>
    </row>
    <row r="7" spans="1:4">
      <c r="A7" t="s">
        <v>128</v>
      </c>
      <c r="B7">
        <v>0.27</v>
      </c>
      <c r="C7">
        <v>4.0000000000000001E-3</v>
      </c>
      <c r="D7">
        <f t="shared" si="0"/>
        <v>1.4814814814814814E-2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A6" sqref="A6"/>
    </sheetView>
  </sheetViews>
  <sheetFormatPr defaultColWidth="8.88671875" defaultRowHeight="14.4"/>
  <cols>
    <col min="2" max="2" width="35.33203125" customWidth="1"/>
    <col min="3" max="3" width="24" customWidth="1"/>
    <col min="4" max="4" width="25.33203125" customWidth="1"/>
  </cols>
  <sheetData>
    <row r="1" spans="1:5">
      <c r="A1" t="s">
        <v>138</v>
      </c>
      <c r="B1" t="s">
        <v>175</v>
      </c>
      <c r="C1" t="s">
        <v>176</v>
      </c>
      <c r="D1" t="s">
        <v>177</v>
      </c>
      <c r="E1" t="s">
        <v>15</v>
      </c>
    </row>
    <row r="2" spans="1:5">
      <c r="A2" t="s">
        <v>119</v>
      </c>
      <c r="B2">
        <v>136</v>
      </c>
      <c r="C2">
        <v>10431</v>
      </c>
      <c r="D2">
        <v>4037</v>
      </c>
      <c r="E2">
        <f>D2/(C2+B2)</f>
        <v>0.38203842150089901</v>
      </c>
    </row>
    <row r="3" spans="1:5">
      <c r="A3" t="s">
        <v>116</v>
      </c>
      <c r="B3">
        <v>88</v>
      </c>
      <c r="C3">
        <v>878</v>
      </c>
      <c r="D3">
        <v>1355</v>
      </c>
      <c r="E3">
        <f>D3/(C3+B3)</f>
        <v>1.4026915113871636</v>
      </c>
    </row>
    <row r="4" spans="1:5">
      <c r="A4" t="s">
        <v>117</v>
      </c>
      <c r="B4">
        <v>29</v>
      </c>
      <c r="C4">
        <v>357</v>
      </c>
      <c r="D4">
        <v>401</v>
      </c>
      <c r="E4">
        <f>D4/(C4+B4)</f>
        <v>1.0388601036269429</v>
      </c>
    </row>
    <row r="5" spans="1:5">
      <c r="A5" t="s">
        <v>114</v>
      </c>
      <c r="B5">
        <v>15</v>
      </c>
      <c r="C5">
        <v>966</v>
      </c>
      <c r="D5">
        <v>1135</v>
      </c>
      <c r="E5">
        <f>D5/(C5+B5)</f>
        <v>1.1569826707441386</v>
      </c>
    </row>
    <row r="6" spans="1:5">
      <c r="A6" t="s">
        <v>118</v>
      </c>
      <c r="B6">
        <v>7</v>
      </c>
      <c r="C6">
        <v>0</v>
      </c>
      <c r="D6">
        <v>615</v>
      </c>
      <c r="E6">
        <f>D6/(C6+B6)</f>
        <v>87.857142857142861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6"/>
  <sheetViews>
    <sheetView workbookViewId="0">
      <selection activeCell="B11" sqref="B11"/>
    </sheetView>
  </sheetViews>
  <sheetFormatPr defaultColWidth="8.88671875" defaultRowHeight="14.4"/>
  <cols>
    <col min="2" max="2" width="27" customWidth="1"/>
  </cols>
  <sheetData>
    <row r="1" spans="1:2">
      <c r="A1" t="s">
        <v>138</v>
      </c>
      <c r="B1" t="s">
        <v>15</v>
      </c>
    </row>
    <row r="2" spans="1:2">
      <c r="A2" t="s">
        <v>178</v>
      </c>
      <c r="B2">
        <f>0.44/(1-0.44)</f>
        <v>0.7857142857142857</v>
      </c>
    </row>
    <row r="3" spans="1:2">
      <c r="A3" t="s">
        <v>179</v>
      </c>
      <c r="B3">
        <f>0.44/(1-0.44)</f>
        <v>0.7857142857142857</v>
      </c>
    </row>
    <row r="4" spans="1:2">
      <c r="A4" t="s">
        <v>180</v>
      </c>
      <c r="B4">
        <f>0.14/(1-0.14)</f>
        <v>0.16279069767441862</v>
      </c>
    </row>
    <row r="6" spans="1:2">
      <c r="A6" t="s">
        <v>80</v>
      </c>
      <c r="B6">
        <v>0</v>
      </c>
    </row>
  </sheetData>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D6" sqref="D6"/>
    </sheetView>
  </sheetViews>
  <sheetFormatPr defaultColWidth="8.88671875" defaultRowHeight="14.4"/>
  <cols>
    <col min="1" max="1" width="16.44140625" customWidth="1"/>
    <col min="2" max="2" width="15.6640625" customWidth="1"/>
    <col min="3" max="3" width="15.88671875" customWidth="1"/>
    <col min="4" max="4" width="16.6640625" customWidth="1"/>
  </cols>
  <sheetData>
    <row r="1" spans="1:5">
      <c r="A1" t="s">
        <v>138</v>
      </c>
      <c r="B1" t="s">
        <v>181</v>
      </c>
      <c r="C1" t="s">
        <v>182</v>
      </c>
      <c r="D1" t="s">
        <v>183</v>
      </c>
      <c r="E1" t="s">
        <v>15</v>
      </c>
    </row>
    <row r="2" spans="1:5">
      <c r="A2" t="s">
        <v>42</v>
      </c>
      <c r="B2">
        <v>678</v>
      </c>
      <c r="C2">
        <v>767</v>
      </c>
      <c r="D2">
        <v>7708</v>
      </c>
      <c r="E2">
        <f t="shared" ref="E2:E7" si="0">D2/(C2+B2)</f>
        <v>5.3342560553633218</v>
      </c>
    </row>
    <row r="3" spans="1:5">
      <c r="A3" t="s">
        <v>45</v>
      </c>
      <c r="B3">
        <v>874</v>
      </c>
      <c r="C3">
        <v>0</v>
      </c>
      <c r="D3">
        <v>3704</v>
      </c>
      <c r="E3">
        <f t="shared" si="0"/>
        <v>4.2379862700228834</v>
      </c>
    </row>
    <row r="4" spans="1:5">
      <c r="A4" t="s">
        <v>46</v>
      </c>
      <c r="B4">
        <v>251</v>
      </c>
      <c r="C4">
        <v>0</v>
      </c>
      <c r="D4">
        <v>0</v>
      </c>
      <c r="E4">
        <f t="shared" si="0"/>
        <v>0</v>
      </c>
    </row>
    <row r="5" spans="1:5">
      <c r="A5" t="s">
        <v>47</v>
      </c>
      <c r="B5">
        <v>1495</v>
      </c>
      <c r="C5">
        <v>3834</v>
      </c>
      <c r="D5">
        <v>446</v>
      </c>
      <c r="E5">
        <f t="shared" si="0"/>
        <v>8.3693000562957406E-2</v>
      </c>
    </row>
    <row r="6" spans="1:5">
      <c r="A6" t="s">
        <v>48</v>
      </c>
      <c r="B6">
        <v>5151</v>
      </c>
      <c r="C6">
        <v>47</v>
      </c>
      <c r="D6">
        <v>0</v>
      </c>
      <c r="E6">
        <f t="shared" si="0"/>
        <v>0</v>
      </c>
    </row>
    <row r="7" spans="1:5">
      <c r="A7" t="s">
        <v>49</v>
      </c>
      <c r="B7">
        <v>1156</v>
      </c>
      <c r="C7">
        <v>170</v>
      </c>
      <c r="D7">
        <v>0</v>
      </c>
      <c r="E7">
        <f t="shared" si="0"/>
        <v>0</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ColWidth="8.88671875" defaultRowHeight="14.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9"/>
  <sheetViews>
    <sheetView workbookViewId="0">
      <selection activeCell="B10" sqref="B10"/>
    </sheetView>
  </sheetViews>
  <sheetFormatPr defaultRowHeight="14.4"/>
  <cols>
    <col min="1" max="1" width="25.5546875" customWidth="1"/>
  </cols>
  <sheetData>
    <row r="1" spans="1:3">
      <c r="A1" t="s">
        <v>136</v>
      </c>
      <c r="B1" t="s">
        <v>15</v>
      </c>
      <c r="C1" t="s">
        <v>137</v>
      </c>
    </row>
    <row r="2" spans="1:3">
      <c r="A2" t="s">
        <v>134</v>
      </c>
      <c r="B2" s="2">
        <v>0.19</v>
      </c>
      <c r="C2">
        <v>1</v>
      </c>
    </row>
    <row r="3" spans="1:3">
      <c r="A3" t="s">
        <v>81</v>
      </c>
      <c r="B3" s="2">
        <v>0.308571428571429</v>
      </c>
      <c r="C3">
        <v>7</v>
      </c>
    </row>
    <row r="4" spans="1:3">
      <c r="A4" t="s">
        <v>66</v>
      </c>
      <c r="B4" s="2">
        <v>1.05067985166873E-2</v>
      </c>
      <c r="C4">
        <v>1</v>
      </c>
    </row>
    <row r="5" spans="1:3">
      <c r="A5" t="s">
        <v>53</v>
      </c>
      <c r="B5" s="2">
        <v>0.16666666666666699</v>
      </c>
      <c r="C5">
        <v>2</v>
      </c>
    </row>
    <row r="6" spans="1:3">
      <c r="A6" t="s">
        <v>111</v>
      </c>
      <c r="B6" s="2">
        <v>0.27</v>
      </c>
      <c r="C6">
        <v>1</v>
      </c>
    </row>
    <row r="7" spans="1:3">
      <c r="A7" t="s">
        <v>21</v>
      </c>
      <c r="B7" s="2">
        <v>1.01915789473684</v>
      </c>
      <c r="C7">
        <v>5</v>
      </c>
    </row>
    <row r="8" spans="1:3">
      <c r="A8" t="s">
        <v>127</v>
      </c>
      <c r="B8" s="2">
        <v>0.25666666666666699</v>
      </c>
      <c r="C8">
        <v>3</v>
      </c>
    </row>
    <row r="9" spans="1:3">
      <c r="A9" t="s">
        <v>37</v>
      </c>
      <c r="B9" s="2">
        <v>1.04130769230769</v>
      </c>
      <c r="C9">
        <v>13</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68"/>
  <sheetViews>
    <sheetView topLeftCell="E37" workbookViewId="0">
      <selection activeCell="M57" sqref="M57"/>
    </sheetView>
  </sheetViews>
  <sheetFormatPr defaultRowHeight="14.4"/>
  <cols>
    <col min="2" max="2" width="27" customWidth="1"/>
    <col min="4" max="4" width="22.109375" customWidth="1"/>
    <col min="5" max="5" width="16.6640625" customWidth="1"/>
    <col min="6" max="6" width="22.6640625" customWidth="1"/>
    <col min="7" max="7" width="15.6640625" customWidth="1"/>
    <col min="8" max="8" width="21.44140625" customWidth="1"/>
    <col min="9" max="9" width="11.33203125" customWidth="1"/>
    <col min="10" max="10" width="13.6640625" bestFit="1" customWidth="1"/>
    <col min="11" max="11" width="12.6640625" customWidth="1"/>
    <col min="12" max="12" width="17.6640625" customWidth="1"/>
    <col min="13" max="13" width="29" customWidth="1"/>
  </cols>
  <sheetData>
    <row r="3" spans="2:14">
      <c r="B3" s="24" t="s">
        <v>184</v>
      </c>
      <c r="C3" s="24" t="s">
        <v>185</v>
      </c>
      <c r="D3" s="24" t="s">
        <v>186</v>
      </c>
      <c r="E3" s="24"/>
      <c r="F3" s="24" t="s">
        <v>187</v>
      </c>
      <c r="G3" s="24"/>
      <c r="H3" s="24" t="s">
        <v>188</v>
      </c>
      <c r="I3" s="24"/>
      <c r="J3" s="24" t="s">
        <v>189</v>
      </c>
      <c r="K3" s="24"/>
    </row>
    <row r="4" spans="2:14">
      <c r="B4" s="24"/>
      <c r="C4" s="24"/>
      <c r="D4" s="24" t="s">
        <v>190</v>
      </c>
      <c r="E4" s="24" t="s">
        <v>191</v>
      </c>
      <c r="F4" s="24" t="s">
        <v>190</v>
      </c>
      <c r="G4" s="24" t="s">
        <v>192</v>
      </c>
      <c r="H4" s="24" t="s">
        <v>190</v>
      </c>
      <c r="I4" s="24" t="s">
        <v>193</v>
      </c>
      <c r="J4" s="24" t="s">
        <v>190</v>
      </c>
      <c r="K4" s="24" t="s">
        <v>194</v>
      </c>
      <c r="L4" s="25" t="s">
        <v>195</v>
      </c>
      <c r="M4" s="26" t="s">
        <v>196</v>
      </c>
      <c r="N4" s="25" t="s">
        <v>15</v>
      </c>
    </row>
    <row r="5" spans="2:14">
      <c r="B5" s="24"/>
      <c r="C5" s="24"/>
      <c r="D5" s="24" t="s">
        <v>197</v>
      </c>
      <c r="E5" s="24" t="s">
        <v>197</v>
      </c>
      <c r="F5" s="24" t="s">
        <v>197</v>
      </c>
      <c r="G5" s="24" t="s">
        <v>197</v>
      </c>
      <c r="H5" s="24" t="s">
        <v>197</v>
      </c>
      <c r="I5" s="24" t="s">
        <v>197</v>
      </c>
      <c r="J5" s="24" t="s">
        <v>197</v>
      </c>
      <c r="K5" s="24" t="s">
        <v>197</v>
      </c>
      <c r="L5" s="26" t="s">
        <v>197</v>
      </c>
      <c r="M5" s="26"/>
      <c r="N5" s="33"/>
    </row>
    <row r="6" spans="2:14">
      <c r="B6" s="24"/>
      <c r="C6" s="24" t="s">
        <v>198</v>
      </c>
      <c r="D6" s="27">
        <v>6.0248451250000001E-2</v>
      </c>
      <c r="E6" s="27">
        <v>0.27859189422014774</v>
      </c>
      <c r="F6" s="27">
        <v>0.20062622500000002</v>
      </c>
      <c r="G6" s="27">
        <v>1.5825551871379556E-2</v>
      </c>
      <c r="H6" s="28">
        <v>1.0683749999999999E-3</v>
      </c>
      <c r="I6" s="27">
        <v>2.4405410261513993E-3</v>
      </c>
      <c r="J6" s="27">
        <v>2.3473333333333336E-2</v>
      </c>
      <c r="K6" s="27">
        <v>5.4521958799490433E-3</v>
      </c>
      <c r="L6" s="29">
        <f>D6+F6+H6+J6</f>
        <v>0.2854163845833334</v>
      </c>
      <c r="M6" s="30">
        <f>J6/L6</f>
        <v>8.2242417048345007E-2</v>
      </c>
      <c r="N6" s="33">
        <f>(J6+H6)/(F6+D6)</f>
        <v>9.4074705472043038E-2</v>
      </c>
    </row>
    <row r="7" spans="2:14">
      <c r="B7" s="24"/>
      <c r="C7" s="24" t="s">
        <v>199</v>
      </c>
      <c r="D7" s="28">
        <v>1.2357925000000001E-3</v>
      </c>
      <c r="E7" s="28">
        <v>1.2312258426564154E-3</v>
      </c>
      <c r="F7" s="27">
        <v>40.14275825</v>
      </c>
      <c r="G7" s="27">
        <v>25.315644466833916</v>
      </c>
      <c r="H7" s="27">
        <v>1.073466625</v>
      </c>
      <c r="I7" s="27">
        <v>0.16659826147989959</v>
      </c>
      <c r="J7" s="27">
        <v>77.432666666666663</v>
      </c>
      <c r="K7" s="27">
        <v>26.587213528334448</v>
      </c>
      <c r="L7" s="29">
        <f>D7+F7+H7+J7</f>
        <v>118.65012733416665</v>
      </c>
      <c r="M7" s="30">
        <f>J7/L7</f>
        <v>0.65261343081904177</v>
      </c>
      <c r="N7" s="33"/>
    </row>
    <row r="8" spans="2:14">
      <c r="B8" s="24"/>
      <c r="C8" s="24" t="s">
        <v>200</v>
      </c>
      <c r="D8" s="27"/>
      <c r="E8" s="27"/>
      <c r="F8" s="27">
        <v>6.6392547499999996E-2</v>
      </c>
      <c r="G8" s="27">
        <v>5.0049187834956422E-3</v>
      </c>
      <c r="H8" s="31">
        <v>2.2137499999999997E-4</v>
      </c>
      <c r="I8" s="31">
        <v>5.2457473088326505E-5</v>
      </c>
      <c r="J8" s="27"/>
      <c r="K8" s="27"/>
      <c r="L8" s="29">
        <f>D8+F8+H8+J8</f>
        <v>6.6613922499999992E-2</v>
      </c>
      <c r="M8" s="30"/>
      <c r="N8" s="33"/>
    </row>
    <row r="11" spans="2:14">
      <c r="B11" s="22" t="s">
        <v>201</v>
      </c>
      <c r="C11" s="24" t="s">
        <v>185</v>
      </c>
      <c r="D11" s="24" t="s">
        <v>186</v>
      </c>
      <c r="E11" s="24"/>
      <c r="F11" s="24" t="s">
        <v>187</v>
      </c>
      <c r="G11" s="24"/>
      <c r="H11" s="24" t="s">
        <v>188</v>
      </c>
      <c r="I11" s="24"/>
      <c r="J11" s="24" t="s">
        <v>189</v>
      </c>
      <c r="K11" s="24"/>
    </row>
    <row r="12" spans="2:14">
      <c r="B12" s="22"/>
      <c r="C12" s="24"/>
      <c r="D12" s="24" t="s">
        <v>190</v>
      </c>
      <c r="E12" s="24" t="s">
        <v>191</v>
      </c>
      <c r="F12" s="24" t="s">
        <v>190</v>
      </c>
      <c r="G12" s="24" t="s">
        <v>192</v>
      </c>
      <c r="H12" s="24" t="s">
        <v>190</v>
      </c>
      <c r="I12" s="24" t="s">
        <v>193</v>
      </c>
      <c r="J12" s="24" t="s">
        <v>190</v>
      </c>
      <c r="K12" s="24" t="s">
        <v>194</v>
      </c>
      <c r="L12" s="25" t="s">
        <v>195</v>
      </c>
      <c r="M12" s="26" t="s">
        <v>196</v>
      </c>
      <c r="N12" s="25" t="s">
        <v>15</v>
      </c>
    </row>
    <row r="13" spans="2:14">
      <c r="B13" s="22"/>
      <c r="C13" s="22"/>
      <c r="D13" s="24" t="s">
        <v>197</v>
      </c>
      <c r="E13" s="24" t="s">
        <v>197</v>
      </c>
      <c r="F13" s="24" t="s">
        <v>197</v>
      </c>
      <c r="G13" s="24" t="s">
        <v>197</v>
      </c>
      <c r="H13" s="24" t="s">
        <v>197</v>
      </c>
      <c r="I13" s="24" t="s">
        <v>197</v>
      </c>
      <c r="J13" s="24" t="s">
        <v>197</v>
      </c>
      <c r="K13" s="24" t="s">
        <v>197</v>
      </c>
      <c r="L13" s="26" t="s">
        <v>197</v>
      </c>
      <c r="M13" s="26" t="s">
        <v>202</v>
      </c>
      <c r="N13" s="33"/>
    </row>
    <row r="14" spans="2:14">
      <c r="B14" s="22"/>
      <c r="C14" s="22" t="s">
        <v>198</v>
      </c>
      <c r="D14" s="9">
        <v>0.27465951350000001</v>
      </c>
      <c r="E14" s="9">
        <v>6.2931750402010211E-2</v>
      </c>
      <c r="F14" s="9">
        <v>6.5393824199999999</v>
      </c>
      <c r="G14" s="9">
        <v>0.59366479389589055</v>
      </c>
      <c r="H14" s="9">
        <v>4.6446997500000003E-2</v>
      </c>
      <c r="I14" s="9">
        <v>5.1147062648430747E-3</v>
      </c>
      <c r="J14" s="9">
        <v>9.774999999999999E-3</v>
      </c>
      <c r="K14" s="9">
        <v>3.4441129040933432E-3</v>
      </c>
      <c r="L14" s="29">
        <f>D14+F14+H14+J14</f>
        <v>6.8702639310000002</v>
      </c>
      <c r="M14" s="30">
        <f>J14/L14</f>
        <v>1.4227983230590676E-3</v>
      </c>
      <c r="N14" s="33">
        <f>(J14+H14)/(F14+D14)</f>
        <v>8.25090277528155E-3</v>
      </c>
    </row>
    <row r="15" spans="2:14">
      <c r="B15" s="22"/>
      <c r="C15" s="22" t="s">
        <v>199</v>
      </c>
      <c r="D15" s="9">
        <v>4.8808557500000002E-2</v>
      </c>
      <c r="E15" s="9">
        <v>7.5361015668895005E-3</v>
      </c>
      <c r="F15" s="9">
        <v>601.1583169999999</v>
      </c>
      <c r="G15" s="9">
        <v>249.1048447163399</v>
      </c>
      <c r="H15" s="9">
        <v>57.932055000000005</v>
      </c>
      <c r="I15" s="9">
        <v>7.3177108304283758</v>
      </c>
      <c r="J15" s="9">
        <v>85.243750000000006</v>
      </c>
      <c r="K15" s="9">
        <v>14.387988671783027</v>
      </c>
      <c r="L15" s="29">
        <f>D15+F15+H15+J15</f>
        <v>744.38293055749989</v>
      </c>
      <c r="M15" s="30">
        <f>J15/L15</f>
        <v>0.11451599237526491</v>
      </c>
      <c r="N15" s="33"/>
    </row>
    <row r="16" spans="2:14">
      <c r="B16" s="22"/>
      <c r="C16" s="22" t="s">
        <v>200</v>
      </c>
      <c r="D16" s="9"/>
      <c r="E16" s="9"/>
      <c r="F16" s="9">
        <v>0.35533888749999998</v>
      </c>
      <c r="G16" s="9">
        <v>4.4793494891303763E-2</v>
      </c>
      <c r="H16" s="9">
        <v>7.0423400000000011E-3</v>
      </c>
      <c r="I16" s="32">
        <v>1.3979163347110585E-3</v>
      </c>
      <c r="J16" s="9"/>
      <c r="K16" s="9"/>
      <c r="L16" s="29">
        <f>D16+F16+H16+J16</f>
        <v>0.36238122749999996</v>
      </c>
      <c r="M16" s="33"/>
      <c r="N16" s="33"/>
    </row>
    <row r="17" spans="2:14">
      <c r="L17" s="22"/>
    </row>
    <row r="18" spans="2:14">
      <c r="L18" s="22"/>
    </row>
    <row r="19" spans="2:14">
      <c r="L19" s="22"/>
    </row>
    <row r="20" spans="2:14">
      <c r="B20" t="s">
        <v>203</v>
      </c>
      <c r="C20" s="24" t="s">
        <v>185</v>
      </c>
      <c r="D20" s="24" t="s">
        <v>186</v>
      </c>
      <c r="E20" s="24"/>
      <c r="F20" s="24" t="s">
        <v>187</v>
      </c>
      <c r="G20" s="24"/>
      <c r="H20" s="24" t="s">
        <v>188</v>
      </c>
      <c r="I20" s="24"/>
      <c r="J20" s="24" t="s">
        <v>189</v>
      </c>
      <c r="K20" s="24"/>
      <c r="L20" s="22"/>
    </row>
    <row r="21" spans="2:14">
      <c r="C21" s="24"/>
      <c r="D21" s="24" t="s">
        <v>190</v>
      </c>
      <c r="E21" s="24" t="s">
        <v>191</v>
      </c>
      <c r="F21" s="24" t="s">
        <v>190</v>
      </c>
      <c r="G21" s="24" t="s">
        <v>192</v>
      </c>
      <c r="H21" s="24" t="s">
        <v>190</v>
      </c>
      <c r="I21" s="24" t="s">
        <v>193</v>
      </c>
      <c r="J21" s="24" t="s">
        <v>190</v>
      </c>
      <c r="K21" s="24" t="s">
        <v>194</v>
      </c>
      <c r="L21" s="25" t="s">
        <v>195</v>
      </c>
      <c r="M21" s="26" t="s">
        <v>196</v>
      </c>
      <c r="N21" s="25" t="s">
        <v>15</v>
      </c>
    </row>
    <row r="22" spans="2:14">
      <c r="C22" s="22"/>
      <c r="D22" s="24" t="s">
        <v>197</v>
      </c>
      <c r="E22" s="24" t="s">
        <v>197</v>
      </c>
      <c r="F22" s="24" t="s">
        <v>197</v>
      </c>
      <c r="G22" s="24" t="s">
        <v>197</v>
      </c>
      <c r="H22" s="24" t="s">
        <v>197</v>
      </c>
      <c r="I22" s="24" t="s">
        <v>197</v>
      </c>
      <c r="J22" s="24" t="s">
        <v>197</v>
      </c>
      <c r="K22" s="24" t="s">
        <v>197</v>
      </c>
      <c r="L22" s="26" t="s">
        <v>197</v>
      </c>
      <c r="M22" s="26" t="s">
        <v>202</v>
      </c>
      <c r="N22" s="33"/>
    </row>
    <row r="23" spans="2:14">
      <c r="C23" s="22" t="s">
        <v>198</v>
      </c>
      <c r="D23" s="9">
        <v>5.6797852332500005</v>
      </c>
      <c r="E23" s="9">
        <v>3.2437732339997427</v>
      </c>
      <c r="F23" s="9">
        <v>9.5880709</v>
      </c>
      <c r="G23" s="9">
        <v>0.61351820950393443</v>
      </c>
      <c r="H23" s="9">
        <v>3.5490085000000002</v>
      </c>
      <c r="I23" s="9">
        <v>1.0934974640364643</v>
      </c>
      <c r="J23" s="9">
        <v>9.7312499999999993</v>
      </c>
      <c r="K23" s="9">
        <v>1.8485484170018376</v>
      </c>
      <c r="L23" s="29">
        <f>D23+F23+H23+J23</f>
        <v>28.548114633249998</v>
      </c>
      <c r="M23" s="30">
        <f>J23/L23</f>
        <v>0.34087189732193418</v>
      </c>
      <c r="N23" s="33">
        <f>(J23+H23)/(F23+D23)</f>
        <v>0.8698181581026655</v>
      </c>
    </row>
    <row r="24" spans="2:14">
      <c r="C24" s="22" t="s">
        <v>199</v>
      </c>
      <c r="D24" s="9">
        <v>0.14110543949999999</v>
      </c>
      <c r="E24" s="9">
        <v>6.5391497984165534E-2</v>
      </c>
      <c r="F24" s="9">
        <v>2507.7314259999994</v>
      </c>
      <c r="G24" s="9">
        <v>187.23455662423243</v>
      </c>
      <c r="H24" s="9">
        <v>29.800192500000001</v>
      </c>
      <c r="I24" s="9">
        <v>4.0095441938905596</v>
      </c>
      <c r="J24" s="9">
        <v>93.631250000000009</v>
      </c>
      <c r="K24" s="9">
        <v>17.138818922624161</v>
      </c>
      <c r="L24" s="29">
        <f>D24+F24+H24+J24</f>
        <v>2631.303973939499</v>
      </c>
      <c r="M24" s="30">
        <f>J24/L24</f>
        <v>3.5583593126193809E-2</v>
      </c>
      <c r="N24" s="33"/>
    </row>
    <row r="25" spans="2:14">
      <c r="C25" s="22" t="s">
        <v>200</v>
      </c>
      <c r="D25" s="9"/>
      <c r="E25" s="9"/>
      <c r="F25" s="9">
        <v>0.99326376250000004</v>
      </c>
      <c r="G25" s="9">
        <v>0.11025491265544057</v>
      </c>
      <c r="H25" s="9">
        <v>4.6123050000000006E-3</v>
      </c>
      <c r="I25" s="32">
        <v>5.7272690577638095E-4</v>
      </c>
      <c r="J25" s="9"/>
      <c r="K25" s="9"/>
      <c r="L25" s="29">
        <f>D25+F25+H25+J25</f>
        <v>0.99787606750000002</v>
      </c>
      <c r="M25" s="33"/>
      <c r="N25" s="33"/>
    </row>
    <row r="26" spans="2:14">
      <c r="C26" s="22"/>
      <c r="D26" s="22"/>
      <c r="E26" s="22"/>
      <c r="F26" s="22"/>
      <c r="G26" s="22"/>
      <c r="H26" s="22"/>
      <c r="I26" s="22"/>
      <c r="J26" s="22"/>
      <c r="K26" s="22"/>
      <c r="L26" s="22"/>
    </row>
    <row r="27" spans="2:14">
      <c r="C27" s="22"/>
      <c r="D27" s="22"/>
      <c r="E27" s="22"/>
      <c r="F27" s="22"/>
      <c r="G27" s="22"/>
      <c r="H27" s="22"/>
      <c r="I27" s="22"/>
      <c r="J27" s="22"/>
      <c r="K27" s="22"/>
      <c r="L27" s="22"/>
    </row>
    <row r="28" spans="2:14">
      <c r="B28" t="s">
        <v>204</v>
      </c>
      <c r="C28" s="24" t="s">
        <v>185</v>
      </c>
      <c r="D28" s="24" t="s">
        <v>186</v>
      </c>
      <c r="E28" s="24"/>
      <c r="F28" s="24" t="s">
        <v>187</v>
      </c>
      <c r="G28" s="24"/>
      <c r="H28" s="24" t="s">
        <v>188</v>
      </c>
      <c r="I28" s="24"/>
      <c r="J28" s="24" t="s">
        <v>189</v>
      </c>
      <c r="K28" s="24"/>
      <c r="L28" s="22"/>
    </row>
    <row r="29" spans="2:14">
      <c r="C29" s="24"/>
      <c r="D29" s="24" t="s">
        <v>190</v>
      </c>
      <c r="E29" s="24" t="s">
        <v>191</v>
      </c>
      <c r="F29" s="24" t="s">
        <v>190</v>
      </c>
      <c r="G29" s="24" t="s">
        <v>192</v>
      </c>
      <c r="H29" s="24" t="s">
        <v>190</v>
      </c>
      <c r="I29" s="24" t="s">
        <v>193</v>
      </c>
      <c r="J29" s="24" t="s">
        <v>190</v>
      </c>
      <c r="K29" s="24" t="s">
        <v>194</v>
      </c>
      <c r="L29" s="25" t="s">
        <v>195</v>
      </c>
      <c r="M29" s="26" t="s">
        <v>196</v>
      </c>
      <c r="N29" s="25" t="s">
        <v>15</v>
      </c>
    </row>
    <row r="30" spans="2:14">
      <c r="C30" s="22"/>
      <c r="D30" s="24" t="s">
        <v>197</v>
      </c>
      <c r="E30" s="24" t="s">
        <v>197</v>
      </c>
      <c r="F30" s="24" t="s">
        <v>197</v>
      </c>
      <c r="G30" s="24" t="s">
        <v>197</v>
      </c>
      <c r="H30" s="24" t="s">
        <v>197</v>
      </c>
      <c r="I30" s="24" t="s">
        <v>197</v>
      </c>
      <c r="J30" s="24" t="s">
        <v>197</v>
      </c>
      <c r="K30" s="24" t="s">
        <v>197</v>
      </c>
      <c r="L30" s="26" t="s">
        <v>197</v>
      </c>
      <c r="M30" s="26" t="s">
        <v>202</v>
      </c>
      <c r="N30" s="33"/>
    </row>
    <row r="31" spans="2:14">
      <c r="C31" s="22" t="s">
        <v>198</v>
      </c>
      <c r="D31" s="9">
        <v>0.49340250000000002</v>
      </c>
      <c r="E31" s="9">
        <v>0.3727370822711365</v>
      </c>
      <c r="F31" s="9">
        <v>0.33886500000000003</v>
      </c>
      <c r="G31" s="9">
        <v>1.9179123415839421E-2</v>
      </c>
      <c r="H31" s="9">
        <v>1.8120214999999999E-2</v>
      </c>
      <c r="I31" s="9">
        <v>1.9171681905193856E-3</v>
      </c>
      <c r="J31" s="9">
        <v>3.5400000000000001E-2</v>
      </c>
      <c r="K31" s="9">
        <v>9.9835546502440153E-3</v>
      </c>
      <c r="L31" s="29">
        <f>D31+F31+H31+J31</f>
        <v>0.88578771500000009</v>
      </c>
      <c r="M31" s="30">
        <f>J31/L31</f>
        <v>3.9964428723195826E-2</v>
      </c>
      <c r="N31" s="33">
        <f>(J31+H31)/(F31+D31)</f>
        <v>6.430650602120111E-2</v>
      </c>
    </row>
    <row r="32" spans="2:14">
      <c r="C32" s="22" t="s">
        <v>199</v>
      </c>
      <c r="D32" s="9">
        <v>7.4339999999999996E-3</v>
      </c>
      <c r="E32" s="9">
        <v>3.4727510708370672E-3</v>
      </c>
      <c r="F32" s="9">
        <v>-20.176499999999997</v>
      </c>
      <c r="G32" s="9">
        <v>8.7294887337403662</v>
      </c>
      <c r="H32" s="9">
        <v>11.723539999999998</v>
      </c>
      <c r="I32" s="9">
        <v>1.0012377208342869</v>
      </c>
      <c r="J32" s="9">
        <v>63.637500000000003</v>
      </c>
      <c r="K32" s="9">
        <v>18.458269035737509</v>
      </c>
      <c r="L32" s="29">
        <f>D32+F32+H32+J32</f>
        <v>55.191974000000002</v>
      </c>
      <c r="M32" s="30">
        <f>J32/L32</f>
        <v>1.1530209084386074</v>
      </c>
      <c r="N32" s="33" t="s">
        <v>205</v>
      </c>
    </row>
    <row r="33" spans="2:14">
      <c r="C33" s="22" t="s">
        <v>200</v>
      </c>
      <c r="D33" s="9"/>
      <c r="E33" s="9"/>
      <c r="F33" s="9">
        <v>3.0674999999999997E-2</v>
      </c>
      <c r="G33" s="32">
        <v>1.3273940635696697E-3</v>
      </c>
      <c r="H33" s="32">
        <v>2.3171000000000003E-3</v>
      </c>
      <c r="I33" s="34">
        <v>4.4160342565388914E-4</v>
      </c>
      <c r="J33" s="9"/>
      <c r="K33" s="9"/>
      <c r="L33" s="29">
        <f>D33+F33+H33+J33</f>
        <v>3.2992099999999996E-2</v>
      </c>
      <c r="M33" s="33"/>
      <c r="N33" s="33"/>
    </row>
    <row r="34" spans="2:14">
      <c r="C34" s="22"/>
      <c r="D34" s="22"/>
      <c r="E34" s="22"/>
      <c r="F34" s="22"/>
      <c r="G34" s="22"/>
      <c r="H34" s="22"/>
      <c r="I34" s="22"/>
      <c r="J34" s="22"/>
      <c r="K34" s="22"/>
      <c r="L34" s="22"/>
    </row>
    <row r="35" spans="2:14">
      <c r="C35" s="22"/>
      <c r="D35" s="22"/>
      <c r="E35" s="22"/>
      <c r="F35" s="22"/>
      <c r="G35" s="22"/>
      <c r="H35" s="22"/>
      <c r="I35" s="22"/>
      <c r="J35" s="22"/>
      <c r="K35" s="22"/>
      <c r="L35" s="22"/>
    </row>
    <row r="36" spans="2:14">
      <c r="B36" t="s">
        <v>206</v>
      </c>
      <c r="C36" s="24" t="s">
        <v>185</v>
      </c>
      <c r="D36" s="24" t="s">
        <v>186</v>
      </c>
      <c r="E36" s="24"/>
      <c r="F36" s="24" t="s">
        <v>187</v>
      </c>
      <c r="G36" s="24"/>
      <c r="H36" s="24" t="s">
        <v>188</v>
      </c>
      <c r="I36" s="24"/>
      <c r="J36" s="24" t="s">
        <v>189</v>
      </c>
      <c r="K36" s="24"/>
      <c r="L36" s="22"/>
    </row>
    <row r="37" spans="2:14">
      <c r="C37" s="24"/>
      <c r="D37" s="24" t="s">
        <v>190</v>
      </c>
      <c r="E37" s="24" t="s">
        <v>191</v>
      </c>
      <c r="F37" s="24" t="s">
        <v>190</v>
      </c>
      <c r="G37" s="24" t="s">
        <v>192</v>
      </c>
      <c r="H37" s="24" t="s">
        <v>190</v>
      </c>
      <c r="I37" s="24" t="s">
        <v>193</v>
      </c>
      <c r="J37" s="24" t="s">
        <v>190</v>
      </c>
      <c r="K37" s="24" t="s">
        <v>194</v>
      </c>
      <c r="L37" s="25" t="s">
        <v>195</v>
      </c>
      <c r="M37" s="26" t="s">
        <v>196</v>
      </c>
      <c r="N37" s="25" t="s">
        <v>15</v>
      </c>
    </row>
    <row r="38" spans="2:14">
      <c r="C38" s="22"/>
      <c r="D38" s="24" t="s">
        <v>197</v>
      </c>
      <c r="E38" s="24" t="s">
        <v>197</v>
      </c>
      <c r="F38" s="24" t="s">
        <v>197</v>
      </c>
      <c r="G38" s="24" t="s">
        <v>197</v>
      </c>
      <c r="H38" s="24" t="s">
        <v>197</v>
      </c>
      <c r="I38" s="24" t="s">
        <v>197</v>
      </c>
      <c r="J38" s="24" t="s">
        <v>197</v>
      </c>
      <c r="K38" s="24" t="s">
        <v>197</v>
      </c>
      <c r="L38" s="26" t="s">
        <v>197</v>
      </c>
      <c r="M38" s="26" t="s">
        <v>202</v>
      </c>
      <c r="N38" s="33"/>
    </row>
    <row r="39" spans="2:14">
      <c r="C39" s="22" t="s">
        <v>198</v>
      </c>
      <c r="D39" s="9">
        <v>30.972650730250002</v>
      </c>
      <c r="E39" s="9">
        <v>9.8336006353886702</v>
      </c>
      <c r="F39" s="9">
        <v>18.04451607</v>
      </c>
      <c r="G39" s="9">
        <v>2.3246118743015542</v>
      </c>
      <c r="H39" s="9">
        <v>1.6116645375000003</v>
      </c>
      <c r="I39" s="9">
        <v>0.73193550724078171</v>
      </c>
      <c r="J39" s="9">
        <v>1.1130249999999999</v>
      </c>
      <c r="K39" s="9">
        <v>0.75552054593718576</v>
      </c>
      <c r="L39" s="29">
        <f>D39+F39+H39+J39</f>
        <v>51.741856337750001</v>
      </c>
      <c r="M39" s="30">
        <f>J39/L39</f>
        <v>2.1511114574912445E-2</v>
      </c>
      <c r="N39" s="33">
        <f>(J39+H39)/(F39+D39)</f>
        <v>5.5586434617965384E-2</v>
      </c>
    </row>
    <row r="40" spans="2:14">
      <c r="C40" s="22" t="s">
        <v>199</v>
      </c>
      <c r="D40" s="9">
        <v>1.0081642159999999</v>
      </c>
      <c r="E40" s="9">
        <v>0.29049384758925184</v>
      </c>
      <c r="F40" s="9">
        <v>7661.7838174999997</v>
      </c>
      <c r="G40" s="9">
        <v>733.08869505567668</v>
      </c>
      <c r="H40" s="9">
        <v>307.70970000000005</v>
      </c>
      <c r="I40" s="9">
        <v>20.867702554568403</v>
      </c>
      <c r="J40" s="9">
        <v>874.48493749999989</v>
      </c>
      <c r="K40" s="9">
        <v>211.15384099094533</v>
      </c>
      <c r="L40" s="29">
        <f>D40+F40+H40+J40</f>
        <v>8844.9866192160007</v>
      </c>
      <c r="M40" s="30">
        <f>J40/L40</f>
        <v>9.8867864378692771E-2</v>
      </c>
      <c r="N40" s="33"/>
    </row>
    <row r="41" spans="2:14">
      <c r="C41" s="22" t="s">
        <v>200</v>
      </c>
      <c r="D41" s="9"/>
      <c r="E41" s="9"/>
      <c r="F41" s="9">
        <v>1.311238055</v>
      </c>
      <c r="G41" s="9">
        <v>8.4826760722533284E-2</v>
      </c>
      <c r="H41" s="9">
        <v>4.1667487500000003E-2</v>
      </c>
      <c r="I41" s="9">
        <v>8.3650761690459603E-3</v>
      </c>
      <c r="J41" s="9"/>
      <c r="K41" s="9"/>
      <c r="L41" s="29">
        <f>D41+F41+H41+J41</f>
        <v>1.3529055425000001</v>
      </c>
      <c r="M41" s="33"/>
      <c r="N41" s="33"/>
    </row>
    <row r="42" spans="2:14">
      <c r="C42" s="22"/>
      <c r="D42" s="22"/>
      <c r="E42" s="22"/>
      <c r="F42" s="22"/>
      <c r="G42" s="22"/>
      <c r="H42" s="22"/>
      <c r="I42" s="22"/>
      <c r="J42" s="22"/>
      <c r="K42" s="22"/>
      <c r="L42" s="22"/>
    </row>
    <row r="43" spans="2:14">
      <c r="C43" s="22"/>
      <c r="D43" s="22"/>
      <c r="E43" s="22"/>
      <c r="F43" s="22"/>
      <c r="G43" s="22"/>
      <c r="H43" s="22"/>
      <c r="I43" s="22"/>
      <c r="J43" s="22"/>
      <c r="K43" s="22"/>
      <c r="L43" s="22"/>
    </row>
    <row r="44" spans="2:14">
      <c r="C44" s="22"/>
      <c r="D44" s="22"/>
      <c r="E44" s="22"/>
      <c r="F44" s="22"/>
      <c r="G44" s="22"/>
      <c r="H44" s="22"/>
      <c r="I44" s="22"/>
      <c r="J44" s="22"/>
      <c r="K44" s="22"/>
      <c r="L44" s="22"/>
    </row>
    <row r="45" spans="2:14">
      <c r="B45" t="s">
        <v>207</v>
      </c>
      <c r="C45" s="24" t="s">
        <v>185</v>
      </c>
      <c r="D45" s="24" t="s">
        <v>186</v>
      </c>
      <c r="E45" s="24"/>
      <c r="F45" s="24" t="s">
        <v>187</v>
      </c>
      <c r="G45" s="24"/>
      <c r="H45" s="24" t="s">
        <v>188</v>
      </c>
      <c r="I45" s="24"/>
      <c r="J45" s="24" t="s">
        <v>189</v>
      </c>
      <c r="K45" s="24"/>
      <c r="L45" s="22"/>
    </row>
    <row r="46" spans="2:14">
      <c r="C46" s="24"/>
      <c r="D46" s="24" t="s">
        <v>190</v>
      </c>
      <c r="E46" s="24" t="s">
        <v>191</v>
      </c>
      <c r="F46" s="24" t="s">
        <v>190</v>
      </c>
      <c r="G46" s="24" t="s">
        <v>192</v>
      </c>
      <c r="H46" s="24" t="s">
        <v>190</v>
      </c>
      <c r="I46" s="24" t="s">
        <v>193</v>
      </c>
      <c r="J46" s="24" t="s">
        <v>190</v>
      </c>
      <c r="K46" s="24" t="s">
        <v>194</v>
      </c>
      <c r="L46" s="25" t="s">
        <v>195</v>
      </c>
      <c r="M46" s="26" t="s">
        <v>196</v>
      </c>
      <c r="N46" s="25" t="s">
        <v>15</v>
      </c>
    </row>
    <row r="47" spans="2:14">
      <c r="C47" s="22"/>
      <c r="D47" s="24" t="s">
        <v>197</v>
      </c>
      <c r="E47" s="24" t="s">
        <v>197</v>
      </c>
      <c r="F47" s="24" t="s">
        <v>197</v>
      </c>
      <c r="G47" s="24" t="s">
        <v>197</v>
      </c>
      <c r="H47" s="24" t="s">
        <v>197</v>
      </c>
      <c r="I47" s="24" t="s">
        <v>197</v>
      </c>
      <c r="J47" s="24" t="s">
        <v>197</v>
      </c>
      <c r="K47" s="24" t="s">
        <v>197</v>
      </c>
      <c r="L47" s="26" t="s">
        <v>197</v>
      </c>
      <c r="M47" s="26" t="s">
        <v>202</v>
      </c>
      <c r="N47" s="33"/>
    </row>
    <row r="48" spans="2:14">
      <c r="C48" s="22" t="s">
        <v>198</v>
      </c>
      <c r="D48" s="9">
        <v>1.1792800668821872</v>
      </c>
      <c r="E48" s="9">
        <v>2.0917428496056978</v>
      </c>
      <c r="F48" s="9">
        <v>3.9893373015163855</v>
      </c>
      <c r="G48" s="9">
        <v>0.12388192432841019</v>
      </c>
      <c r="H48" s="9">
        <v>4.2836439999999996E-2</v>
      </c>
      <c r="I48" s="9">
        <v>2.3620978053302535E-3</v>
      </c>
      <c r="J48" s="9">
        <v>0.23970859579100171</v>
      </c>
      <c r="K48" s="9">
        <v>0.10067268858880928</v>
      </c>
      <c r="L48" s="29">
        <f>D48+F48+H48+J48</f>
        <v>5.4511624041895752</v>
      </c>
      <c r="M48" s="30">
        <f>J48/L48</f>
        <v>4.3973849615408622E-2</v>
      </c>
      <c r="N48" s="33">
        <f>(J48+H48)/(F48+D48)</f>
        <v>5.4665496718427908E-2</v>
      </c>
    </row>
    <row r="49" spans="2:14">
      <c r="C49" s="22" t="s">
        <v>199</v>
      </c>
      <c r="D49" s="9">
        <v>6.3351753041633721E-2</v>
      </c>
      <c r="E49" s="9">
        <v>3.0309170167907726E-2</v>
      </c>
      <c r="F49" s="9">
        <v>1323.3799031574604</v>
      </c>
      <c r="G49" s="9">
        <v>146.99463480780125</v>
      </c>
      <c r="H49" s="9">
        <v>15.213127500000001</v>
      </c>
      <c r="I49" s="9">
        <v>7.3043866439230891</v>
      </c>
      <c r="J49" s="9">
        <v>254.98603325127871</v>
      </c>
      <c r="K49" s="9">
        <v>263.29217079678318</v>
      </c>
      <c r="L49" s="29">
        <f>D49+F49+H49+J49</f>
        <v>1593.6424156617807</v>
      </c>
      <c r="M49" s="30">
        <f>J49/L49</f>
        <v>0.16000203731110688</v>
      </c>
      <c r="N49" s="33"/>
    </row>
    <row r="50" spans="2:14">
      <c r="C50" s="22" t="s">
        <v>200</v>
      </c>
      <c r="D50" s="9"/>
      <c r="E50" s="9"/>
      <c r="F50" s="9">
        <v>0.71520210123697259</v>
      </c>
      <c r="G50" s="9">
        <v>5.0251836565257731E-2</v>
      </c>
      <c r="H50" s="32">
        <v>1.8788450000000001E-3</v>
      </c>
      <c r="I50" s="32">
        <v>2.8059652324779433E-3</v>
      </c>
      <c r="J50" s="9"/>
      <c r="K50" s="9"/>
      <c r="L50" s="29">
        <f>D50+F50+H50+J50</f>
        <v>0.71708094623697261</v>
      </c>
      <c r="M50" s="33"/>
      <c r="N50" s="33"/>
    </row>
    <row r="51" spans="2:14">
      <c r="C51" s="22"/>
      <c r="D51" s="22"/>
      <c r="E51" s="22"/>
      <c r="F51" s="22"/>
      <c r="G51" s="22"/>
      <c r="H51" s="22"/>
      <c r="I51" s="22"/>
      <c r="J51" s="22"/>
      <c r="K51" s="22"/>
      <c r="L51" s="22"/>
    </row>
    <row r="52" spans="2:14">
      <c r="C52" s="22"/>
      <c r="D52" s="22"/>
      <c r="E52" s="22"/>
      <c r="F52" s="22"/>
      <c r="G52" s="22"/>
      <c r="H52" s="22"/>
      <c r="I52" s="22"/>
      <c r="J52" s="22"/>
      <c r="K52" s="22"/>
      <c r="L52" s="22"/>
    </row>
    <row r="53" spans="2:14">
      <c r="C53" s="22"/>
      <c r="D53" s="22"/>
      <c r="E53" s="22"/>
      <c r="F53" s="22"/>
      <c r="G53" s="22"/>
      <c r="H53" s="22"/>
      <c r="I53" s="22"/>
      <c r="J53" s="22"/>
      <c r="K53" s="22"/>
      <c r="L53" s="22"/>
    </row>
    <row r="54" spans="2:14">
      <c r="B54" t="s">
        <v>208</v>
      </c>
      <c r="C54" s="24" t="s">
        <v>185</v>
      </c>
      <c r="D54" s="24" t="s">
        <v>186</v>
      </c>
      <c r="E54" s="24"/>
      <c r="F54" s="24" t="s">
        <v>187</v>
      </c>
      <c r="G54" s="24"/>
      <c r="H54" s="24" t="s">
        <v>188</v>
      </c>
      <c r="I54" s="24"/>
      <c r="J54" s="24" t="s">
        <v>189</v>
      </c>
      <c r="K54" s="24"/>
      <c r="L54" s="22"/>
    </row>
    <row r="55" spans="2:14">
      <c r="C55" s="24"/>
      <c r="D55" s="24" t="s">
        <v>190</v>
      </c>
      <c r="E55" s="24" t="s">
        <v>191</v>
      </c>
      <c r="F55" s="24" t="s">
        <v>190</v>
      </c>
      <c r="G55" s="24" t="s">
        <v>192</v>
      </c>
      <c r="H55" s="24" t="s">
        <v>190</v>
      </c>
      <c r="I55" s="24" t="s">
        <v>193</v>
      </c>
      <c r="J55" s="24" t="s">
        <v>190</v>
      </c>
      <c r="K55" s="24" t="s">
        <v>194</v>
      </c>
      <c r="L55" s="25" t="s">
        <v>195</v>
      </c>
      <c r="M55" s="26" t="s">
        <v>196</v>
      </c>
      <c r="N55" s="25" t="s">
        <v>15</v>
      </c>
    </row>
    <row r="56" spans="2:14">
      <c r="C56" s="22"/>
      <c r="D56" s="24" t="s">
        <v>197</v>
      </c>
      <c r="E56" s="24" t="s">
        <v>197</v>
      </c>
      <c r="F56" s="24" t="s">
        <v>197</v>
      </c>
      <c r="G56" s="24" t="s">
        <v>197</v>
      </c>
      <c r="H56" s="24" t="s">
        <v>197</v>
      </c>
      <c r="I56" s="24" t="s">
        <v>197</v>
      </c>
      <c r="J56" s="24" t="s">
        <v>197</v>
      </c>
      <c r="K56" s="24" t="s">
        <v>197</v>
      </c>
      <c r="L56" s="26" t="s">
        <v>197</v>
      </c>
      <c r="M56" s="26" t="s">
        <v>202</v>
      </c>
      <c r="N56" s="33"/>
    </row>
    <row r="57" spans="2:14">
      <c r="C57" s="22" t="s">
        <v>198</v>
      </c>
      <c r="D57" s="9">
        <v>2.7389503444946738E-2</v>
      </c>
      <c r="E57" s="9">
        <v>0.12579363055634535</v>
      </c>
      <c r="F57" s="9">
        <v>0.14593978241560274</v>
      </c>
      <c r="G57" s="32">
        <v>8.4270743401171702E-3</v>
      </c>
      <c r="H57" s="32">
        <v>3.8811150000000001E-3</v>
      </c>
      <c r="I57" s="32">
        <v>1.3585150551484512E-3</v>
      </c>
      <c r="J57" s="32">
        <v>6.4124999999999998E-3</v>
      </c>
      <c r="K57" s="9">
        <v>1.5020379697264647E-2</v>
      </c>
      <c r="L57" s="29">
        <f>D57+F57+H57+J57</f>
        <v>0.18362290086054944</v>
      </c>
      <c r="M57" s="30">
        <f>J57/L57</f>
        <v>3.4922114670598241E-2</v>
      </c>
      <c r="N57" s="33">
        <f>(J57+H57)/(F57+D57)</f>
        <v>5.9387627133487615E-2</v>
      </c>
    </row>
    <row r="58" spans="2:14">
      <c r="C58" s="22" t="s">
        <v>199</v>
      </c>
      <c r="D58" s="32">
        <v>1.9007839179923003E-3</v>
      </c>
      <c r="E58" s="32">
        <v>2.8119915490325219E-3</v>
      </c>
      <c r="F58" s="9">
        <v>16.153707264864536</v>
      </c>
      <c r="G58" s="9">
        <v>4.1884674631253507</v>
      </c>
      <c r="H58" s="9">
        <v>2.3585099999999999</v>
      </c>
      <c r="I58" s="9">
        <v>0.66771939971143557</v>
      </c>
      <c r="J58" s="9">
        <v>5.9658249999999997</v>
      </c>
      <c r="K58" s="9">
        <v>0.86767019223896358</v>
      </c>
      <c r="L58" s="29">
        <f>D58+F58+H58+J58</f>
        <v>24.479943048782527</v>
      </c>
      <c r="M58" s="30">
        <f>J58/L58</f>
        <v>0.24370256859305484</v>
      </c>
      <c r="N58" s="33"/>
    </row>
    <row r="59" spans="2:14">
      <c r="C59" s="22" t="s">
        <v>200</v>
      </c>
      <c r="D59" s="32"/>
      <c r="E59" s="32"/>
      <c r="F59" s="9">
        <v>3.2270774350506091E-2</v>
      </c>
      <c r="G59" s="32">
        <v>2.5056574838674519E-3</v>
      </c>
      <c r="H59" s="32">
        <v>5.7036000000000001E-4</v>
      </c>
      <c r="I59" s="34">
        <v>7.0535778655232836E-5</v>
      </c>
      <c r="J59" s="32"/>
      <c r="K59" s="32"/>
      <c r="L59" s="29">
        <f>D59+F59+H59+J59</f>
        <v>3.284113435050609E-2</v>
      </c>
      <c r="M59" s="33"/>
      <c r="N59" s="33"/>
    </row>
    <row r="60" spans="2:14">
      <c r="C60" s="22"/>
      <c r="D60" s="22"/>
      <c r="E60" s="22"/>
      <c r="F60" s="22"/>
      <c r="G60" s="22"/>
      <c r="H60" s="22"/>
      <c r="I60" s="22"/>
      <c r="J60" s="22"/>
      <c r="K60" s="22"/>
      <c r="L60" s="22"/>
    </row>
    <row r="61" spans="2:14">
      <c r="C61" s="22"/>
      <c r="D61" s="22"/>
      <c r="E61" s="22"/>
      <c r="F61" s="22"/>
      <c r="G61" s="22"/>
      <c r="H61" s="22"/>
      <c r="I61" s="22"/>
      <c r="J61" s="22"/>
      <c r="K61" s="22"/>
      <c r="L61" s="22"/>
    </row>
    <row r="62" spans="2:14">
      <c r="C62" s="22"/>
      <c r="D62" s="22"/>
      <c r="E62" s="22"/>
      <c r="F62" s="22"/>
      <c r="G62" s="22"/>
      <c r="H62" s="22"/>
      <c r="I62" s="22"/>
      <c r="J62" s="22"/>
      <c r="K62" s="22"/>
      <c r="L62" s="22"/>
    </row>
    <row r="63" spans="2:14">
      <c r="B63" t="s">
        <v>209</v>
      </c>
      <c r="C63" s="24" t="s">
        <v>185</v>
      </c>
      <c r="D63" s="24" t="s">
        <v>186</v>
      </c>
      <c r="E63" s="24"/>
      <c r="F63" s="24" t="s">
        <v>187</v>
      </c>
      <c r="G63" s="24"/>
      <c r="H63" s="24" t="s">
        <v>188</v>
      </c>
      <c r="I63" s="24"/>
      <c r="J63" s="24" t="s">
        <v>189</v>
      </c>
      <c r="K63" s="24"/>
      <c r="L63" s="22"/>
    </row>
    <row r="64" spans="2:14">
      <c r="C64" s="24"/>
      <c r="D64" s="24" t="s">
        <v>190</v>
      </c>
      <c r="E64" s="24" t="s">
        <v>191</v>
      </c>
      <c r="F64" s="24" t="s">
        <v>190</v>
      </c>
      <c r="G64" s="24" t="s">
        <v>192</v>
      </c>
      <c r="H64" s="24" t="s">
        <v>190</v>
      </c>
      <c r="I64" s="24" t="s">
        <v>193</v>
      </c>
      <c r="J64" s="24" t="s">
        <v>190</v>
      </c>
      <c r="K64" s="24" t="s">
        <v>194</v>
      </c>
      <c r="L64" s="25" t="s">
        <v>195</v>
      </c>
      <c r="M64" s="26" t="s">
        <v>196</v>
      </c>
      <c r="N64" s="25" t="s">
        <v>15</v>
      </c>
    </row>
    <row r="65" spans="3:14">
      <c r="C65" s="22"/>
      <c r="D65" s="24" t="s">
        <v>197</v>
      </c>
      <c r="E65" s="24" t="s">
        <v>197</v>
      </c>
      <c r="F65" s="24" t="s">
        <v>197</v>
      </c>
      <c r="G65" s="24" t="s">
        <v>197</v>
      </c>
      <c r="H65" s="24" t="s">
        <v>197</v>
      </c>
      <c r="I65" s="24" t="s">
        <v>197</v>
      </c>
      <c r="J65" s="24" t="s">
        <v>197</v>
      </c>
      <c r="K65" s="24" t="s">
        <v>197</v>
      </c>
      <c r="L65" s="26" t="s">
        <v>197</v>
      </c>
      <c r="M65" s="26" t="s">
        <v>202</v>
      </c>
      <c r="N65" s="33"/>
    </row>
    <row r="66" spans="3:14">
      <c r="C66" s="22" t="s">
        <v>198</v>
      </c>
      <c r="D66" s="9">
        <v>11.691697133249999</v>
      </c>
      <c r="E66" s="9">
        <v>5.7416635658369319</v>
      </c>
      <c r="F66" s="9">
        <v>28.548691524999995</v>
      </c>
      <c r="G66" s="9">
        <v>6.3021974519591772</v>
      </c>
      <c r="H66" s="9">
        <v>14.881072762499999</v>
      </c>
      <c r="I66" s="9">
        <v>2.5351769122105594</v>
      </c>
      <c r="J66" s="9">
        <v>223.8939125</v>
      </c>
      <c r="K66" s="9">
        <v>56.674880719229044</v>
      </c>
      <c r="L66" s="29">
        <f>D66+F66+H66+J66</f>
        <v>279.01537392074999</v>
      </c>
      <c r="M66" s="30">
        <f>J66/L66</f>
        <v>0.80244292403612716</v>
      </c>
      <c r="N66" s="33">
        <f>(J66+H66)/(F66+D66)</f>
        <v>5.9337146887508219</v>
      </c>
    </row>
    <row r="67" spans="3:14">
      <c r="C67" s="22" t="s">
        <v>199</v>
      </c>
      <c r="D67" s="9">
        <v>0.17035321074999998</v>
      </c>
      <c r="E67" s="9">
        <v>5.7965145989439561E-2</v>
      </c>
      <c r="F67" s="9">
        <v>4683.0476049999997</v>
      </c>
      <c r="G67" s="9">
        <v>704.21873090140775</v>
      </c>
      <c r="H67" s="9">
        <v>49.628074999999995</v>
      </c>
      <c r="I67" s="9">
        <v>3.1112004809918328</v>
      </c>
      <c r="J67" s="9">
        <v>288.5612625</v>
      </c>
      <c r="K67" s="9">
        <v>35.624869164494626</v>
      </c>
      <c r="L67" s="29">
        <f>D67+F67+H67+J67</f>
        <v>5021.4072957107501</v>
      </c>
      <c r="M67" s="30">
        <f>J67/L67</f>
        <v>5.7466213255890825E-2</v>
      </c>
      <c r="N67" s="33"/>
    </row>
    <row r="68" spans="3:14">
      <c r="C68" s="22" t="s">
        <v>200</v>
      </c>
      <c r="D68" s="9"/>
      <c r="E68" s="9"/>
      <c r="F68" s="9">
        <v>0.75103104999999992</v>
      </c>
      <c r="G68" s="9">
        <v>5.0640603656151494E-2</v>
      </c>
      <c r="H68" s="9">
        <v>1.44528825E-2</v>
      </c>
      <c r="I68" s="9">
        <v>1.4907082336154012E-3</v>
      </c>
      <c r="J68" s="9"/>
      <c r="K68" s="9"/>
      <c r="L68" s="29">
        <f>D68+F68+H68+J68</f>
        <v>0.76548393249999991</v>
      </c>
      <c r="M68" s="33"/>
      <c r="N68" s="33"/>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6" sqref="D16"/>
    </sheetView>
  </sheetViews>
  <sheetFormatPr defaultColWidth="8.88671875" defaultRowHeight="14.4"/>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2" sqref="H22"/>
    </sheetView>
  </sheetViews>
  <sheetFormatPr defaultColWidth="8.88671875" defaultRowHeight="14.4"/>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
  <sheetViews>
    <sheetView workbookViewId="0">
      <selection activeCell="H17" sqref="H17"/>
    </sheetView>
  </sheetViews>
  <sheetFormatPr defaultColWidth="8.88671875" defaultRowHeight="14.4"/>
  <cols>
    <col min="2" max="2" width="17.44140625" customWidth="1"/>
    <col min="3" max="3" width="17.6640625" customWidth="1"/>
    <col min="4" max="4" width="14.44140625" customWidth="1"/>
    <col min="5" max="5" width="18.109375" customWidth="1"/>
    <col min="6" max="6" width="16.6640625" customWidth="1"/>
    <col min="7" max="7" width="30" customWidth="1"/>
    <col min="11" max="11" width="11.88671875" bestFit="1" customWidth="1"/>
  </cols>
  <sheetData>
    <row r="1" spans="1:11">
      <c r="A1" t="s">
        <v>142</v>
      </c>
      <c r="B1" t="s">
        <v>210</v>
      </c>
      <c r="C1" t="s">
        <v>211</v>
      </c>
      <c r="D1" t="s">
        <v>212</v>
      </c>
      <c r="E1" t="s">
        <v>213</v>
      </c>
      <c r="F1" t="s">
        <v>214</v>
      </c>
      <c r="G1" t="s">
        <v>215</v>
      </c>
      <c r="H1" t="s">
        <v>148</v>
      </c>
      <c r="K1" t="s">
        <v>216</v>
      </c>
    </row>
    <row r="2" spans="1:11">
      <c r="A2">
        <v>1994</v>
      </c>
      <c r="B2">
        <v>30150</v>
      </c>
      <c r="C2">
        <v>32850</v>
      </c>
      <c r="D2">
        <f>B2+C2</f>
        <v>63000</v>
      </c>
      <c r="E2">
        <v>10000</v>
      </c>
      <c r="F2">
        <v>190</v>
      </c>
      <c r="G2">
        <f>F2/2+E2</f>
        <v>10095</v>
      </c>
      <c r="H2" s="2">
        <f>G2/D2</f>
        <v>0.16023809523809524</v>
      </c>
      <c r="K2">
        <f>AVERAGE(G2:G11)*1000000000/360000000/365</f>
        <v>131.44977168949771</v>
      </c>
    </row>
    <row r="3" spans="1:11">
      <c r="A3">
        <v>1995</v>
      </c>
      <c r="B3">
        <v>11620</v>
      </c>
      <c r="C3">
        <v>22240</v>
      </c>
      <c r="D3">
        <f t="shared" ref="D3:D11" si="0">B3+C3</f>
        <v>33860</v>
      </c>
      <c r="E3">
        <v>39440</v>
      </c>
      <c r="F3">
        <v>1850</v>
      </c>
      <c r="G3">
        <f t="shared" ref="G3:G11" si="1">F3/2+E3</f>
        <v>40365</v>
      </c>
      <c r="H3" s="2">
        <f t="shared" ref="H3:H11" si="2">G3/D3</f>
        <v>1.1921145894861194</v>
      </c>
    </row>
    <row r="4" spans="1:11">
      <c r="A4">
        <v>1996</v>
      </c>
      <c r="B4">
        <v>6990</v>
      </c>
      <c r="C4">
        <v>10470</v>
      </c>
      <c r="D4">
        <f t="shared" si="0"/>
        <v>17460</v>
      </c>
      <c r="E4">
        <v>28400</v>
      </c>
      <c r="F4">
        <v>2800</v>
      </c>
      <c r="G4">
        <f t="shared" si="1"/>
        <v>29800</v>
      </c>
      <c r="H4" s="2">
        <f t="shared" si="2"/>
        <v>1.706758304696449</v>
      </c>
    </row>
    <row r="5" spans="1:11">
      <c r="A5">
        <v>1997</v>
      </c>
      <c r="B5">
        <v>1020</v>
      </c>
      <c r="C5">
        <v>3470</v>
      </c>
      <c r="D5">
        <f t="shared" si="0"/>
        <v>4490</v>
      </c>
      <c r="E5">
        <v>15280</v>
      </c>
      <c r="F5">
        <v>2340</v>
      </c>
      <c r="G5">
        <f t="shared" si="1"/>
        <v>16450</v>
      </c>
      <c r="H5" s="2">
        <f t="shared" si="2"/>
        <v>3.6636971046770603</v>
      </c>
    </row>
    <row r="6" spans="1:11">
      <c r="A6">
        <v>1998</v>
      </c>
      <c r="B6">
        <v>2330</v>
      </c>
      <c r="C6">
        <v>2980</v>
      </c>
      <c r="D6">
        <f t="shared" si="0"/>
        <v>5310</v>
      </c>
      <c r="E6">
        <v>15230</v>
      </c>
      <c r="F6">
        <v>1240</v>
      </c>
      <c r="G6">
        <f t="shared" si="1"/>
        <v>15850</v>
      </c>
      <c r="H6" s="2">
        <f t="shared" si="2"/>
        <v>2.9849340866290017</v>
      </c>
    </row>
    <row r="7" spans="1:11">
      <c r="A7">
        <v>1999</v>
      </c>
      <c r="B7">
        <v>910</v>
      </c>
      <c r="C7">
        <v>2370</v>
      </c>
      <c r="D7">
        <f t="shared" si="0"/>
        <v>3280</v>
      </c>
      <c r="E7">
        <v>11320</v>
      </c>
      <c r="F7">
        <v>1170</v>
      </c>
      <c r="G7">
        <f t="shared" si="1"/>
        <v>11905</v>
      </c>
      <c r="H7" s="2">
        <f t="shared" si="2"/>
        <v>3.6295731707317072</v>
      </c>
    </row>
    <row r="8" spans="1:11">
      <c r="A8">
        <v>2000</v>
      </c>
      <c r="B8">
        <v>2150</v>
      </c>
      <c r="C8">
        <v>1770</v>
      </c>
      <c r="D8">
        <f t="shared" si="0"/>
        <v>3920</v>
      </c>
      <c r="E8">
        <v>18460</v>
      </c>
      <c r="F8">
        <v>1350</v>
      </c>
      <c r="G8">
        <f t="shared" si="1"/>
        <v>19135</v>
      </c>
      <c r="H8" s="2">
        <f t="shared" si="2"/>
        <v>4.8813775510204085</v>
      </c>
    </row>
    <row r="9" spans="1:11">
      <c r="A9">
        <v>2001</v>
      </c>
      <c r="B9">
        <v>1660</v>
      </c>
      <c r="C9">
        <v>1260</v>
      </c>
      <c r="D9">
        <f t="shared" si="0"/>
        <v>2920</v>
      </c>
      <c r="E9">
        <v>9380</v>
      </c>
      <c r="F9">
        <v>890</v>
      </c>
      <c r="G9">
        <f t="shared" si="1"/>
        <v>9825</v>
      </c>
      <c r="H9" s="2">
        <f t="shared" si="2"/>
        <v>3.3647260273972601</v>
      </c>
    </row>
    <row r="10" spans="1:11">
      <c r="A10">
        <v>2002</v>
      </c>
      <c r="B10">
        <v>1470</v>
      </c>
      <c r="C10">
        <v>750</v>
      </c>
      <c r="D10">
        <f t="shared" si="0"/>
        <v>2220</v>
      </c>
      <c r="E10">
        <v>12570</v>
      </c>
      <c r="F10">
        <v>1540</v>
      </c>
      <c r="G10">
        <f t="shared" si="1"/>
        <v>13340</v>
      </c>
      <c r="H10" s="2">
        <f t="shared" si="2"/>
        <v>6.0090090090090094</v>
      </c>
    </row>
    <row r="11" spans="1:11" ht="15" thickBot="1">
      <c r="A11">
        <v>2003</v>
      </c>
      <c r="B11">
        <v>1390</v>
      </c>
      <c r="C11">
        <v>440</v>
      </c>
      <c r="D11">
        <f t="shared" si="0"/>
        <v>1830</v>
      </c>
      <c r="E11">
        <v>5180</v>
      </c>
      <c r="F11">
        <v>1560</v>
      </c>
      <c r="G11">
        <f t="shared" si="1"/>
        <v>5960</v>
      </c>
      <c r="H11" s="5">
        <f t="shared" si="2"/>
        <v>3.2568306010928962</v>
      </c>
    </row>
    <row r="12" spans="1:11">
      <c r="G12" s="3" t="s">
        <v>150</v>
      </c>
      <c r="H12" s="4">
        <f>AVERAGE(H2:H11)</f>
        <v>3.0849258539978011</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20" sqref="B20"/>
    </sheetView>
  </sheetViews>
  <sheetFormatPr defaultRowHeight="14.4"/>
  <cols>
    <col min="1" max="1" width="36" customWidth="1"/>
    <col min="2" max="2" width="14" customWidth="1"/>
    <col min="3" max="3" width="15.6640625" customWidth="1"/>
  </cols>
  <sheetData>
    <row r="1" spans="1:4">
      <c r="A1" t="s">
        <v>217</v>
      </c>
      <c r="B1" t="s">
        <v>33</v>
      </c>
      <c r="C1" t="s">
        <v>106</v>
      </c>
      <c r="D1" t="s">
        <v>15</v>
      </c>
    </row>
    <row r="2" spans="1:4">
      <c r="A2">
        <v>200</v>
      </c>
      <c r="B2">
        <v>0</v>
      </c>
      <c r="C2">
        <v>6.19</v>
      </c>
      <c r="D2">
        <f>(C2+B2)/A2</f>
        <v>3.0950000000000002E-2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
  <sheetViews>
    <sheetView workbookViewId="0">
      <selection activeCell="E2" sqref="E2"/>
    </sheetView>
  </sheetViews>
  <sheetFormatPr defaultRowHeight="14.4"/>
  <cols>
    <col min="1" max="1" width="18.5546875" customWidth="1"/>
    <col min="2" max="2" width="31.5546875" customWidth="1"/>
    <col min="3" max="3" width="33.109375" customWidth="1"/>
    <col min="4" max="4" width="19.88671875" customWidth="1"/>
  </cols>
  <sheetData>
    <row r="1" spans="1:5">
      <c r="A1" t="s">
        <v>138</v>
      </c>
      <c r="B1" t="s">
        <v>139</v>
      </c>
      <c r="C1" t="s">
        <v>140</v>
      </c>
      <c r="D1" t="s">
        <v>141</v>
      </c>
      <c r="E1" t="s">
        <v>15</v>
      </c>
    </row>
    <row r="2" spans="1:5">
      <c r="A2" t="s">
        <v>28</v>
      </c>
      <c r="B2">
        <v>42</v>
      </c>
      <c r="C2">
        <v>67</v>
      </c>
      <c r="D2">
        <v>32</v>
      </c>
      <c r="E2">
        <f>D2/(C2+B2)</f>
        <v>0.29357798165137616</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J11"/>
  <sheetViews>
    <sheetView workbookViewId="0">
      <selection activeCell="B6" sqref="B6"/>
    </sheetView>
  </sheetViews>
  <sheetFormatPr defaultColWidth="11.44140625" defaultRowHeight="14.4"/>
  <cols>
    <col min="2" max="2" width="21" customWidth="1"/>
    <col min="3" max="3" width="18.77734375" customWidth="1"/>
    <col min="4" max="4" width="16.88671875" customWidth="1"/>
    <col min="5" max="5" width="22.33203125" customWidth="1"/>
    <col min="6" max="6" width="24.6640625" customWidth="1"/>
    <col min="7" max="7" width="24.5546875" customWidth="1"/>
  </cols>
  <sheetData>
    <row r="5" spans="1:10">
      <c r="A5" t="s">
        <v>142</v>
      </c>
      <c r="B5" t="s">
        <v>143</v>
      </c>
      <c r="C5" t="s">
        <v>144</v>
      </c>
      <c r="D5" t="s">
        <v>145</v>
      </c>
      <c r="E5" t="s">
        <v>146</v>
      </c>
      <c r="F5" t="s">
        <v>147</v>
      </c>
      <c r="G5" t="s">
        <v>148</v>
      </c>
      <c r="J5" t="s">
        <v>149</v>
      </c>
    </row>
    <row r="6" spans="1:10">
      <c r="A6">
        <v>2009</v>
      </c>
      <c r="B6">
        <v>4.45</v>
      </c>
      <c r="C6">
        <v>11.21</v>
      </c>
      <c r="D6">
        <v>0</v>
      </c>
      <c r="E6">
        <f>B6+C6</f>
        <v>15.66</v>
      </c>
      <c r="F6">
        <v>7.79</v>
      </c>
      <c r="G6" s="2">
        <f>F6/E6</f>
        <v>0.49744572158365263</v>
      </c>
      <c r="J6">
        <f>AVERAGE(F6:F9)/16*12*1000000000000/489000000/365</f>
        <v>23.962097655265147</v>
      </c>
    </row>
    <row r="7" spans="1:10">
      <c r="A7">
        <v>2010</v>
      </c>
      <c r="B7">
        <v>9.34</v>
      </c>
      <c r="C7">
        <v>14.39</v>
      </c>
      <c r="D7">
        <v>1</v>
      </c>
      <c r="E7">
        <f>B7+C7</f>
        <v>23.73</v>
      </c>
      <c r="F7">
        <v>10.73</v>
      </c>
      <c r="G7" s="2">
        <f>F7/E7</f>
        <v>0.45217024863042565</v>
      </c>
    </row>
    <row r="8" spans="1:10">
      <c r="A8">
        <v>2011</v>
      </c>
      <c r="B8">
        <v>3.71</v>
      </c>
      <c r="C8">
        <v>14.68</v>
      </c>
      <c r="D8">
        <v>1.3</v>
      </c>
      <c r="E8">
        <f>B8+C8</f>
        <v>18.39</v>
      </c>
      <c r="F8">
        <v>2.29</v>
      </c>
      <c r="G8" s="2">
        <f>F8/E8</f>
        <v>0.1245241979336596</v>
      </c>
    </row>
    <row r="9" spans="1:10">
      <c r="A9">
        <v>2012</v>
      </c>
      <c r="B9">
        <v>4.95</v>
      </c>
      <c r="C9">
        <v>12.29</v>
      </c>
      <c r="D9">
        <v>1.2</v>
      </c>
      <c r="E9">
        <f>B9+C9</f>
        <v>17.239999999999998</v>
      </c>
      <c r="F9">
        <v>2</v>
      </c>
      <c r="G9" s="2">
        <f>F9/E9</f>
        <v>0.11600928074245941</v>
      </c>
    </row>
    <row r="10" spans="1:10">
      <c r="A10">
        <v>2013</v>
      </c>
      <c r="B10">
        <v>7.5</v>
      </c>
      <c r="C10">
        <v>13.3</v>
      </c>
      <c r="D10">
        <v>0.9</v>
      </c>
      <c r="E10">
        <f>B10+C10</f>
        <v>20.8</v>
      </c>
      <c r="F10">
        <v>2.7</v>
      </c>
      <c r="G10" s="2">
        <f>F10/E10</f>
        <v>0.12980769230769232</v>
      </c>
    </row>
    <row r="11" spans="1:10">
      <c r="F11" s="3" t="s">
        <v>150</v>
      </c>
      <c r="G11" s="4">
        <f>AVERAGE(G6:G10)</f>
        <v>0.26399142823957789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defaultColWidth="11.44140625" defaultRowHeight="14.4"/>
  <cols>
    <col min="2" max="2" width="17" customWidth="1"/>
  </cols>
  <sheetData>
    <row r="1" spans="1:4" ht="43.2">
      <c r="A1" s="6" t="s">
        <v>138</v>
      </c>
      <c r="B1" s="6" t="s">
        <v>151</v>
      </c>
      <c r="C1" s="6" t="s">
        <v>152</v>
      </c>
      <c r="D1" s="6" t="s">
        <v>15</v>
      </c>
    </row>
    <row r="2" spans="1:4">
      <c r="A2" t="s">
        <v>50</v>
      </c>
      <c r="B2">
        <v>0.21</v>
      </c>
      <c r="C2">
        <v>7.0000000000000007E-2</v>
      </c>
      <c r="D2">
        <f>C2/B2</f>
        <v>0.33333333333333337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2" sqref="B2"/>
    </sheetView>
  </sheetViews>
  <sheetFormatPr defaultColWidth="11.44140625" defaultRowHeight="14.4"/>
  <cols>
    <col min="2" max="2" width="20.5546875" customWidth="1"/>
    <col min="3" max="3" width="18.5546875" customWidth="1"/>
  </cols>
  <sheetData>
    <row r="1" spans="1:4" ht="28.8">
      <c r="A1" s="6" t="s">
        <v>138</v>
      </c>
      <c r="B1" s="6" t="s">
        <v>153</v>
      </c>
      <c r="C1" s="6" t="s">
        <v>154</v>
      </c>
      <c r="D1" s="6" t="s">
        <v>15</v>
      </c>
    </row>
    <row r="2" spans="1:4">
      <c r="A2" t="s">
        <v>104</v>
      </c>
      <c r="B2">
        <v>19</v>
      </c>
      <c r="C2">
        <v>6</v>
      </c>
      <c r="D2">
        <f>C2/B2</f>
        <v>0.31578947368421051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3" sqref="D3"/>
    </sheetView>
  </sheetViews>
  <sheetFormatPr defaultColWidth="8.88671875" defaultRowHeight="14.4"/>
  <cols>
    <col min="2" max="2" width="22.44140625" customWidth="1"/>
    <col min="3" max="3" width="23.44140625" customWidth="1"/>
  </cols>
  <sheetData>
    <row r="1" spans="1:4" s="6" customFormat="1" ht="28.8">
      <c r="A1" s="6" t="s">
        <v>138</v>
      </c>
      <c r="B1" s="6" t="s">
        <v>155</v>
      </c>
      <c r="C1" s="6" t="s">
        <v>152</v>
      </c>
      <c r="D1" s="6" t="s">
        <v>15</v>
      </c>
    </row>
    <row r="2" spans="1:4">
      <c r="A2" t="s">
        <v>156</v>
      </c>
      <c r="B2">
        <v>16180</v>
      </c>
      <c r="C2">
        <v>170</v>
      </c>
      <c r="D2">
        <f>C2/B2</f>
        <v>1.0506798516687269E-2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2" sqref="H12"/>
    </sheetView>
  </sheetViews>
  <sheetFormatPr defaultColWidth="8.88671875" defaultRowHeight="14.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summary</vt:lpstr>
      <vt:lpstr>mean by climate zone</vt:lpstr>
      <vt:lpstr>DelSontro et al. 2016 and Diem </vt:lpstr>
      <vt:lpstr>Bastien and Demarty 2013</vt:lpstr>
      <vt:lpstr>Deshmukh et al., 2016 and Serça</vt:lpstr>
      <vt:lpstr>Chanudet et al., 2011</vt:lpstr>
      <vt:lpstr>Guerin et al., 2006</vt:lpstr>
      <vt:lpstr>DelSontro et al. 2011</vt:lpstr>
      <vt:lpstr>Bastien et al. 2011</vt:lpstr>
      <vt:lpstr>Kemenes et al. 2007</vt:lpstr>
      <vt:lpstr>Chen et al. 2011</vt:lpstr>
      <vt:lpstr>Zhao et al. 2013</vt:lpstr>
      <vt:lpstr>Kumar and Sharma 2016</vt:lpstr>
      <vt:lpstr>Teodoru et al. 2012</vt:lpstr>
      <vt:lpstr>Soumis et al. 2004</vt:lpstr>
      <vt:lpstr>Maeck et al. 2013</vt:lpstr>
      <vt:lpstr>Diem et al. 2012</vt:lpstr>
      <vt:lpstr>Bevelheimer et al. 2016</vt:lpstr>
      <vt:lpstr>Beaulieu et al. 2014</vt:lpstr>
      <vt:lpstr>dos Santos 2017</vt:lpstr>
      <vt:lpstr>Galy-Lacaux 1997</vt:lpstr>
      <vt:lpstr>Descloux et al. 2017</vt:lpstr>
      <vt:lpstr>Abril 2005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Beaulieu, Jake</dc:creator>
  <cp:keywords/>
  <dc:description/>
  <cp:lastModifiedBy>Beaulieu, Jake</cp:lastModifiedBy>
  <cp:revision/>
  <dcterms:created xsi:type="dcterms:W3CDTF">2017-10-24T19:31:33Z</dcterms:created>
  <dcterms:modified xsi:type="dcterms:W3CDTF">2018-04-13T02:29:14Z</dcterms:modified>
  <cp:category/>
  <cp:contentStatus/>
</cp:coreProperties>
</file>