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externalLinks/externalLink1.xml" ContentType="application/vnd.openxmlformats-officedocument.spreadsheetml.externalLink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README" sheetId="134" state="visible" r:id="rId1"/>
    <sheet name="Table 1" sheetId="68" state="visible" r:id="rId2"/>
    <sheet name="Table 1 - Less Strict" sheetId="108" state="visible" r:id="rId3"/>
    <sheet name="Table 1 - More Strict" sheetId="109" state="visible" r:id="rId4"/>
    <sheet name="Footnote 27" sheetId="140" state="visible" r:id="rId5"/>
    <sheet name="Table 2-4" sheetId="139" state="visible" r:id="rId6"/>
    <sheet name="Table 2-5" sheetId="78" state="visible" r:id="rId7"/>
    <sheet name="Table 2-6 and Table 3-2" sheetId="73" state="visible" r:id="rId8"/>
    <sheet name="Table 2-7" sheetId="74" state="visible" r:id="rId9"/>
    <sheet name="Table 2-8" sheetId="75" state="visible" r:id="rId10"/>
    <sheet name="Table 2-9" sheetId="76" state="visible" r:id="rId11"/>
    <sheet name="Table 2-10" sheetId="77" state="visible" r:id="rId12"/>
    <sheet name="Table 2-12" sheetId="107" state="visible" r:id="rId13"/>
    <sheet name="Table 3-3" sheetId="89" state="visible" r:id="rId14"/>
    <sheet name="Table 3-4" sheetId="90" state="visible" r:id="rId15"/>
    <sheet name="Table 3-5" sheetId="91" state="visible" r:id="rId16"/>
    <sheet name="Table 3-7" sheetId="119" state="visible" r:id="rId17"/>
    <sheet name="Table 3-8" sheetId="127" state="visible" r:id="rId18"/>
    <sheet name="Table 3-9" sheetId="128" state="visible" r:id="rId19"/>
    <sheet name="Table 3-10" sheetId="129" state="visible" r:id="rId20"/>
    <sheet name="Table 5-1" sheetId="110" state="visible" r:id="rId21"/>
    <sheet name="Table 5-2" sheetId="111" state="visible" r:id="rId22"/>
    <sheet name="Table 5-3" sheetId="112" state="visible" r:id="rId23"/>
    <sheet name="Table 5-4" sheetId="113" state="visible" r:id="rId24"/>
    <sheet name="Table 5-5" sheetId="79" state="visible" r:id="rId25"/>
    <sheet name="Table A-1" sheetId="145" state="visible" r:id="rId26"/>
    <sheet name="Table A-2" sheetId="144" state="visible" r:id="rId27"/>
    <sheet name="Table B-1" sheetId="131" state="visible" r:id="rId28"/>
    <sheet name="Table B-2" sheetId="133" state="visible" r:id="rId29"/>
    <sheet name="Table B-3" sheetId="132" state="visible" r:id="rId30"/>
    <sheet name="tbl_detail_2022" sheetId="65" state="visible" r:id="rId31"/>
    <sheet name="fac_affected" sheetId="6" state="visible" r:id="rId32"/>
    <sheet name="decl_rates" sheetId="141" state="visible" r:id="rId33"/>
    <sheet name="icr_equip_props_tbl" sheetId="142" state="visible" r:id="rId34"/>
    <sheet name="icr_equip_avg_tbl" sheetId="143" state="visible" r:id="rId35"/>
    <sheet name="wellsite_props_table" sheetId="126" state="visible" r:id="rId36"/>
    <sheet name="emissions" sheetId="7" state="visible" r:id="rId37"/>
    <sheet name="emissions_NSPS" sheetId="8" state="visible" r:id="rId38"/>
    <sheet name="emissions_EG" sheetId="9" state="visible" r:id="rId39"/>
    <sheet name="emissions_less" sheetId="13" state="visible" r:id="rId40"/>
    <sheet name="emissions_less_NSPS" sheetId="14" state="visible" r:id="rId41"/>
    <sheet name="emissions_less_EG" sheetId="15" state="visible" r:id="rId42"/>
    <sheet name="emissions_more" sheetId="16" state="visible" r:id="rId43"/>
    <sheet name="emissions_more_NSPS" sheetId="17" state="visible" r:id="rId44"/>
    <sheet name="emissions_more_EG" sheetId="18" state="visible" r:id="rId45"/>
    <sheet name="secondary_emissions_tbl" sheetId="121" state="visible" r:id="rId46"/>
    <sheet name="gas_revenue" sheetId="19" state="visible" r:id="rId47"/>
    <sheet name="costs" sheetId="23" state="visible" r:id="rId48"/>
    <sheet name="cost_undisc_7" sheetId="31" state="visible" r:id="rId49"/>
    <sheet name="cost_undisc_3" sheetId="32" state="visible" r:id="rId50"/>
    <sheet name="cost_undisc_7_less" sheetId="33" state="visible" r:id="rId51"/>
    <sheet name="cost_undisc_3_less" sheetId="34" state="visible" r:id="rId52"/>
    <sheet name="cost_undisc_7_more" sheetId="35" state="visible" r:id="rId53"/>
    <sheet name="cost_undisc_3_more" sheetId="36" state="visible" r:id="rId54"/>
    <sheet name="cost_disc_7" sheetId="37" state="visible" r:id="rId55"/>
    <sheet name="cost_disc_7_NSPS" sheetId="38" state="visible" r:id="rId56"/>
    <sheet name="cost_disc_7_EG" sheetId="39" state="visible" r:id="rId57"/>
    <sheet name="cost_disc_3" sheetId="40" state="visible" r:id="rId58"/>
    <sheet name="cost_disc_3_NSPS" sheetId="41" state="visible" r:id="rId59"/>
    <sheet name="cost_disc_3_EG" sheetId="42" state="visible" r:id="rId60"/>
    <sheet name="cost_disc_7_less" sheetId="49" state="visible" r:id="rId61"/>
    <sheet name="cost_disc_7_less_NSPS" sheetId="50" state="visible" r:id="rId62"/>
    <sheet name="cost_disc_7_less_EG" sheetId="51" state="visible" r:id="rId63"/>
    <sheet name="cost_disc_3_less" sheetId="52" state="visible" r:id="rId64"/>
    <sheet name="cost_disc_3_less_NSPS" sheetId="53" state="visible" r:id="rId65"/>
    <sheet name="cost_disc_3_less_EG" sheetId="54" state="visible" r:id="rId66"/>
    <sheet name="cost_disc_7_more" sheetId="55" state="visible" r:id="rId67"/>
    <sheet name="cost_disc_7_more_NSPS" sheetId="56" state="visible" r:id="rId68"/>
    <sheet name="cost_disc_7_more_EG" sheetId="57" state="visible" r:id="rId69"/>
    <sheet name="cost_disc_3_more" sheetId="58" state="visible" r:id="rId70"/>
    <sheet name="cost_disc_3_more_NSPS" sheetId="59" state="visible" r:id="rId71"/>
    <sheet name="cost_disc_3_more_EG" sheetId="60" state="visible" r:id="rId72"/>
    <sheet name="cb_undisc" sheetId="80" state="visible" r:id="rId73"/>
    <sheet name="cb_disc" sheetId="81" state="visible" r:id="rId74"/>
    <sheet name="cb_undisc_NSPS" sheetId="82" state="visible" r:id="rId75"/>
    <sheet name="cb_disc_NSPS" sheetId="83" state="visible" r:id="rId76"/>
    <sheet name="cb_undisc_EG" sheetId="84" state="visible" r:id="rId77"/>
    <sheet name="cb_disc_EG" sheetId="85" state="visible" r:id="rId78"/>
    <sheet name="cb_undisc_less" sheetId="94" state="visible" r:id="rId79"/>
    <sheet name="cb_disc_less" sheetId="95" state="visible" r:id="rId80"/>
    <sheet name="cb_undisc_less_NSPS" sheetId="96" state="visible" r:id="rId81"/>
    <sheet name="cb_disc_less_NSPS" sheetId="97" state="visible" r:id="rId82"/>
    <sheet name="cb_undisc_less_EG" sheetId="98" state="visible" r:id="rId83"/>
    <sheet name="cb_disc_less_EG" sheetId="99" state="visible" r:id="rId84"/>
    <sheet name="cb_undisc_more" sheetId="100" state="visible" r:id="rId85"/>
    <sheet name="cb_disc_more" sheetId="101" state="visible" r:id="rId86"/>
    <sheet name="cb_undisc_more_NSPS" sheetId="102" state="visible" r:id="rId87"/>
    <sheet name="cb_disc_more_NSPS" sheetId="103" state="visible" r:id="rId88"/>
    <sheet name="cb_undisc_more_EG" sheetId="104" state="visible" r:id="rId89"/>
    <sheet name="cb_disc_more_EG" sheetId="105" state="visible" r:id="rId90"/>
    <sheet name="SC-GHG" sheetId="70" state="visible" r:id="rId91"/>
    <sheet name="BEA GDP Deflator" sheetId="72" state="visible" r:id="rId92"/>
  </sheets>
  <externalReferences>
    <externalReference r:id="rId93"/>
  </externalReferences>
  <definedNames>
    <definedName name="_Hlk83319178" localSheetId="21">'Table 5-2'!$B$9</definedName>
    <definedName name="_Ref109285473" localSheetId="27">'Table B-1'!$B$17</definedName>
    <definedName name="_Ref109371336" localSheetId="5">'Table 2-4'!$B$18</definedName>
    <definedName name="_Ref110341671" localSheetId="25">'Table A-1'!$B$11</definedName>
    <definedName name="_Ref110341688" localSheetId="26">'Table A-2'!$B$53</definedName>
    <definedName name="_Ref445289220" localSheetId="9">'Table 2-8'!$B$21</definedName>
    <definedName name="_Ref445292325" localSheetId="16">'Table 3-7'!$B$19</definedName>
    <definedName name="_Ref507149124" localSheetId="10">'Table 2-9'!$B$21</definedName>
    <definedName name="_Ref507159956" localSheetId="11">'Table 2-10'!$B$22</definedName>
    <definedName name="_Ref510528060" localSheetId="11">'Table 2-10'!$B$22</definedName>
    <definedName name="_Ref81820850" localSheetId="1">'Table 1'!$A$63</definedName>
    <definedName name="_Ref81922057" localSheetId="20">'Table 5-1'!$B$2</definedName>
    <definedName name="_Ref82003742" localSheetId="19">'Table 3-10'!$B$2</definedName>
    <definedName name="_Ref82003742" localSheetId="17">'Table 3-8'!$B$2</definedName>
    <definedName name="_Ref82003742" localSheetId="18">'Table 3-9'!$B$2</definedName>
    <definedName name="_Ref82005880" localSheetId="21">'Table 5-2'!$B$2</definedName>
    <definedName name="_Ref83284325" localSheetId="12">'Table 2-12'!$B$2</definedName>
    <definedName name="_Toc80963391" localSheetId="1">'Table 1'!$A$2</definedName>
    <definedName name="ann3_eav_eg">[1]cost_disc_3_EG!$E$19</definedName>
    <definedName name="ann3_eav_nsps">[1]cost_disc_3_NSPS!$E$19</definedName>
    <definedName name="ann3_pv_eg">[1]cost_disc_3_EG!$E$18</definedName>
    <definedName name="ann3_pv_nsps">[1]cost_disc_3_NSPS!$E$18</definedName>
    <definedName name="ann7_eav_eg">[1]cost_disc_7_EG!$E$19</definedName>
    <definedName name="ann7_eav_nsps">[1]cost_disc_7_NSPS!$E$19</definedName>
    <definedName name="ann7_pv_eg">[1]cost_disc_7_EG!$E$18</definedName>
    <definedName name="ann7_pv_nsps">[1]cost_disc_7_NSPS!$E$18</definedName>
    <definedName name="co2e_eg">[1]emissions_EG!$F$20</definedName>
    <definedName name="co2e_nsps">[1]emissions_NSPS!$F$20</definedName>
    <definedName name="eav_fac_3_eg" localSheetId="0">'[1]Climate Benefits'!$B$6</definedName>
    <definedName name="eav_fac_3_eg" localSheetId="2">'[1]Climate Benefits'!$B$6</definedName>
    <definedName name="eav_fac_3_eg" localSheetId="3">'[1]Climate Benefits'!$B$6</definedName>
    <definedName name="eav_fac_3_eg" localSheetId="11">'[1]Climate Benefits'!$B$6</definedName>
    <definedName name="eav_fac_3_eg" localSheetId="12">'[1]Climate Benefits'!$B$6</definedName>
    <definedName name="eav_fac_3_eg" localSheetId="7">'[1]Climate Benefits'!$B$6</definedName>
    <definedName name="eav_fac_3_eg" localSheetId="8">'[1]Climate Benefits'!$B$6</definedName>
    <definedName name="eav_fac_3_eg" localSheetId="9">'[1]Climate Benefits'!$B$6</definedName>
    <definedName name="eav_fac_3_eg" localSheetId="10">'[1]Climate Benefits'!$B$6</definedName>
    <definedName name="eav_fac_3_eg" localSheetId="19">'[1]Climate Benefits'!$B$6</definedName>
    <definedName name="eav_fac_3_eg" localSheetId="17">'[1]Climate Benefits'!$B$6</definedName>
    <definedName name="eav_fac_3_eg" localSheetId="18">'[1]Climate Benefits'!$B$6</definedName>
    <definedName name="eav_fac_3_eg" localSheetId="20">'[1]Climate Benefits'!$B$6</definedName>
    <definedName name="eav_fac_3_eg" localSheetId="21">'[1]Climate Benefits'!$B$6</definedName>
    <definedName name="eav_fac_3_eg" localSheetId="22">'[1]Climate Benefits'!$B$6</definedName>
    <definedName name="eav_fac_3_eg" localSheetId="23">'[1]Climate Benefits'!$B$6</definedName>
    <definedName name="eav_fac_3_eg">#REF!</definedName>
    <definedName name="eav_fac_3_nsps" localSheetId="0">'[1]Climate Benefits'!$B$5</definedName>
    <definedName name="eav_fac_3_nsps" localSheetId="2">'[1]Climate Benefits'!$B$5</definedName>
    <definedName name="eav_fac_3_nsps" localSheetId="3">'[1]Climate Benefits'!$B$5</definedName>
    <definedName name="eav_fac_3_nsps" localSheetId="11">'[1]Climate Benefits'!$B$5</definedName>
    <definedName name="eav_fac_3_nsps" localSheetId="12">'[1]Climate Benefits'!$B$5</definedName>
    <definedName name="eav_fac_3_nsps" localSheetId="7">'[1]Climate Benefits'!$B$5</definedName>
    <definedName name="eav_fac_3_nsps" localSheetId="8">'[1]Climate Benefits'!$B$5</definedName>
    <definedName name="eav_fac_3_nsps" localSheetId="9">'[1]Climate Benefits'!$B$5</definedName>
    <definedName name="eav_fac_3_nsps" localSheetId="10">'[1]Climate Benefits'!$B$5</definedName>
    <definedName name="eav_fac_3_nsps" localSheetId="19">'[1]Climate Benefits'!$B$5</definedName>
    <definedName name="eav_fac_3_nsps" localSheetId="17">'[1]Climate Benefits'!$B$5</definedName>
    <definedName name="eav_fac_3_nsps" localSheetId="18">'[1]Climate Benefits'!$B$5</definedName>
    <definedName name="eav_fac_3_nsps" localSheetId="20">'[1]Climate Benefits'!$B$5</definedName>
    <definedName name="eav_fac_3_nsps" localSheetId="21">'[1]Climate Benefits'!$B$5</definedName>
    <definedName name="eav_fac_3_nsps" localSheetId="22">'[1]Climate Benefits'!$B$5</definedName>
    <definedName name="eav_fac_3_nsps" localSheetId="23">'[1]Climate Benefits'!$B$5</definedName>
    <definedName name="eav_fac_3_nsps">#REF!</definedName>
    <definedName name="eav_fac_7_eg" localSheetId="19">'[1]Climate Benefits'!$C$6</definedName>
    <definedName name="eav_fac_7_eg" localSheetId="17">'[1]Climate Benefits'!$C$6</definedName>
    <definedName name="eav_fac_7_eg" localSheetId="18">'[1]Climate Benefits'!$C$6</definedName>
    <definedName name="eav_fac_7_eg">#REF!</definedName>
    <definedName name="eav_fac_7_nsps" localSheetId="19">'[1]Climate Benefits'!$C$5</definedName>
    <definedName name="eav_fac_7_nsps" localSheetId="17">'[1]Climate Benefits'!$C$5</definedName>
    <definedName name="eav_fac_7_nsps" localSheetId="18">'[1]Climate Benefits'!$C$5</definedName>
    <definedName name="eav_fac_7_nsps">#REF!</definedName>
    <definedName name="end_year">'[1]Climate Benefits'!$J$4</definedName>
    <definedName name="gasrev3_eav_eg">[1]cost_disc_3_EG!$F$19</definedName>
    <definedName name="gasrev3_eav_nsps">[1]cost_disc_3_NSPS!$F$19</definedName>
    <definedName name="gasrev3_pv_eg">[1]cost_disc_3_EG!$F$18</definedName>
    <definedName name="gasrev3_pv_nsps">[1]cost_disc_3_NSPS!$F$18</definedName>
    <definedName name="gasrev7_eav_eg">[1]cost_disc_7_EG!$F$19</definedName>
    <definedName name="gasrev7_eav_nsps">[1]cost_disc_7_NSPS!$F$19</definedName>
    <definedName name="gasrev7_pv_eg">[1]cost_disc_7_EG!$F$18</definedName>
    <definedName name="gasrev7_pv_nsps">[1]cost_disc_7_NSPS!$F$18</definedName>
    <definedName name="hap_eg">[1]emissions_EG!$E$20</definedName>
    <definedName name="hap_nsps">[1]emissions_NSPS!$E$20</definedName>
    <definedName name="methane_eg">[1]emissions_EG!$C$20</definedName>
    <definedName name="methane_nsps">[1]emissions_NSPS!$C$20</definedName>
    <definedName name="mt_per_st">'[1]Climate Benefits'!$L$2</definedName>
    <definedName name="n_eg" localSheetId="19">'[1]Climate Benefits'!#REF!</definedName>
    <definedName name="n_eg" localSheetId="17">'[1]Climate Benefits'!#REF!</definedName>
    <definedName name="n_eg" localSheetId="18">'[1]Climate Benefits'!#REF!</definedName>
    <definedName name="n_eg">'[1]Climate Benefits'!$J$6</definedName>
    <definedName name="n_nsps">'[1]Climate Benefits'!$J$5</definedName>
    <definedName name="short_to_metric">[1]emissions!$J$1</definedName>
    <definedName name="start_eg">'[1]Climate Benefits'!$J$3</definedName>
    <definedName name="start_nsps">'[1]Climate Benefits'!$J$2</definedName>
    <definedName name="voc_eg">[1]emissions_EG!$D$20</definedName>
    <definedName name="voc_nsps">[1]emissions_NSPS!$D$20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<sst xmlns="http://schemas.openxmlformats.org/spreadsheetml/2006/main" count="623" uniqueCount="623">
  <si>
    <t>year</t>
  </si>
  <si>
    <t>Methane</t>
  </si>
  <si>
    <t>VOC</t>
  </si>
  <si>
    <t>HAP</t>
  </si>
  <si>
    <t>gas_revenue</t>
  </si>
  <si>
    <t>ann_7</t>
  </si>
  <si>
    <t>ann_7_wgas</t>
  </si>
  <si>
    <t>ann_3</t>
  </si>
  <si>
    <t>ann_3_wgas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</si>
  <si>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</si>
  <si>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</si>
  <si>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</si>
  <si>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</si>
  <si>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</si>
  <si>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</si>
  <si>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</si>
  <si>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</si>
  <si>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</si>
  <si>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</si>
  <si>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</si>
  <si>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</si>
  <si>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</si>
  <si>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</si>
  <si>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</si>
  <si>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PV</t>
  </si>
  <si>
    <t>EAV</t>
  </si>
  <si>
    <t>Total</t>
  </si>
  <si>
    <t>Table 1‑6</t>
  </si>
  <si>
    <t>3 Percent Discount Rate</t>
  </si>
  <si>
    <t>7 Percent Discount Rate</t>
  </si>
  <si>
    <t>Net Compliance Costs</t>
  </si>
  <si>
    <t>Compliance Costs</t>
  </si>
  <si>
    <t>Value of Product Recovery</t>
  </si>
  <si>
    <t>Net Benefits</t>
  </si>
  <si>
    <t>Emissions Reductions</t>
  </si>
  <si>
    <t>2023-2035 Total</t>
  </si>
  <si>
    <t>Methane (short tons)</t>
  </si>
  <si>
    <t>Methane (million metric tons CO2 Eq.)</t>
  </si>
  <si>
    <t xml:space="preserve">   </t>
  </si>
  <si>
    <t>Table 1‑4</t>
  </si>
  <si>
    <t>Table 1‑5</t>
  </si>
  <si>
    <t>Table 1‑3</t>
  </si>
  <si>
    <t>Proposal</t>
  </si>
  <si>
    <t>Emission Changes</t>
  </si>
  <si>
    <t>(million short tons)</t>
  </si>
  <si>
    <r>
      <t>(million metric tons CO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rgb="FF000000"/>
        <rFont val="Times New Roman"/>
        <family val="1"/>
      </rPr>
      <t xml:space="preserve"> Eq. using GWP=25)</t>
    </r>
  </si>
  <si>
    <t>NSPS OOOOb</t>
  </si>
  <si>
    <t>EG OOOOc</t>
  </si>
  <si>
    <t>Table 1‑4 - NSPS</t>
  </si>
  <si>
    <t>Table 1‑5 - EG</t>
  </si>
  <si>
    <t>Table 1‑6 - Total</t>
  </si>
  <si>
    <t>3% 95th Pct._N2O</t>
  </si>
  <si>
    <t>2.5%_N2O</t>
  </si>
  <si>
    <t>3.0%_N2O</t>
  </si>
  <si>
    <t>5.0%_N2O</t>
  </si>
  <si>
    <t>3% 95th Pct._CH4</t>
  </si>
  <si>
    <t>2.5%_CH4</t>
  </si>
  <si>
    <t>3.0%_CH4</t>
  </si>
  <si>
    <t>5.0%_CH4</t>
  </si>
  <si>
    <t>3% 95th Pct._CO2</t>
  </si>
  <si>
    <t>2.5%_CO2</t>
  </si>
  <si>
    <t>3.0%_CO2</t>
  </si>
  <si>
    <t>5.0%_CO2</t>
  </si>
  <si>
    <t>Year</t>
  </si>
  <si>
    <t>t</t>
  </si>
  <si>
    <t>index</t>
  </si>
  <si>
    <t>deflator</t>
  </si>
  <si>
    <t>Table 2‑6</t>
  </si>
  <si>
    <t xml:space="preserve">Methane </t>
  </si>
  <si>
    <t xml:space="preserve">VOC </t>
  </si>
  <si>
    <t xml:space="preserve">HAP </t>
  </si>
  <si>
    <t>(short tons)</t>
  </si>
  <si>
    <r>
      <t>(metric tons CO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rgb="FF000000"/>
        <rFont val="Times New Roman"/>
        <family val="1"/>
      </rPr>
      <t xml:space="preserve"> Eq.)</t>
    </r>
  </si>
  <si>
    <t>Table 2-7</t>
  </si>
  <si>
    <t>Increase in Gas Recovery (Bcf)</t>
  </si>
  <si>
    <t>Increased Revenue (millions 2019$)</t>
  </si>
  <si>
    <t>Annualized Cost (with Increased Revenue from Product Recovery)</t>
  </si>
  <si>
    <t>Increased Revenue from Product Recovery</t>
  </si>
  <si>
    <t>Operating and Maintenance Costs</t>
  </si>
  <si>
    <t>Estimated Costs under Proposed NSPS Amendments and EG, 2023–2035 (millions 2019$)</t>
  </si>
  <si>
    <t>Table 2‑8</t>
  </si>
  <si>
    <t>Total Costs (with Revenue)</t>
  </si>
  <si>
    <t>Revenue from Product Recovery</t>
  </si>
  <si>
    <t>Total Costs (w/o Revenue)</t>
  </si>
  <si>
    <t xml:space="preserve">Annual Operating Costs </t>
  </si>
  <si>
    <t xml:space="preserve">Capital Costs </t>
  </si>
  <si>
    <t>Undiscounted Projected Compliance Costs for the Proposed Standards, 2023–2035 (millions 2019$)</t>
  </si>
  <si>
    <t>Table 2‑9</t>
  </si>
  <si>
    <t>Table 2‑10</t>
  </si>
  <si>
    <t>Table 2‑12</t>
  </si>
  <si>
    <t>Discounted Costs under Proposed NSPS Amendments and EG, 2023–2035 (millions 2019$)</t>
  </si>
  <si>
    <t>7 Percent</t>
  </si>
  <si>
    <t>3 Percent</t>
  </si>
  <si>
    <t>Total Annual Cost  (w/o Product Recovery Revenue)</t>
  </si>
  <si>
    <t>Total Annual Cost  (w/ Product Recovery Revenue)</t>
  </si>
  <si>
    <t>Storage Vessels</t>
  </si>
  <si>
    <t>Liquids Unloading</t>
  </si>
  <si>
    <t>Centrifugal Compressors</t>
  </si>
  <si>
    <t>Reciprocating Compressors</t>
  </si>
  <si>
    <t>Pneumatic Pumps</t>
  </si>
  <si>
    <t>Natural Gas Processing Plants</t>
  </si>
  <si>
    <t>Transmission and Storage Compressor Stations</t>
  </si>
  <si>
    <t>Gathering and Boosting Stations</t>
  </si>
  <si>
    <t>Well Sites</t>
  </si>
  <si>
    <t>Table 2‑5</t>
  </si>
  <si>
    <t>Source</t>
  </si>
  <si>
    <t>Nationwide Emissions Reductions</t>
  </si>
  <si>
    <t>Net Compliance Cost</t>
  </si>
  <si>
    <t>Methane 
(short tons)</t>
  </si>
  <si>
    <t>VOC 
(short tons)</t>
  </si>
  <si>
    <t>HAP 
(short tons)</t>
  </si>
  <si>
    <t>Methane 
(metric tons CO2e)</t>
  </si>
  <si>
    <t>Pneumatic Controllers</t>
  </si>
  <si>
    <t>disc_ann_7</t>
  </si>
  <si>
    <t>disc_gas_revenue</t>
  </si>
  <si>
    <t>disc_ann_7_wgas</t>
  </si>
  <si>
    <t>disc_capital</t>
  </si>
  <si>
    <t>disc_annual</t>
  </si>
  <si>
    <t>Table 3‑3</t>
  </si>
  <si>
    <t>Discount Rate and Statistic</t>
  </si>
  <si>
    <t>Average</t>
  </si>
  <si>
    <t>Table 3‑4</t>
  </si>
  <si>
    <t>Undiscounted</t>
  </si>
  <si>
    <t>Table 3‑5</t>
  </si>
  <si>
    <t>Discounted back to 2021</t>
  </si>
  <si>
    <t>Annualized Cost with Revenue (3 percent)</t>
  </si>
  <si>
    <t>Annualized Cost w/o Revenue (3 percent)</t>
  </si>
  <si>
    <t>Costs</t>
  </si>
  <si>
    <t>VOC Emissions (short tons/year)</t>
  </si>
  <si>
    <t>Methane Emissions (short tons/year)</t>
  </si>
  <si>
    <t>Total Impacts, 2035</t>
  </si>
  <si>
    <t>Total Impacts, 2026</t>
  </si>
  <si>
    <t>Total Impacts, 2023</t>
  </si>
  <si>
    <t>More Stringent</t>
  </si>
  <si>
    <t>Primary Proposal</t>
  </si>
  <si>
    <t>Less Stringent</t>
  </si>
  <si>
    <t xml:space="preserve">Primary Proposal </t>
  </si>
  <si>
    <t>Regulatory Alternative</t>
  </si>
  <si>
    <t>Benefits, Compliance Costs, and Emissions Reductions for the More Strict NSPS Amendments and EG, 2023–2035 (dollars in millions 2019$)</t>
  </si>
  <si>
    <t>Benefits, Compliance Costs, and Emissions Reductions for the More Strict NSPS Amendments, 2023–2035 (dollars in millions 2019$)</t>
  </si>
  <si>
    <t>Benefits, Compliance Costs, and Emissions Reductions for the More Strict EG, 2023–2035 (dollars in millions 2019$)</t>
  </si>
  <si>
    <t>Table 5‑1</t>
  </si>
  <si>
    <t>Regulatory Option</t>
  </si>
  <si>
    <t>Proposed Requirements</t>
  </si>
  <si>
    <t>Methane (millions short tons)</t>
  </si>
  <si>
    <t>VOC (millions short tons)</t>
  </si>
  <si>
    <t>HAP (millions short tons)</t>
  </si>
  <si>
    <t>Less Stringent Option 1</t>
  </si>
  <si>
    <t>More Stringent Option 3</t>
  </si>
  <si>
    <t>Less Stringent Option</t>
  </si>
  <si>
    <t>More Stringent Option</t>
  </si>
  <si>
    <t>Primary Proposed Option 2</t>
  </si>
  <si>
    <t>Table 5‑2</t>
  </si>
  <si>
    <t>Non-Monetized Benefits</t>
  </si>
  <si>
    <t>Climate and ozone health benefits from reducing methane emissions by (in short tons):</t>
  </si>
  <si>
    <t>HAP benefits from reducing HAP emissions by (in short tons):</t>
  </si>
  <si>
    <t>Table 5‑3</t>
  </si>
  <si>
    <t>Table 5‑4</t>
  </si>
  <si>
    <t>Capital Cost</t>
  </si>
  <si>
    <t>Annualized Cost (w/o Revenue from Product Recovery</t>
  </si>
  <si>
    <t>Annualized Cost (w/ Revenue from Product Recovery</t>
  </si>
  <si>
    <t>2034</t>
  </si>
  <si>
    <t>2035</t>
  </si>
  <si>
    <t>THC</t>
  </si>
  <si>
    <t>CO</t>
  </si>
  <si>
    <t>NOx</t>
  </si>
  <si>
    <t>PM</t>
  </si>
  <si>
    <t>CO2</t>
  </si>
  <si>
    <t>THC 
(tons)</t>
  </si>
  <si>
    <t>CO 
(tons)</t>
  </si>
  <si>
    <t>NOx 
(tons)</t>
  </si>
  <si>
    <t>PM 
(tons)</t>
  </si>
  <si>
    <t>CO2 
(tons)</t>
  </si>
  <si>
    <t>Pneumatic Devices</t>
  </si>
  <si>
    <r>
      <t>95</t>
    </r>
    <r>
      <rPr>
        <b/>
        <vertAlign val="superscript"/>
        <sz val="10"/>
        <color rgb="FF000000"/>
        <rFont val="Times New Roman"/>
        <family val="1"/>
      </rPr>
      <t>th</t>
    </r>
    <r>
      <rPr>
        <b/>
        <sz val="10"/>
        <color rgb="FF000000"/>
        <rFont val="Times New Roman"/>
        <family val="1"/>
      </rPr>
      <t xml:space="preserve"> Percentile</t>
    </r>
  </si>
  <si>
    <r>
      <t>PM</t>
    </r>
    <r>
      <rPr>
        <vertAlign val="subscript"/>
        <sz val="10"/>
        <color rgb="FF000000"/>
        <rFont val="Times New Roman"/>
        <family val="1"/>
      </rPr>
      <t>2.5</t>
    </r>
    <r>
      <rPr>
        <sz val="10"/>
        <color rgb="FF000000"/>
        <rFont val="Times New Roman"/>
        <family val="1"/>
      </rPr>
      <t xml:space="preserve"> and ozone health benefits from reducing VOC emissions by (in short tons):</t>
    </r>
  </si>
  <si>
    <r>
      <t>Comparison of PV and EAV of the Projected Benefits for Combined NSPS OOOOb and EG OOOOc Across Regulatory Options, 2023-2035 (millions of 2019$)</t>
    </r>
    <r>
      <rPr>
        <sz val="8"/>
        <color theme="1"/>
        <rFont val="Times New Roman"/>
        <family val="1"/>
      </rPr>
      <t>  </t>
    </r>
  </si>
  <si>
    <t xml:space="preserve">Total </t>
  </si>
  <si>
    <r>
      <t>Comparison of PV and EAV of the Projected Benefits for NSPS OOOOb Across Regulatory Options, 2023-2035 (millions of 2019$)</t>
    </r>
    <r>
      <rPr>
        <sz val="8"/>
        <color theme="1"/>
        <rFont val="Times New Roman"/>
        <family val="1"/>
      </rPr>
      <t>  </t>
    </r>
  </si>
  <si>
    <r>
      <t>Comparison of PV and EAV of the Projected Benefits for EG OOOOc Across Regulatory Options, 2023-2035 (millions of 2019$)</t>
    </r>
    <r>
      <rPr>
        <sz val="8"/>
        <color theme="1"/>
        <rFont val="Times New Roman"/>
        <family val="1"/>
      </rPr>
      <t>  </t>
    </r>
  </si>
  <si>
    <t>2.5%_NCEE_CH4</t>
  </si>
  <si>
    <t>2.0%_NCEE_CH4</t>
  </si>
  <si>
    <t>1.5%_NCEE_CH4</t>
  </si>
  <si>
    <t>Copied from tsd-sc-ghg.xlsx, 2019$_per_metric_ton tab</t>
  </si>
  <si>
    <t>Table 3-8</t>
  </si>
  <si>
    <t>Table 3-9</t>
  </si>
  <si>
    <t>Table 3-10</t>
  </si>
  <si>
    <t>Table 5-4</t>
  </si>
  <si>
    <t>Table 5-3</t>
  </si>
  <si>
    <t>Table 5-2</t>
  </si>
  <si>
    <t>Tables 5-1 to 5-4 all contain references to the corresponding entries in the Table 1* tabs</t>
  </si>
  <si>
    <t>Table 5-1</t>
  </si>
  <si>
    <t>Table 2-13</t>
  </si>
  <si>
    <t>Detail Table - 2-11</t>
  </si>
  <si>
    <t>Discounted costs; data references to cost_disc_* tabs</t>
  </si>
  <si>
    <t>Table 2-10</t>
  </si>
  <si>
    <t>Undiscounted compliance cost table; data references to cost_undisc* tabs</t>
  </si>
  <si>
    <t xml:space="preserve">Table 2-9 </t>
  </si>
  <si>
    <t>Compliance cost table; data references to costs tab</t>
  </si>
  <si>
    <t>Table 2-8</t>
  </si>
  <si>
    <t>Gas recovery/revenue table; data references to gas_revenue tab</t>
  </si>
  <si>
    <t>Table 2-6</t>
  </si>
  <si>
    <t>Table 2-5</t>
  </si>
  <si>
    <t>These tables are not in the RIA but are used for checking and constructing other tables</t>
  </si>
  <si>
    <t>contains Table 1-3 through Table 1-6; these are the main tables for the primary proposal</t>
  </si>
  <si>
    <t>Table 1</t>
  </si>
  <si>
    <t>Sheets</t>
  </si>
  <si>
    <t>Input data are output to Excel by "docs/tables_xlsx_output_2022_supplemental.Rmd", which is run by _targets.R</t>
  </si>
  <si>
    <t>these tables contain references to data in cb_disc*, cost_disc_*, and emissions*</t>
  </si>
  <si>
    <t>contain the same tables but for the less strict option and more strict option</t>
  </si>
  <si>
    <t>Affected facilities table for proposal; all data appears in the same sheet, but are references to fac_affected tab</t>
  </si>
  <si>
    <t xml:space="preserve">Emissions reductions for proposal; all data appear in the same sheet, but are references to emissions tab  </t>
  </si>
  <si>
    <t xml:space="preserve">alternative options impacts for 2023, 2026, 2035; data references to emissions*, cost_undisc* tabs </t>
  </si>
  <si>
    <t>Table 3-3</t>
  </si>
  <si>
    <t>SC-CH4; references to SC-GHG and BEA GDP Delflator tabs</t>
  </si>
  <si>
    <t xml:space="preserve">Table 3-4 </t>
  </si>
  <si>
    <t>Table 3-5</t>
  </si>
  <si>
    <t>Table 3-7</t>
  </si>
  <si>
    <t>Undiscounted climate benefits; data references to cb_undisc</t>
  </si>
  <si>
    <t>Discounted climate benefits; data references to cb_disc</t>
  </si>
  <si>
    <t>Secondary emission impacts; data references to secondary_emissions_tbl</t>
  </si>
  <si>
    <t>Table 3-8 through Table 3-10</t>
  </si>
  <si>
    <t>Comparisons across regulatory options; data references to cb_* and emissions* tabs</t>
  </si>
  <si>
    <t>climate_benefits</t>
  </si>
  <si>
    <t>disc_climate_benefits</t>
  </si>
  <si>
    <t>sc_ch4_3.0%</t>
  </si>
  <si>
    <t>Metric to short ton:</t>
  </si>
  <si>
    <t>2020 to 2019$:</t>
  </si>
  <si>
    <t>Methane Benefits (PV, million 2019$)</t>
  </si>
  <si>
    <t>DF_.03</t>
  </si>
  <si>
    <t>DF_.07</t>
  </si>
  <si>
    <t>Methane Benefits (EAV, million 2019$)</t>
  </si>
  <si>
    <t>EAV_fac_03</t>
  </si>
  <si>
    <t>Annualized Cost, without Product Recovery</t>
  </si>
  <si>
    <t xml:space="preserve">Capital Cost </t>
  </si>
  <si>
    <t>Annualized Cost with Product Recovery</t>
  </si>
  <si>
    <t>Costs and Benefits (EAV, million 2019$)</t>
  </si>
  <si>
    <t xml:space="preserve">Methane Benefits </t>
  </si>
  <si>
    <t>Oil</t>
  </si>
  <si>
    <t>Table B‑1</t>
  </si>
  <si>
    <t>Table B-2</t>
  </si>
  <si>
    <t>Table B-3</t>
  </si>
  <si>
    <t>data references to tbl_detail_2021; this tab also contains the data in Table 8-3 of the TSD.</t>
  </si>
  <si>
    <t>TSD Table 8-3 Input</t>
  </si>
  <si>
    <t>Table 2‑4</t>
  </si>
  <si>
    <t>Distribution of Well Sites in Equipment Bins</t>
  </si>
  <si>
    <t>Site Bin</t>
  </si>
  <si>
    <t>Proportions in the base year (2019)</t>
  </si>
  <si>
    <t>Proportions in the projected years</t>
  </si>
  <si>
    <t>Natural Gas</t>
  </si>
  <si>
    <t>Single wellhead</t>
  </si>
  <si>
    <t>Wellhead only</t>
  </si>
  <si>
    <t>One piece of major equipment, including tank batteries</t>
  </si>
  <si>
    <t>More than one piece of major equipment, including tank batteries</t>
  </si>
  <si>
    <t>Multi-wellhead</t>
  </si>
  <si>
    <t>Gas</t>
  </si>
  <si>
    <t>Product</t>
  </si>
  <si>
    <t>&lt;=3 BOE/day/well</t>
  </si>
  <si>
    <t>3-15 BOE/day/well</t>
  </si>
  <si>
    <t>15-100 BOE/day/well</t>
  </si>
  <si>
    <t>&gt;100 BOE/day/well</t>
  </si>
  <si>
    <t>Oil.Decl</t>
  </si>
  <si>
    <t>Gas.Decl</t>
  </si>
  <si>
    <t>year</t>
  </si>
  <si>
    <t>source</t>
  </si>
  <si>
    <t>detail_2</t>
  </si>
  <si>
    <t>detail_3</t>
  </si>
  <si>
    <t>fac_affected</t>
  </si>
  <si>
    <t>2023</t>
  </si>
  <si>
    <t>fugitives</t>
  </si>
  <si>
    <t>G&amp;B Stations</t>
  </si>
  <si>
    <t>Processing Plants</t>
  </si>
  <si>
    <t>Large Plants</t>
  </si>
  <si>
    <t>Small Plants</t>
  </si>
  <si>
    <t>T&amp;S Compressor Stations</t>
  </si>
  <si>
    <t>Compressor Stations (Transmission)</t>
  </si>
  <si>
    <t>Compressor Stations (Storage)</t>
  </si>
  <si>
    <t>Wellpad Fugitives</t>
  </si>
  <si>
    <t>1: No equipment, no tanks</t>
  </si>
  <si>
    <t>2: Tanks, no equipment</t>
  </si>
  <si>
    <t>3: Equipment = 1, no tanks</t>
  </si>
  <si>
    <t>4: Equipment &gt; 1, no tanks</t>
  </si>
  <si>
    <t>5: Equipment = 1 and tanks</t>
  </si>
  <si>
    <t>6: Equipment &gt; 1 and tanks</t>
  </si>
  <si>
    <t>compressors</t>
  </si>
  <si>
    <t>G&amp;B Station Recip Comp</t>
  </si>
  <si>
    <t>Proc Recip Comp</t>
  </si>
  <si>
    <t>T&amp;S Recip Comp</t>
  </si>
  <si>
    <t>Reciprocating Compressors (Transmission)</t>
  </si>
  <si>
    <t>Reciprocating Compressors (Storage)</t>
  </si>
  <si>
    <t>Wet Seal Centrifugal Compr</t>
  </si>
  <si>
    <t>G&amp;B WS Centrifugal Comp</t>
  </si>
  <si>
    <t>Proc WS Centrifugal Comp</t>
  </si>
  <si>
    <t>T&amp;S WS Centrifugal Comp</t>
  </si>
  <si>
    <t>Dry Seal Centrifugal Compr</t>
  </si>
  <si>
    <t>G&amp;B DS Centrifugal Comp</t>
  </si>
  <si>
    <t>Proc DS Centrifugal Comp</t>
  </si>
  <si>
    <t>T&amp;S DS Centrifugal Comp</t>
  </si>
  <si>
    <t>liquids_unloading</t>
  </si>
  <si>
    <t>pneucontr</t>
  </si>
  <si>
    <t>G&amp;B Pneumatic Controllers</t>
  </si>
  <si>
    <t>T&amp;S Pneumatic Controllers</t>
  </si>
  <si>
    <t>Well Pad Pneumatic Controllers</t>
  </si>
  <si>
    <t>pumps</t>
  </si>
  <si>
    <t>G&amp;B Pneumatic Pumps</t>
  </si>
  <si>
    <t>Well Pad Pumps</t>
  </si>
  <si>
    <t>Storage vessels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</si>
  <si>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</si>
  <si>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</si>
  <si>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</si>
  <si>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</si>
  <si>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</si>
  <si>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</si>
  <si>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</si>
  <si>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</si>
  <si>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</si>
  <si>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</si>
  <si>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</si>
  <si>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</si>
  <si>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Methane</t>
  </si>
  <si>
    <t>VOC</t>
  </si>
  <si>
    <t>HAP</t>
  </si>
  <si>
    <t>CH4_CO2e</t>
  </si>
  <si>
    <t>2020</t>
  </si>
  <si>
    <t>2021</t>
  </si>
  <si>
    <t>2022</t>
  </si>
  <si>
    <t>gas_capture</t>
  </si>
  <si>
    <t>gas_revenue</t>
  </si>
  <si>
    <t>capital_cost</t>
  </si>
  <si>
    <t>annual_cost</t>
  </si>
  <si>
    <t>ann_7</t>
  </si>
  <si>
    <t>ann_7_wgas</t>
  </si>
  <si>
    <t>PV</t>
  </si>
  <si>
    <t>EAV</t>
  </si>
  <si>
    <t>ann_3</t>
  </si>
  <si>
    <t>ann_3_wgas</t>
  </si>
  <si>
    <t>5.0%_CH4_undisc</t>
  </si>
  <si>
    <t>3.0%_CH4_undisc</t>
  </si>
  <si>
    <t>2.5%_CH4_undisc</t>
  </si>
  <si>
    <t>3% 95th Pct._CH4_undisc</t>
  </si>
  <si>
    <t>2.5%_NCEE_CH4_undisc</t>
  </si>
  <si>
    <t>2.0%_NCEE_CH4_undisc</t>
  </si>
  <si>
    <t>1.5%_NCEE_CH4_undisc</t>
  </si>
  <si>
    <t>7.0%_domestic_CH4_undisc</t>
  </si>
  <si>
    <t>3.0%_domestic_CH4_undisc</t>
  </si>
  <si>
    <t>2.5%_domestic_CH4_undisc</t>
  </si>
  <si>
    <t>2.0%_domestic_CH4_undisc</t>
  </si>
  <si>
    <t>5.0%_CH4_disc</t>
  </si>
  <si>
    <t>3.0%_CH4_disc</t>
  </si>
  <si>
    <t>2.5%_CH4_disc</t>
  </si>
  <si>
    <t>3% 95th Pct._CH4_disc</t>
  </si>
  <si>
    <t>2.5%_NCEE_CH4_disc</t>
  </si>
  <si>
    <t>2.0%_NCEE_CH4_disc</t>
  </si>
  <si>
    <t>1.5%_NCEE_CH4_disc</t>
  </si>
  <si>
    <t>3.0%_domestic_CH4_disc</t>
  </si>
  <si>
    <t>7.0%_domestic_CH4_disc</t>
  </si>
  <si>
    <t>2.5%_domestic_CH4_disc</t>
  </si>
  <si>
    <t>2.0%_domestic_CH4_disc</t>
  </si>
  <si>
    <t>THC</t>
  </si>
  <si>
    <t>CO</t>
  </si>
  <si>
    <t>NOx</t>
  </si>
  <si>
    <t>PM</t>
  </si>
  <si>
    <t>CO2</t>
  </si>
  <si>
    <t>2019</t>
  </si>
  <si>
    <t>Total</t>
  </si>
  <si>
    <t>wellsite_group</t>
  </si>
  <si>
    <t>Type</t>
  </si>
  <si>
    <t>base</t>
  </si>
  <si>
    <t>projection</t>
  </si>
  <si>
    <t>Natural Gas, Single-Wellhead, Wellhead Only</t>
  </si>
  <si>
    <t>Gas</t>
  </si>
  <si>
    <t>Natural Gas, Single-Wellhead, More than one piece of equipment, including tank batteries</t>
  </si>
  <si>
    <t>Natural Gas, Single-Wellhead, One piece of equipment, including tank batteries</t>
  </si>
  <si>
    <t>Natural Gas, Multi-Wellhead, Wellhead Only</t>
  </si>
  <si>
    <t>Natural Gas, Multi-Wellhead, More than one piece of equipment, including tank batteries</t>
  </si>
  <si>
    <t>Natural Gas, Multi-Wellhead, One piece of equipment, including tank batteries</t>
  </si>
  <si>
    <t>Oil, Single-Wellhead, Wellhead Only</t>
  </si>
  <si>
    <t>Oil</t>
  </si>
  <si>
    <t>Oil, Single-Wellhead, More than one piece of equipment, including tank batteries</t>
  </si>
  <si>
    <t>Oil, Single-Wellhead, One piece of equipment, including tank batteries</t>
  </si>
  <si>
    <t>Oil, Multi-Wellhead, Wellhead Only</t>
  </si>
  <si>
    <t>Oil, Multi-Wellhead, More than one piece of equipment, including tank batteries</t>
  </si>
  <si>
    <t>Oil, Multi-Wellhead, One piece of equipment, including tank batteries</t>
  </si>
  <si>
    <t>equip_bin</t>
  </si>
  <si>
    <t>Gas_Low_Single</t>
  </si>
  <si>
    <t>Gas_Low_Multi</t>
  </si>
  <si>
    <t>Gas_Non_low_Single</t>
  </si>
  <si>
    <t>Gas_Non_low_Multi</t>
  </si>
  <si>
    <t>Oil_Low_Single</t>
  </si>
  <si>
    <t>Oil_Low_Multi</t>
  </si>
  <si>
    <t>Oil_Non_low_Single</t>
  </si>
  <si>
    <t>Oil_Non_low_Multi</t>
  </si>
  <si>
    <t>well_type</t>
  </si>
  <si>
    <t>site_prod_lvl</t>
  </si>
  <si>
    <t>site_bin</t>
  </si>
  <si>
    <t>sep</t>
  </si>
  <si>
    <t>compr</t>
  </si>
  <si>
    <t>deh</t>
  </si>
  <si>
    <t>tank</t>
  </si>
  <si>
    <t>gas</t>
  </si>
  <si>
    <t>Low Production</t>
  </si>
  <si>
    <t>Single</t>
  </si>
  <si>
    <t>Multi</t>
  </si>
  <si>
    <t>Non-low Production</t>
  </si>
  <si>
    <t>oil</t>
  </si>
  <si>
    <t>Production Rate Bin (barrels of oil equivalents/day, or BOE/d)</t>
  </si>
  <si>
    <t>Production Type</t>
  </si>
  <si>
    <t>Greater than 100</t>
  </si>
  <si>
    <t>15–100</t>
  </si>
  <si>
    <t>3–15</t>
  </si>
  <si>
    <t>Less than 3</t>
  </si>
  <si>
    <t>Oil/Condensate</t>
  </si>
  <si>
    <r>
      <t xml:space="preserve">Non-low </t>
    </r>
    <r>
      <rPr>
        <b/>
        <sz val="10"/>
        <color theme="1"/>
        <rFont val="Times New Roman"/>
        <family val="1"/>
      </rPr>
      <t>Production</t>
    </r>
  </si>
  <si>
    <r>
      <t xml:space="preserve">Low </t>
    </r>
    <r>
      <rPr>
        <b/>
        <sz val="10"/>
        <color theme="1"/>
        <rFont val="Times New Roman"/>
        <family val="1"/>
      </rPr>
      <t>Production</t>
    </r>
  </si>
  <si>
    <t>Equipment/Tank Category</t>
  </si>
  <si>
    <t>(1) No major equipment or tanks</t>
  </si>
  <si>
    <t>(2) No major equipment with tanks</t>
  </si>
  <si>
    <t>(3) One piece of major equipment without tanks</t>
  </si>
  <si>
    <t>(4) One piece of major equipment with tanks</t>
  </si>
  <si>
    <t>(5) Two or more pieces of major equipment without tanks</t>
  </si>
  <si>
    <t>(6) Two or more pieces of major equipment with tanks</t>
  </si>
  <si>
    <t>Table A‑1</t>
  </si>
  <si>
    <t>Well Site Equipment/Tank Category Proportions Estimated From the 2016 ICR</t>
  </si>
  <si>
    <t>Equipment Count Per Well</t>
  </si>
  <si>
    <t>Well Type</t>
  </si>
  <si>
    <t>Site Production Level</t>
  </si>
  <si>
    <t>Site Well Count Bin</t>
  </si>
  <si>
    <t>Equipment Category</t>
  </si>
  <si>
    <t>Separators</t>
  </si>
  <si>
    <t>Compressors</t>
  </si>
  <si>
    <t>Dehydrators</t>
  </si>
  <si>
    <t>Tanks</t>
  </si>
  <si>
    <t>Low</t>
  </si>
  <si>
    <t>Non-low</t>
  </si>
  <si>
    <t>(1)</t>
  </si>
  <si>
    <t>(2)</t>
  </si>
  <si>
    <t>(6)</t>
  </si>
  <si>
    <t>(5)</t>
  </si>
  <si>
    <t>(4)</t>
  </si>
  <si>
    <t>(3)</t>
  </si>
  <si>
    <t>Table A‑2</t>
  </si>
  <si>
    <t>Per-Well Average Equipment/Tank Counts Estimated From the 2016 ICR</t>
  </si>
  <si>
    <r>
      <t>Updated Estimates of the Social Cost of CH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, 2023–2035 (in 2019$ per metric ton CH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)</t>
    </r>
  </si>
  <si>
    <r>
      <t>Undiscounted Monetized Climate Benefits Using Updated SC-CH</t>
    </r>
    <r>
      <rPr>
        <vertAlign val="subscript"/>
        <sz val="11"/>
        <color rgb="FF000000"/>
        <rFont val="Times New Roman"/>
        <family val="1"/>
      </rPr>
      <t>4</t>
    </r>
    <r>
      <rPr>
        <sz val="11"/>
        <color rgb="FF000000"/>
        <rFont val="Times New Roman"/>
        <family val="1"/>
      </rPr>
      <t xml:space="preserve"> Estimates under the NSPS OOOOb and EG OOOOc Option, 2023–2035 (millions, 2019$)</t>
    </r>
  </si>
  <si>
    <r>
      <t>Discounted Monetized Climate Benefits Using Updated SC-CH</t>
    </r>
    <r>
      <rPr>
        <vertAlign val="subscript"/>
        <sz val="11"/>
        <color rgb="FF000000"/>
        <rFont val="Times New Roman"/>
        <family val="1"/>
      </rPr>
      <t>4</t>
    </r>
    <r>
      <rPr>
        <sz val="11"/>
        <color rgb="FF000000"/>
        <rFont val="Times New Roman"/>
        <family val="1"/>
      </rPr>
      <t xml:space="preserve"> Estimates under the Proposed NSPS OOOOb and EG OOOOc Option, 2023–2035 (millions, 2019$)</t>
    </r>
  </si>
  <si>
    <t>Climate Benefits</t>
  </si>
  <si>
    <t>Projection of Potentially Affected Sources under the Proposed NSPS Amendments and EG, 2023–2035</t>
  </si>
  <si>
    <t>Well Site Fugitives</t>
  </si>
  <si>
    <t>Gathering and Boosting Station Fugitives</t>
  </si>
  <si>
    <t>Transmission and Storage Compressor Station Fugitives</t>
  </si>
  <si>
    <t>Natural Gas Processing Plants Leaks</t>
  </si>
  <si>
    <t>5‑5</t>
  </si>
  <si>
    <t>Projected Emissions Reductions, Climate Benefits, and Compliance Costs (millions 2019$) for Incrementally Affected Sources under the Proposed NSPS OOOOb and EG OOOOc Option, 2023 to 2035</t>
  </si>
  <si>
    <t>Projected Emissions Reductions under the Proposed NSPS OOOOb and EG OOOOc Option, 2023–2035</t>
  </si>
  <si>
    <t>Projected Increase in Natural Gas Recovery under the Proposed NSPS OOOOb and EG OOOOc Option, 2023–2035</t>
  </si>
  <si>
    <t>Capital Costs</t>
  </si>
  <si>
    <t>Annualized Costs</t>
  </si>
  <si>
    <r>
      <t>Interim Global Social Cost of CH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, 2023–2035 (in 2019$ per metric ton CH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)</t>
    </r>
  </si>
  <si>
    <r>
      <t>95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Percentile</t>
    </r>
  </si>
  <si>
    <t>Projected Undiscounted Global Climate Benefits under the Proposed NSPS OOOOb and EG OOOOc, 2023–2035 (millions, 2019$)</t>
  </si>
  <si>
    <t>Projected Discounted Global Climate Benefits under the Proposed NSPS OOOOb and EG OOOOc, 2023–2035 (millions, 2019$)</t>
  </si>
  <si>
    <r>
      <t xml:space="preserve">Comparison of Regulatory Alternatives in 2023, 2026, and 2035 </t>
    </r>
    <r>
      <rPr>
        <sz val="12"/>
        <color rgb="FF000000"/>
        <rFont val="Times New Roman"/>
        <family val="1"/>
      </rPr>
      <t>for the Proposed NSPS OOOOb and EG OOOOc (millions 2019$)</t>
    </r>
  </si>
  <si>
    <t>Table 3‑7</t>
  </si>
  <si>
    <t>Increases in Secondary Air Pollutant Emissions, Vapor Combustion at Storage Vessels (short tons per year)</t>
  </si>
  <si>
    <t>Climate Benefits (PV)</t>
  </si>
  <si>
    <t>Climate Benefits (EAV)</t>
  </si>
  <si>
    <r>
      <t>95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Percentile</t>
    </r>
  </si>
  <si>
    <r>
      <t>Methane (million metric tons CO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 xml:space="preserve"> Eq. using GWP=25)</t>
    </r>
  </si>
  <si>
    <t>Projected Emissions Reductions under the Proposed NSPS OOOOb and EG OOOOc across Regulatory Options, 2023–2035</t>
  </si>
  <si>
    <r>
      <t>Projected Benefits, Compliance Costs, and Emissions Reductions across Regulatory Options under the Proposed NSPS OOOOb, 2023</t>
    </r>
    <r>
      <rPr>
        <sz val="12"/>
        <color theme="1"/>
        <rFont val="Times New Roman"/>
        <family val="1"/>
      </rPr>
      <t>–</t>
    </r>
    <r>
      <rPr>
        <sz val="12"/>
        <color rgb="FF000000"/>
        <rFont val="Times New Roman"/>
        <family val="1"/>
      </rPr>
      <t>2035 (million 2019$)</t>
    </r>
  </si>
  <si>
    <r>
      <t>Projected Benefits, Compliance Costs, and Emissions Reductions across Regulatory Options under the Proposed EG OOOOc, 2023</t>
    </r>
    <r>
      <rPr>
        <sz val="12"/>
        <color theme="1"/>
        <rFont val="Times New Roman"/>
        <family val="1"/>
      </rPr>
      <t>–</t>
    </r>
    <r>
      <rPr>
        <sz val="12"/>
        <color rgb="FF000000"/>
        <rFont val="Times New Roman"/>
        <family val="1"/>
      </rPr>
      <t>2035 (million 2019$)</t>
    </r>
  </si>
  <si>
    <r>
      <t>Projected Benefits, Compliance Costs, and Emissions Reductions across Regulatory Options under the Proposed NSPS OOOOb and EG OOOOc, 2023</t>
    </r>
    <r>
      <rPr>
        <sz val="12"/>
        <color theme="1"/>
        <rFont val="Times New Roman"/>
        <family val="1"/>
      </rPr>
      <t>–</t>
    </r>
    <r>
      <rPr>
        <sz val="12"/>
        <color rgb="FF000000"/>
        <rFont val="Times New Roman"/>
        <family val="1"/>
      </rPr>
      <t>2035 (million 2019$)</t>
    </r>
  </si>
  <si>
    <t>Table 1 - Less/More Strict</t>
  </si>
  <si>
    <t>as part of 2022_analysis.R</t>
  </si>
  <si>
    <t xml:space="preserve">Product</t>
  </si>
  <si>
    <t xml:space="preserve">&gt;100 BOE/day/well</t>
  </si>
  <si>
    <t xml:space="preserve">15-100 BOE/day/well</t>
  </si>
  <si>
    <t xml:space="preserve">3-15 BOE/day/well</t>
  </si>
  <si>
    <t xml:space="preserve">&lt;=3 BOE/day/well</t>
  </si>
  <si>
    <t xml:space="preserve">Oil.Decl</t>
  </si>
  <si>
    <t xml:space="preserve">Gas.Decl</t>
  </si>
  <si>
    <t xml:space="preserve">year</t>
  </si>
  <si>
    <t xml:space="preserve">source</t>
  </si>
  <si>
    <t xml:space="preserve">detail_2</t>
  </si>
  <si>
    <t xml:space="preserve">detail_3</t>
  </si>
  <si>
    <t xml:space="preserve">fac_affected</t>
  </si>
  <si>
    <t xml:space="preserve">2023</t>
  </si>
  <si>
    <t xml:space="preserve">fugitives</t>
  </si>
  <si>
    <t xml:space="preserve">G&amp;B Stations</t>
  </si>
  <si>
    <t xml:space="preserve">Processing Plants</t>
  </si>
  <si>
    <t xml:space="preserve">Large Plants</t>
  </si>
  <si>
    <t xml:space="preserve">Small Plants</t>
  </si>
  <si>
    <t xml:space="preserve">T&amp;S Compressor Stations</t>
  </si>
  <si>
    <t xml:space="preserve">Compressor Stations (Transmission)</t>
  </si>
  <si>
    <t xml:space="preserve">Compressor Stations (Storage)</t>
  </si>
  <si>
    <t xml:space="preserve">Wellpad Fugitives</t>
  </si>
  <si>
    <t xml:space="preserve">1: No equipment, no tanks</t>
  </si>
  <si>
    <t xml:space="preserve">2: Tanks, no equipment</t>
  </si>
  <si>
    <t xml:space="preserve">3: Equipment = 1, no tanks</t>
  </si>
  <si>
    <t xml:space="preserve">4: Equipment &gt; 1, no tanks</t>
  </si>
  <si>
    <t xml:space="preserve">5: Equipment = 1 and tanks</t>
  </si>
  <si>
    <t xml:space="preserve">6: Equipment &gt; 1 and tanks</t>
  </si>
  <si>
    <t xml:space="preserve">compressors</t>
  </si>
  <si>
    <t xml:space="preserve">G&amp;B Station Recip Comp</t>
  </si>
  <si>
    <t xml:space="preserve">Proc Recip Comp</t>
  </si>
  <si>
    <t xml:space="preserve">T&amp;S Recip Comp</t>
  </si>
  <si>
    <t xml:space="preserve">Reciprocating Compressors (Transmission)</t>
  </si>
  <si>
    <t xml:space="preserve">Reciprocating Compressors (Storage)</t>
  </si>
  <si>
    <t xml:space="preserve">Wet Seal Centrifugal Compr</t>
  </si>
  <si>
    <t xml:space="preserve">G&amp;B WS Centrifugal Comp</t>
  </si>
  <si>
    <t xml:space="preserve">Proc WS Centrifugal Comp</t>
  </si>
  <si>
    <t xml:space="preserve">T&amp;S WS Centrifugal Comp</t>
  </si>
  <si>
    <t xml:space="preserve">Dry Seal Centrifugal Compr</t>
  </si>
  <si>
    <t xml:space="preserve">G&amp;B DS Centrifugal Comp</t>
  </si>
  <si>
    <t xml:space="preserve">Proc DS Centrifugal Comp</t>
  </si>
  <si>
    <t xml:space="preserve">T&amp;S DS Centrifugal Comp</t>
  </si>
  <si>
    <t xml:space="preserve">liquids_unloading</t>
  </si>
  <si>
    <t xml:space="preserve">pneucontr</t>
  </si>
  <si>
    <t xml:space="preserve">G&amp;B Pneumatic Controllers</t>
  </si>
  <si>
    <t xml:space="preserve">T&amp;S Pneumatic Controllers</t>
  </si>
  <si>
    <t xml:space="preserve">Well Pad Pneumatic Controllers</t>
  </si>
  <si>
    <t xml:space="preserve">pumps</t>
  </si>
  <si>
    <t xml:space="preserve">G&amp;B Pneumatic Pumps</t>
  </si>
  <si>
    <t xml:space="preserve">Well Pad Pumps</t>
  </si>
  <si>
    <t xml:space="preserve">Storage vessels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</si>
  <si>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</si>
  <si>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</si>
  <si>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</si>
  <si>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</si>
  <si>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</si>
  <si>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</si>
  <si>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</si>
  <si>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</si>
  <si>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</si>
  <si>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</si>
  <si>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</si>
  <si>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</si>
  <si>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Methane</t>
  </si>
  <si>
    <t xml:space="preserve">VOC</t>
  </si>
  <si>
    <t xml:space="preserve">HAP</t>
  </si>
  <si>
    <t xml:space="preserve">CH4_CO2e</t>
  </si>
  <si>
    <t xml:space="preserve">2020</t>
  </si>
  <si>
    <t xml:space="preserve">2021</t>
  </si>
  <si>
    <t xml:space="preserve">2022</t>
  </si>
  <si>
    <t xml:space="preserve">gas_capture</t>
  </si>
  <si>
    <t xml:space="preserve">gas_revenue</t>
  </si>
  <si>
    <t xml:space="preserve">capital_cost</t>
  </si>
  <si>
    <t xml:space="preserve">annual_cost</t>
  </si>
  <si>
    <t xml:space="preserve">ann_7</t>
  </si>
  <si>
    <t xml:space="preserve">ann_7_wgas</t>
  </si>
  <si>
    <t xml:space="preserve">PV</t>
  </si>
  <si>
    <t xml:space="preserve">EAV</t>
  </si>
  <si>
    <t xml:space="preserve">ann_3</t>
  </si>
  <si>
    <t xml:space="preserve">ann_3_wgas</t>
  </si>
  <si>
    <t xml:space="preserve">5.0%_CH4_undisc</t>
  </si>
  <si>
    <t xml:space="preserve">3.0%_CH4_undisc</t>
  </si>
  <si>
    <t xml:space="preserve">2.5%_CH4_undisc</t>
  </si>
  <si>
    <t xml:space="preserve">3% 95th Pct._CH4_undisc</t>
  </si>
  <si>
    <t xml:space="preserve">2.5%_NCEE_CH4_undisc</t>
  </si>
  <si>
    <t xml:space="preserve">2.0%_NCEE_CH4_undisc</t>
  </si>
  <si>
    <t xml:space="preserve">1.5%_NCEE_CH4_undisc</t>
  </si>
  <si>
    <t xml:space="preserve">7.0%_domestic_CH4_undisc</t>
  </si>
  <si>
    <t xml:space="preserve">3.0%_domestic_CH4_undisc</t>
  </si>
  <si>
    <t xml:space="preserve">2.5%_domestic_CH4_undisc</t>
  </si>
  <si>
    <t xml:space="preserve">2.0%_domestic_CH4_undisc</t>
  </si>
  <si>
    <t xml:space="preserve">5.0%_CH4_disc</t>
  </si>
  <si>
    <t xml:space="preserve">3.0%_CH4_disc</t>
  </si>
  <si>
    <t xml:space="preserve">2.5%_CH4_disc</t>
  </si>
  <si>
    <t xml:space="preserve">3% 95th Pct._CH4_disc</t>
  </si>
  <si>
    <t xml:space="preserve">2.5%_NCEE_CH4_disc</t>
  </si>
  <si>
    <t xml:space="preserve">2.0%_NCEE_CH4_disc</t>
  </si>
  <si>
    <t xml:space="preserve">1.5%_NCEE_CH4_disc</t>
  </si>
  <si>
    <t xml:space="preserve">3.0%_domestic_CH4_disc</t>
  </si>
  <si>
    <t xml:space="preserve">7.0%_domestic_CH4_disc</t>
  </si>
  <si>
    <t xml:space="preserve">2.5%_domestic_CH4_disc</t>
  </si>
  <si>
    <t xml:space="preserve">2.0%_domestic_CH4_disc</t>
  </si>
  <si>
    <t xml:space="preserve">THC</t>
  </si>
  <si>
    <t xml:space="preserve">CO</t>
  </si>
  <si>
    <t xml:space="preserve">NOx</t>
  </si>
  <si>
    <t xml:space="preserve">PM</t>
  </si>
  <si>
    <t xml:space="preserve">CO2</t>
  </si>
  <si>
    <t xml:space="preserve">2019</t>
  </si>
  <si>
    <t xml:space="preserve">Total</t>
  </si>
  <si>
    <t xml:space="preserve">wellsite_group</t>
  </si>
  <si>
    <t xml:space="preserve">Type</t>
  </si>
  <si>
    <t xml:space="preserve">base</t>
  </si>
  <si>
    <t xml:space="preserve">projection</t>
  </si>
  <si>
    <t xml:space="preserve">Natural Gas, Single-Wellhead, Wellhead Only</t>
  </si>
  <si>
    <t xml:space="preserve">Gas</t>
  </si>
  <si>
    <t xml:space="preserve">Natural Gas, Single-Wellhead, More than one piece of equipment, including tank batteries</t>
  </si>
  <si>
    <t xml:space="preserve">Natural Gas, Single-Wellhead, One piece of equipment, including tank batteries</t>
  </si>
  <si>
    <t xml:space="preserve">Natural Gas, Multi-Wellhead, Wellhead Only</t>
  </si>
  <si>
    <t xml:space="preserve">Natural Gas, Multi-Wellhead, More than one piece of equipment, including tank batteries</t>
  </si>
  <si>
    <t xml:space="preserve">Natural Gas, Multi-Wellhead, One piece of equipment, including tank batteries</t>
  </si>
  <si>
    <t xml:space="preserve">Oil, Single-Wellhead, Wellhead Only</t>
  </si>
  <si>
    <t xml:space="preserve">Oil</t>
  </si>
  <si>
    <t xml:space="preserve">Oil, Single-Wellhead, More than one piece of equipment, including tank batteries</t>
  </si>
  <si>
    <t xml:space="preserve">Oil, Single-Wellhead, One piece of equipment, including tank batteries</t>
  </si>
  <si>
    <t xml:space="preserve">Oil, Multi-Wellhead, Wellhead Only</t>
  </si>
  <si>
    <t xml:space="preserve">Oil, Multi-Wellhead, More than one piece of equipment, including tank batteries</t>
  </si>
  <si>
    <t xml:space="preserve">Oil, Multi-Wellhead, One piece of equipment, including tank batteries</t>
  </si>
  <si>
    <t xml:space="preserve">equip_bin</t>
  </si>
  <si>
    <t xml:space="preserve">Gas_Low_Single</t>
  </si>
  <si>
    <t xml:space="preserve">Gas_Low_Multi</t>
  </si>
  <si>
    <t xml:space="preserve">Gas_Non_low_Single</t>
  </si>
  <si>
    <t xml:space="preserve">Gas_Non_low_Multi</t>
  </si>
  <si>
    <t xml:space="preserve">Oil_Low_Single</t>
  </si>
  <si>
    <t xml:space="preserve">Oil_Low_Multi</t>
  </si>
  <si>
    <t xml:space="preserve">Oil_Non_low_Single</t>
  </si>
  <si>
    <t xml:space="preserve">Oil_Non_low_Multi</t>
  </si>
  <si>
    <t xml:space="preserve">well_type</t>
  </si>
  <si>
    <t xml:space="preserve">site_prod_lvl</t>
  </si>
  <si>
    <t xml:space="preserve">site_bin</t>
  </si>
  <si>
    <t xml:space="preserve">sep</t>
  </si>
  <si>
    <t xml:space="preserve">compr</t>
  </si>
  <si>
    <t xml:space="preserve">deh</t>
  </si>
  <si>
    <t xml:space="preserve">tank</t>
  </si>
  <si>
    <t xml:space="preserve">gas</t>
  </si>
  <si>
    <t xml:space="preserve">Low Production</t>
  </si>
  <si>
    <t xml:space="preserve">Single</t>
  </si>
  <si>
    <t xml:space="preserve">Multi</t>
  </si>
  <si>
    <t xml:space="preserve">Non-low Production</t>
  </si>
  <si>
    <t xml:space="preserve"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</si>
</sst>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"/>
    <numFmt numFmtId="165" formatCode="#,##0.0"/>
    <numFmt numFmtId="166" formatCode="&quot;$&quot;#,##0"/>
    <numFmt numFmtId="167" formatCode="0.0%"/>
    <numFmt numFmtId="168" formatCode="&quot;$&quot;#,##0.0_);\(&quot;$&quot;#,##0.0\)"/>
    <numFmt numFmtId="169" formatCode="&quot;$&quot;#,##0.0"/>
    <numFmt numFmtId="183" formatCode="#,##0.00_);\(#,##0.00\);&quot;-&quot;_);_(@_)"/>
  </numFmts>
  <fonts count="14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0"/>
      <color theme="1"/>
      <name val="Times New Roman"/>
    </font>
    <font>
      <sz val="10"/>
      <color theme="1"/>
      <name val="Calibri"/>
    </font>
    <font>
      <sz val="11"/>
      <color theme="1"/>
      <name val="Calibri"/>
    </font>
    <font>
      <sz val="10"/>
      <color theme="1"/>
      <name val="Times New Roman"/>
      <b/>
    </font>
    <font>
      <sz val="12"/>
      <color rgb="FF000000"/>
      <name val="Times New Roman"/>
    </font>
    <font>
      <sz val="10"/>
      <color rgb="FF000000"/>
      <name val="Times New Roman"/>
      <b/>
    </font>
    <font>
      <sz val="10"/>
      <color rgb="FF000000"/>
      <name val="Times New Roman"/>
      <i/>
    </font>
    <font>
      <sz val="10"/>
      <color rgb="FF000000"/>
      <name val="Times New Roman"/>
    </font>
    <font>
      <sz val="12"/>
      <color theme="1"/>
      <name val="Calibri"/>
    </font>
    <font>
      <sz val="8"/>
      <color theme="1"/>
      <name val="Times New Roman"/>
    </font>
    <font>
      <sz val="11"/>
      <color theme="1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top style="medium">
        <color indexed="64"/>
      </top>
      <bottom style="double">
        <color indexed="64"/>
      </bottom>
    </border>
    <border>
      <bottom style="double">
        <color indexed="64"/>
      </bottom>
    </border>
    <border>
      <top style="double">
        <color indexed="64"/>
      </top>
    </border>
    <border>
      <bottom style="medium">
        <color indexed="64"/>
      </bottom>
    </border>
    <border>
      <top style="double">
        <color indexed="64"/>
      </top>
      <bottom style="medium">
        <color indexed="64"/>
      </bottom>
    </border>
    <border>
      <top style="medium">
        <color indexed="64"/>
      </top>
    </border>
    <border>
      <bottom style="medium">
        <color rgb="FF000000"/>
      </bottom>
    </border>
    <border>
      <top style="medium">
        <color indexed="64"/>
      </top>
      <bottom style="medium">
        <color indexed="64"/>
      </bottom>
    </border>
    <border>
      <bottom style="thin">
        <color indexed="64"/>
      </bottom>
    </border>
    <border>
      <top style="double">
        <color indexed="64"/>
      </top>
      <bottom style="thin">
        <color indexed="64"/>
      </bottom>
    </border>
    <border>
      <top style="thin">
        <color indexed="64"/>
      </top>
      <bottom style="double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right style="medium">
        <color indexed="64"/>
      </right>
      <top style="double">
        <color indexed="64"/>
      </top>
      <bottom style="medium">
        <color indexed="64"/>
      </bottom>
    </border>
    <border>
      <left style="medium">
        <color indexed="64"/>
      </left>
      <top style="double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bottom style="medium">
        <color auto="1"/>
      </bottom>
    </border>
    <border>
      <left style="medium">
        <color indexed="64"/>
      </left>
      <bottom style="double">
        <color indexed="64"/>
      </bottom>
    </border>
    <border>
      <right style="medium">
        <color indexed="64"/>
      </right>
      <top style="medium">
        <color indexed="64"/>
      </top>
    </border>
    <border>
      <right style="medium">
        <color indexed="64"/>
      </right>
    </border>
    <border>
      <right style="medium">
        <color indexed="64"/>
      </right>
      <bottom style="medium">
        <color indexed="64"/>
      </bottom>
    </border>
    <border>
      <right style="medium">
        <color indexed="64"/>
      </right>
      <bottom style="double">
        <color auto="1"/>
      </bottom>
    </border>
    <border>
      <top style="double">
        <color rgb="FF000000"/>
      </top>
      <bottom style="medium">
        <color indexed="64"/>
      </bottom>
    </border>
    <border>
      <top style="double">
        <color rgb="FF000000"/>
      </top>
    </border>
    <border>
      <bottom style="thick">
        <color indexed="64"/>
      </bottom>
    </border>
    <border>
      <top style="medium">
        <color indexed="64"/>
      </top>
      <bottom style="thick">
        <color indexed="64"/>
      </bottom>
    </border>
    <border>
      <top style="thin">
        <color indexed="64"/>
      </top>
      <bottom style="medium">
        <color indexed="64"/>
      </bottom>
    </border>
    <border>
      <top style="thin">
        <color auto="1"/>
      </top>
    </border>
    <border>
      <top style="medium">
        <color indexed="64"/>
      </top>
      <bottom style="medium">
        <color rgb="FF000000"/>
      </bottom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/>
    <xf numFmtId="3" fontId="2" fillId="0" borderId="1" xfId="0" applyFont="1" applyNumberFormat="1" applyBorder="1"/>
    <xf numFmtId="3" fontId="2" fillId="0" borderId="0" xfId="0" applyFont="1" applyNumberFormat="1"/>
    <xf numFmtId="0" fontId="2" fillId="0" borderId="0" xfId="0" applyFont="1"/>
    <xf numFmtId="0" fontId="2" fillId="0" borderId="2" xfId="0" applyFont="1" applyBorder="1"/>
    <xf numFmtId="0" fontId="3" fillId="0" borderId="3" xfId="0" applyFont="1" applyBorder="1"/>
    <xf numFmtId="164" fontId="2" fillId="0" borderId="0" xfId="0" applyFont="1" applyNumberFormat="1"/>
    <xf numFmtId="0" fontId="2" fillId="0" borderId="4" xfId="0" applyFont="1" applyBorder="1"/>
    <xf numFmtId="0" fontId="2" fillId="0" borderId="1" xfId="0" applyFont="1" applyBorder="1"/>
    <xf numFmtId="4" fontId="2" fillId="0" borderId="0" xfId="0" applyFont="1" applyNumberFormat="1"/>
    <xf numFmtId="4" fontId="2" fillId="0" borderId="1" xfId="0" applyFont="1" applyNumberFormat="1" applyBorder="1"/>
    <xf numFmtId="4" fontId="2" fillId="0" borderId="4" xfId="0" applyFont="1" applyNumberFormat="1" applyBorder="1"/>
    <xf numFmtId="0" fontId="2" fillId="0" borderId="5" xfId="0" applyFont="1" applyBorder="1"/>
    <xf numFmtId="164" fontId="2" fillId="0" borderId="4" xfId="0" applyFont="1" applyNumberFormat="1" applyBorder="1"/>
    <xf numFmtId="0" fontId="4" fillId="0" borderId="6" xfId="0" applyFont="1" applyBorder="1"/>
    <xf numFmtId="3" fontId="2" fillId="0" borderId="4" xfId="0" applyFont="1" applyNumberFormat="1" applyBorder="1"/>
    <xf numFmtId="4" fontId="2" fillId="0" borderId="6" xfId="0" applyFont="1" applyNumberFormat="1" applyBorder="1"/>
    <xf numFmtId="165" fontId="2" fillId="0" borderId="0" xfId="0" applyFont="1" applyNumberFormat="1"/>
    <xf numFmtId="0" fontId="2" fillId="0" borderId="3" xfId="0" applyFont="1" applyBorder="1"/>
    <xf numFmtId="0" fontId="2" fillId="0" borderId="7" xfId="0" applyFont="1" applyBorder="1"/>
    <xf numFmtId="4" fontId="2" fillId="0" borderId="2" xfId="0" applyFont="1" applyNumberFormat="1" applyBorder="1"/>
    <xf numFmtId="165" fontId="2" fillId="0" borderId="1" xfId="0" applyFont="1" applyNumberFormat="1" applyBorder="1"/>
    <xf numFmtId="166" fontId="2" fillId="0" borderId="0" xfId="0" applyFont="1" applyNumberFormat="1"/>
    <xf numFmtId="165" fontId="2" fillId="0" borderId="4" xfId="0" applyFont="1" applyNumberFormat="1" applyBorder="1"/>
    <xf numFmtId="166" fontId="2" fillId="0" borderId="4" xfId="0" applyFont="1" applyNumberFormat="1" applyBorder="1"/>
    <xf numFmtId="5" fontId="2" fillId="0" borderId="0" xfId="0" applyFont="1" applyNumberFormat="1"/>
    <xf numFmtId="0" fontId="2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9" fontId="2" fillId="0" borderId="0" xfId="0" applyFont="1" applyNumberForma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Font="1" applyNumberForma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2"/>
    </xf>
    <xf numFmtId="9" fontId="9" fillId="0" borderId="0" xfId="0" applyFont="1" applyNumberFormat="1" applyAlignment="1">
      <alignment horizontal="center" vertical="center"/>
    </xf>
    <xf numFmtId="10" fontId="9" fillId="0" borderId="0" xfId="0" applyFont="1" applyNumberFormat="1" applyAlignment="1">
      <alignment horizontal="center" vertical="center"/>
    </xf>
    <xf numFmtId="0" fontId="9" fillId="0" borderId="4" xfId="0" applyFont="1" applyBorder="1" applyAlignment="1">
      <alignment horizontal="left" vertical="center" indent="2"/>
    </xf>
    <xf numFmtId="10" fontId="9" fillId="0" borderId="4" xfId="0" applyFont="1" applyNumberFormat="1" applyBorder="1" applyAlignment="1">
      <alignment horizontal="center" vertical="center"/>
    </xf>
    <xf numFmtId="0" fontId="9" fillId="0" borderId="2" xfId="0" applyFont="1" applyBorder="1" applyAlignment="1">
      <alignment horizontal="left" vertical="center" indent="2"/>
    </xf>
    <xf numFmtId="167" fontId="9" fillId="0" borderId="0" xfId="0" applyFont="1" applyNumberFormat="1" applyAlignment="1">
      <alignment horizontal="center" vertical="center"/>
    </xf>
    <xf numFmtId="167" fontId="9" fillId="0" borderId="2" xfId="0" applyFont="1" applyNumberFormat="1" applyBorder="1" applyAlignment="1">
      <alignment horizontal="center" vertical="center"/>
    </xf>
    <xf numFmtId="0" fontId="1" fillId="0" borderId="2" xfId="0" applyFont="1" applyBorder="1"/>
    <xf numFmtId="0" fontId="4" fillId="0" borderId="2" xfId="0" applyFont="1" applyBorder="1"/>
    <xf numFmtId="0" fontId="4" fillId="0" borderId="0" xfId="0" applyFont="1"/>
    <xf numFmtId="3" fontId="2" fillId="0" borderId="2" xfId="0" applyFont="1" applyNumberFormat="1" applyBorder="1"/>
    <xf numFmtId="0" fontId="2" fillId="0" borderId="9" xfId="0" applyFont="1" applyBorder="1"/>
    <xf numFmtId="0" fontId="2" fillId="0" borderId="10" xfId="0" applyFont="1" applyBorder="1"/>
    <xf numFmtId="0" fontId="10" fillId="0" borderId="0" xfId="0" applyFont="1"/>
    <xf numFmtId="3" fontId="2" fillId="0" borderId="9" xfId="0" applyFont="1" applyNumberFormat="1" applyBorder="1"/>
    <xf numFmtId="0" fontId="2" fillId="0" borderId="11" xfId="0" applyFont="1" applyBorder="1"/>
    <xf numFmtId="3" fontId="2" fillId="0" borderId="11" xfId="0" applyFont="1" applyNumberFormat="1" applyBorder="1"/>
    <xf numFmtId="0" fontId="6" fillId="0" borderId="0" xfId="0" applyFont="1"/>
    <xf numFmtId="0" fontId="10" fillId="0" borderId="2" xfId="0" applyFont="1" applyBorder="1"/>
    <xf numFmtId="4" fontId="4" fillId="0" borderId="0" xfId="0" applyFont="1" applyNumberFormat="1"/>
    <xf numFmtId="4" fontId="4" fillId="0" borderId="2" xfId="0" applyFont="1" applyNumberFormat="1" applyBorder="1"/>
    <xf numFmtId="1" fontId="2" fillId="0" borderId="2" xfId="0" applyFont="1" applyNumberFormat="1" applyBorder="1"/>
    <xf numFmtId="166" fontId="2" fillId="0" borderId="2" xfId="0" applyFont="1" applyNumberFormat="1" applyBorder="1"/>
    <xf numFmtId="0" fontId="2" fillId="0" borderId="4" xfId="0" applyFont="1" applyBorder="1" applyAlignment="1">
      <alignment wrapText="1"/>
    </xf>
    <xf numFmtId="3" fontId="4" fillId="0" borderId="0" xfId="0" applyFont="1" applyNumberFormat="1"/>
    <xf numFmtId="164" fontId="2" fillId="0" borderId="2" xfId="0" applyFont="1" applyNumberFormat="1" applyBorder="1"/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8" fontId="2" fillId="0" borderId="0" xfId="0" applyFont="1" applyNumberFormat="1"/>
    <xf numFmtId="164" fontId="2" fillId="0" borderId="15" xfId="0" applyFont="1" applyNumberFormat="1" applyBorder="1"/>
    <xf numFmtId="164" fontId="2" fillId="0" borderId="6" xfId="0" applyFont="1" applyNumberFormat="1" applyBorder="1"/>
    <xf numFmtId="164" fontId="2" fillId="0" borderId="16" xfId="0" applyFont="1" applyNumberFormat="1" applyBorder="1"/>
    <xf numFmtId="164" fontId="2" fillId="0" borderId="17" xfId="0" applyFont="1" applyNumberFormat="1" applyBorder="1"/>
    <xf numFmtId="169" fontId="2" fillId="0" borderId="18" xfId="0" applyFont="1" applyNumberFormat="1" applyBorder="1"/>
    <xf numFmtId="169" fontId="2" fillId="0" borderId="19" xfId="0" applyFont="1" applyNumberFormat="1" applyBorder="1"/>
    <xf numFmtId="166" fontId="2" fillId="0" borderId="19" xfId="0" applyFont="1" applyNumberFormat="1" applyBorder="1"/>
    <xf numFmtId="166" fontId="2" fillId="0" borderId="20" xfId="0" applyFont="1" applyNumberFormat="1" applyBorder="1"/>
    <xf numFmtId="166" fontId="2" fillId="0" borderId="18" xfId="0" applyFont="1" applyNumberFormat="1" applyBorder="1"/>
    <xf numFmtId="166" fontId="2" fillId="0" borderId="21" xfId="0" applyFont="1" applyNumberFormat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4" fontId="2" fillId="0" borderId="7" xfId="0" applyFont="1" applyNumberFormat="1" applyBorder="1"/>
    <xf numFmtId="9" fontId="2" fillId="0" borderId="6" xfId="0" applyFont="1" applyNumberFormat="1" applyBorder="1"/>
    <xf numFmtId="10" fontId="2" fillId="0" borderId="6" xfId="0" applyFont="1" applyNumberFormat="1" applyBorder="1"/>
    <xf numFmtId="0" fontId="4" fillId="0" borderId="7" xfId="0" applyFont="1" applyBorder="1"/>
    <xf numFmtId="6" fontId="2" fillId="0" borderId="9" xfId="0" applyFont="1" applyNumberFormat="1" applyBorder="1"/>
    <xf numFmtId="0" fontId="2" fillId="0" borderId="22" xfId="0" applyFont="1" applyBorder="1"/>
    <xf numFmtId="9" fontId="2" fillId="0" borderId="0" xfId="0" applyFont="1" applyNumberFormat="1"/>
    <xf numFmtId="6" fontId="2" fillId="0" borderId="0" xfId="0" applyFont="1" applyNumberFormat="1"/>
    <xf numFmtId="0" fontId="2" fillId="0" borderId="23" xfId="0" applyFont="1" applyBorder="1"/>
    <xf numFmtId="10" fontId="2" fillId="0" borderId="0" xfId="0" applyFont="1" applyNumberFormat="1"/>
    <xf numFmtId="6" fontId="2" fillId="0" borderId="2" xfId="0" applyFont="1" applyNumberFormat="1" applyBorder="1"/>
    <xf numFmtId="0" fontId="2" fillId="0" borderId="13" xfId="0" applyFont="1" applyBorder="1"/>
    <xf numFmtId="0" fontId="2" fillId="0" borderId="6" xfId="0" applyFont="1" applyBorder="1"/>
    <xf numFmtId="6" fontId="2" fillId="0" borderId="6" xfId="0" applyFont="1" applyNumberFormat="1" applyBorder="1"/>
    <xf numFmtId="0" fontId="2" fillId="0" borderId="8" xfId="0" applyFont="1" applyBorder="1"/>
    <xf numFmtId="0" fontId="11" fillId="0" borderId="0" xfId="0" applyFont="1"/>
    <xf numFmtId="9" fontId="2" fillId="0" borderId="3" xfId="0" applyFont="1" applyNumberFormat="1" applyBorder="1"/>
    <xf numFmtId="10" fontId="2" fillId="0" borderId="3" xfId="0" applyFont="1" applyNumberFormat="1" applyBorder="1"/>
    <xf numFmtId="1" fontId="4" fillId="0" borderId="0" xfId="0" applyFont="1" applyNumberFormat="1"/>
    <xf numFmtId="0" fontId="4" fillId="0" borderId="4" xfId="0" applyFont="1" applyBorder="1"/>
    <xf numFmtId="1" fontId="2" fillId="0" borderId="0" xfId="0" applyFont="1" applyNumberFormat="1"/>
    <xf numFmtId="1" fontId="2" fillId="0" borderId="4" xfId="0" applyFont="1" applyNumberFormat="1" applyBorder="1"/>
    <xf numFmtId="1" fontId="2" fillId="0" borderId="1" xfId="0" applyFont="1" applyNumberFormat="1" applyBorder="1"/>
    <xf numFmtId="0" fontId="4" fillId="0" borderId="3" xfId="0" applyFont="1" applyBorder="1"/>
    <xf numFmtId="166" fontId="2" fillId="0" borderId="0" xfId="0" applyFont="1" applyNumberFormat="1" applyAlignment="1">
      <alignment horizontal="right"/>
    </xf>
    <xf numFmtId="166" fontId="2" fillId="0" borderId="4" xfId="0" applyFont="1" applyNumberFormat="1" applyBorder="1" applyAlignment="1">
      <alignment horizontal="right"/>
    </xf>
    <xf numFmtId="166" fontId="2" fillId="0" borderId="2" xfId="0" applyFont="1" applyNumberFormat="1" applyBorder="1" applyAlignment="1">
      <alignment horizontal="right"/>
    </xf>
    <xf numFmtId="0" fontId="2" fillId="0" borderId="24" xfId="0" applyFont="1" applyBorder="1"/>
    <xf numFmtId="0" fontId="2" fillId="0" borderId="25" xfId="0" applyFont="1" applyBorder="1"/>
    <xf numFmtId="8" fontId="2" fillId="0" borderId="0" xfId="0" applyFont="1" applyNumberFormat="1"/>
    <xf numFmtId="6" fontId="2" fillId="0" borderId="4" xfId="0" applyFont="1" applyNumberFormat="1" applyBorder="1"/>
    <xf numFmtId="0" fontId="4" fillId="0" borderId="10" xfId="0" applyFont="1" applyBorder="1"/>
    <xf numFmtId="0" fontId="2" fillId="0" borderId="26" xfId="0" applyFont="1" applyBorder="1" applyAlignment="1">
      <alignment wrapText="1"/>
    </xf>
    <xf numFmtId="0" fontId="2" fillId="0" borderId="10" xfId="0" applyFont="1" applyBorder="1" applyAlignment="1">
      <alignment wrapText="1"/>
    </xf>
    <xf numFmtId="169" fontId="2" fillId="0" borderId="0" xfId="0" applyFont="1" applyNumberFormat="1"/>
    <xf numFmtId="0" fontId="12" fillId="0" borderId="0" xfId="0" applyFont="1"/>
    <xf numFmtId="0" fontId="2" fillId="0" borderId="26" xfId="0" applyFont="1" applyBorder="1"/>
    <xf numFmtId="0" fontId="4" fillId="0" borderId="1" xfId="0" applyFont="1" applyBorder="1"/>
    <xf numFmtId="164" fontId="2" fillId="0" borderId="1" xfId="0" applyFont="1" applyNumberFormat="1" applyBorder="1"/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2" fillId="0" borderId="0" xfId="0" applyFont="1" applyNumberFormat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9" fontId="2" fillId="0" borderId="2" xfId="0" applyFont="1" applyNumberForma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49" fontId="9" fillId="0" borderId="0" xfId="0" applyFont="1" applyNumberFormat="1" applyAlignment="1">
      <alignment horizontal="center" vertical="center" wrapText="1"/>
    </xf>
    <xf numFmtId="49" fontId="9" fillId="0" borderId="6" xfId="0" applyFont="1" applyNumberFormat="1" applyBorder="1" applyAlignment="1">
      <alignment horizontal="center" vertical="center" wrapText="1"/>
    </xf>
    <xf numFmtId="49" fontId="2" fillId="0" borderId="2" xfId="0" applyFont="1" applyNumberFormat="1" applyBorder="1" applyAlignment="1">
      <alignment horizontal="center" vertical="center" wrapText="1"/>
    </xf>
    <xf numFmtId="183" fontId="2" fillId="0" borderId="0" xfId="0" applyFont="1" applyNumberFormat="1" applyAlignment="1">
      <alignment horizontal="center" vertical="center" wrapText="1"/>
    </xf>
    <xf numFmtId="183" fontId="2" fillId="0" borderId="2" xfId="0" applyFont="1" applyNumberFormat="1" applyBorder="1" applyAlignment="1">
      <alignment horizontal="center" vertical="center" wrapText="1"/>
    </xf>
    <xf numFmtId="183" fontId="2" fillId="0" borderId="6" xfId="0" applyFont="1" applyNumberForma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49" fontId="2" fillId="0" borderId="9" xfId="0" applyFont="1" applyNumberFormat="1" applyBorder="1" applyAlignment="1">
      <alignment horizontal="center" vertical="center" wrapText="1"/>
    </xf>
    <xf numFmtId="183" fontId="2" fillId="0" borderId="9" xfId="0" applyFont="1" applyNumberForma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49" fontId="9" fillId="0" borderId="27" xfId="0" applyFont="1" applyNumberFormat="1" applyBorder="1" applyAlignment="1">
      <alignment horizontal="center" vertical="center" wrapText="1"/>
    </xf>
    <xf numFmtId="183" fontId="2" fillId="0" borderId="27" xfId="0" applyFont="1" applyNumberForma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9" fontId="2" fillId="0" borderId="28" xfId="0" applyFont="1" applyNumberFormat="1" applyBorder="1"/>
    <xf numFmtId="10" fontId="2" fillId="0" borderId="28" xfId="0" applyFont="1" applyNumberFormat="1" applyBorder="1"/>
    <xf numFmtId="166" fontId="12" fillId="0" borderId="0" xfId="0" applyFont="1" applyNumberFormat="1"/>
    <xf numFmtId="0" fontId="13" fillId="0" borderId="0" xfId="0" applyFont="1"/>
    <xf numFmtId="166" fontId="12" fillId="0" borderId="2" xfId="0" applyFont="1" applyNumberFormat="1" applyBorder="1"/>
    <xf numFmtId="10" fontId="2" fillId="0" borderId="7" xfId="0" applyFont="1" applyNumberFormat="1" applyBorder="1"/>
    <xf numFmtId="10" fontId="2" fillId="0" borderId="4" xfId="0" applyFont="1" applyNumberFormat="1" applyBorder="1"/>
    <xf numFmtId="9" fontId="2" fillId="0" borderId="4" xfId="0" applyFont="1" applyNumberFormat="1" applyBorder="1"/>
    <xf numFmtId="0" fontId="13" fillId="0" borderId="2" xfId="0" applyFont="1" applyBorder="1"/>
    <xf numFmtId="10" fontId="4" fillId="0" borderId="0" xfId="0" applyFont="1" applyNumberFormat="1"/>
    <xf numFmtId="166" fontId="2" fillId="0" borderId="9" xfId="0" applyFont="1" applyNumberFormat="1" applyBorder="1"/>
    <xf numFmtId="0" fontId="2" fillId="0" borderId="27" xfId="0" applyFont="1" applyBorder="1"/>
    <xf numFmtId="166" fontId="2" fillId="0" borderId="27" xfId="0" applyFont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externalLink" Target="externalLinks/externalLink1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tables_2021_proposal.xlsx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Table 1"/>
      <sheetName val="Table 1 - Option 2"/>
      <sheetName val="Table 1 - Less Strict"/>
      <sheetName val="Table 1 - More Strict"/>
      <sheetName val="Table 2-5"/>
      <sheetName val="Table 2-6"/>
      <sheetName val="Table 2-7"/>
      <sheetName val="Table 2-8"/>
      <sheetName val="Table 2-9 (OLD)"/>
      <sheetName val="Table 2-9"/>
      <sheetName val="Table 2-10"/>
      <sheetName val="Detail Table - 2-11"/>
      <sheetName val="Table 2-13"/>
      <sheetName val="Table 5-1"/>
      <sheetName val="Table 5-2"/>
      <sheetName val="Table 5-3"/>
      <sheetName val="Table 5-4"/>
      <sheetName val="emissions_NSPS"/>
      <sheetName val="emissions_EG"/>
      <sheetName val="emissions2"/>
      <sheetName val="emissions2_NSPS"/>
      <sheetName val="emissions2_EG"/>
      <sheetName val="emissions_less"/>
      <sheetName val="emissions_less_NSPS"/>
      <sheetName val="emissions_less_EG"/>
      <sheetName val="emissions_more"/>
      <sheetName val="emissions_more_NSPS"/>
      <sheetName val="emissions_more_EG"/>
      <sheetName val="cost_undisc_3"/>
      <sheetName val="cost_disc_7"/>
      <sheetName val="cost_disc_7_NSPS"/>
      <sheetName val="cost_disc_7_EG"/>
      <sheetName val="cost_disc_3"/>
      <sheetName val="cost_disc_3_NSPS"/>
      <sheetName val="cost_disc_3_EG"/>
      <sheetName val="cost_disc2_7"/>
      <sheetName val="cost_disc2_7_NSPS"/>
      <sheetName val="cost_disc2_7_EG"/>
      <sheetName val="cost_disc2_3"/>
      <sheetName val="cost_disc2_3_NSPS"/>
      <sheetName val="cost_disc2_3_EG"/>
      <sheetName val="cost_undisc_7_less"/>
      <sheetName val="cost_undisc_3_less"/>
      <sheetName val="cost_undisc_7_more"/>
      <sheetName val="cost_undisc_3_more"/>
      <sheetName val="cost_disc_7_less"/>
      <sheetName val="cost_disc_7_less_NSPS"/>
      <sheetName val="cost_disc_7_less_EG"/>
      <sheetName val="cost_disc_3_less"/>
      <sheetName val="cost_disc_3_less_NSPS"/>
      <sheetName val="cost_disc_3_less_EG"/>
      <sheetName val="cost_disc_7_more"/>
      <sheetName val="cost_disc_7_more_NSPS"/>
      <sheetName val="cost_disc_7_more_EG"/>
      <sheetName val="cost_disc_3_more"/>
      <sheetName val="cost_disc_3_more_NSPS"/>
      <sheetName val="cost_disc_3_more_EG"/>
      <sheetName val="pv_eav_combo"/>
      <sheetName val="dr_pv_eav"/>
      <sheetName val="dr_pv_eav_less"/>
      <sheetName val="dr_pv_eav_more"/>
      <sheetName val="cost_undisc_7"/>
      <sheetName val="SC-GHG"/>
      <sheetName val="Climate Benefits"/>
      <sheetName val="Climate Benefits - Option 2"/>
      <sheetName val="Climate Benefits - Less Strict"/>
      <sheetName val="Climate Benefits - More Strict"/>
      <sheetName val="fac_affected"/>
      <sheetName val="emissions"/>
      <sheetName val="gas_revenue"/>
      <sheetName val="gas_revenue_less"/>
      <sheetName val="gas_revenue_more"/>
      <sheetName val="costs"/>
      <sheetName val="costs_less"/>
      <sheetName val="costs_more"/>
      <sheetName val="discount_rate"/>
      <sheetName val="discount_rate_less"/>
      <sheetName val="discount_rate_more"/>
      <sheetName val="Alternatives"/>
      <sheetName val="tbl_detail_2021"/>
      <sheetName val="tbl_detail_2021_NSPS"/>
      <sheetName val="tbl_detail_2021_EG"/>
      <sheetName val="NSPS Cost by Source"/>
      <sheetName val="NSPS 2023 and 2028"/>
      <sheetName val="tbl_detail_2021_less"/>
      <sheetName val="tbl_detail_2021_more"/>
      <sheetName val="gas_revenue2"/>
      <sheetName val="costs2"/>
      <sheetName val="discount_rate2"/>
      <sheetName val="opt1"/>
      <sheetName val="opt2"/>
      <sheetName val="less"/>
      <sheetName val="mo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0">
          <cell r="C20">
            <v>-6081329.9564906396</v>
          </cell>
          <cell r="D20">
            <v>-1776755.6773121511</v>
          </cell>
          <cell r="E20">
            <v>-66872.604503512644</v>
          </cell>
          <cell r="F20">
            <v>-137922243.38582921</v>
          </cell>
        </row>
      </sheetData>
      <sheetData sheetId="19">
        <row r="20">
          <cell r="C20">
            <v>-34664492.961572878</v>
          </cell>
          <cell r="D20">
            <v>-10297280.653050313</v>
          </cell>
          <cell r="E20">
            <v>-414202.23996980913</v>
          </cell>
          <cell r="F20">
            <v>-786177475.86440766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8">
          <cell r="E18">
            <v>621376096.06132805</v>
          </cell>
          <cell r="F18">
            <v>575933411.41059899</v>
          </cell>
        </row>
        <row r="19">
          <cell r="E19">
            <v>74348176.905334294</v>
          </cell>
          <cell r="F19">
            <v>68910921.145286202</v>
          </cell>
        </row>
      </sheetData>
      <sheetData sheetId="32">
        <row r="18">
          <cell r="E18">
            <v>9868760266.12356</v>
          </cell>
          <cell r="F18">
            <v>3521022378.8466601</v>
          </cell>
        </row>
        <row r="19">
          <cell r="E19">
            <v>1180805535.8950801</v>
          </cell>
          <cell r="F19">
            <v>421293313.93574601</v>
          </cell>
        </row>
      </sheetData>
      <sheetData sheetId="33"/>
      <sheetData sheetId="34">
        <row r="18">
          <cell r="E18">
            <v>646038901.80790305</v>
          </cell>
          <cell r="F18">
            <v>818923182.30550802</v>
          </cell>
        </row>
        <row r="19">
          <cell r="E19">
            <v>60746743.314398102</v>
          </cell>
          <cell r="F19">
            <v>77002973.366632804</v>
          </cell>
        </row>
      </sheetData>
      <sheetData sheetId="35">
        <row r="18">
          <cell r="E18">
            <v>12405495760.432699</v>
          </cell>
          <cell r="F18">
            <v>4939529198.3108397</v>
          </cell>
        </row>
        <row r="19">
          <cell r="E19">
            <v>1166483108.89324</v>
          </cell>
          <cell r="F19">
            <v>464461677.87119502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2">
          <cell r="J2">
            <v>2023</v>
          </cell>
          <cell r="L2">
            <v>0.90718500000000002</v>
          </cell>
        </row>
        <row r="3">
          <cell r="J3">
            <v>2023</v>
          </cell>
        </row>
        <row r="4">
          <cell r="J4">
            <v>2035</v>
          </cell>
        </row>
        <row r="5">
          <cell r="B5">
            <v>9.4029543955328074E-2</v>
          </cell>
          <cell r="C5">
            <v>0.11965084813625726</v>
          </cell>
          <cell r="J5">
            <v>13</v>
          </cell>
        </row>
        <row r="6">
          <cell r="B6">
            <v>9.4029543955328074E-2</v>
          </cell>
          <cell r="C6">
            <v>0.11965084813625726</v>
          </cell>
          <cell r="J6">
            <v>13</v>
          </cell>
        </row>
      </sheetData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2" max="2" width="35.140625" hidden="0" customWidth="1"/>
  </cols>
  <sheetData>
    <row r="1">
      <c r="A1" t="s">
        <v>207</v>
      </c>
    </row>
    <row r="2">
      <c r="A2" t="s">
        <v>473</v>
      </c>
    </row>
    <row r="4">
      <c r="A4" t="s">
        <v>206</v>
      </c>
      <c r="B4" t="s">
        <v>205</v>
      </c>
      <c r="C4" t="s">
        <v>204</v>
      </c>
    </row>
    <row r="5">
      <c r="C5" t="s">
        <v>208</v>
      </c>
    </row>
    <row r="6">
      <c r="B6" t="s">
        <v>472</v>
      </c>
      <c r="C6" t="s">
        <v>209</v>
      </c>
    </row>
    <row r="7">
      <c r="C7" t="s">
        <v>203</v>
      </c>
    </row>
    <row r="8">
      <c r="B8" t="s">
        <v>202</v>
      </c>
      <c r="C8" t="s">
        <v>210</v>
      </c>
    </row>
    <row r="9">
      <c r="B9" t="s">
        <v>201</v>
      </c>
      <c r="C9" t="s">
        <v>211</v>
      </c>
    </row>
    <row r="10">
      <c r="B10" t="s">
        <v>73</v>
      </c>
      <c r="C10" t="s">
        <v>200</v>
      </c>
    </row>
    <row r="11">
      <c r="B11" t="s">
        <v>199</v>
      </c>
      <c r="C11" t="s">
        <v>198</v>
      </c>
    </row>
    <row r="12">
      <c r="B12" t="s">
        <v>197</v>
      </c>
      <c r="C12" t="s">
        <v>196</v>
      </c>
    </row>
    <row r="13">
      <c r="B13" t="s">
        <v>195</v>
      </c>
      <c r="C13" t="s">
        <v>194</v>
      </c>
    </row>
    <row r="14">
      <c r="B14" t="s">
        <v>193</v>
      </c>
      <c r="C14" t="s">
        <v>242</v>
      </c>
    </row>
    <row r="15">
      <c r="B15" t="s">
        <v>192</v>
      </c>
      <c r="C15" t="s">
        <v>212</v>
      </c>
    </row>
    <row r="16">
      <c r="B16" t="s">
        <v>213</v>
      </c>
      <c r="C16" t="s">
        <v>214</v>
      </c>
    </row>
    <row r="17">
      <c r="B17" t="s">
        <v>215</v>
      </c>
      <c r="C17" t="s">
        <v>218</v>
      </c>
    </row>
    <row r="18">
      <c r="B18" t="s">
        <v>216</v>
      </c>
      <c r="C18" t="s">
        <v>219</v>
      </c>
    </row>
    <row r="19">
      <c r="B19" t="s">
        <v>217</v>
      </c>
      <c r="C19" t="s">
        <v>220</v>
      </c>
    </row>
    <row r="20">
      <c r="B20" t="s">
        <v>221</v>
      </c>
      <c r="C20" t="s">
        <v>222</v>
      </c>
    </row>
    <row r="21">
      <c r="B21" t="s">
        <v>191</v>
      </c>
      <c r="C21" t="s">
        <v>190</v>
      </c>
    </row>
    <row r="22">
      <c r="B22" t="s">
        <v>189</v>
      </c>
    </row>
    <row r="23">
      <c r="B23" t="s">
        <v>188</v>
      </c>
    </row>
    <row r="24">
      <c r="B24" t="s">
        <v>187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30.7109375" hidden="0" customWidth="1"/>
    <col min="2" max="2" width="12.140625" hidden="0" customWidth="1"/>
    <col min="3" max="3" width="17.5703125" hidden="0" customWidth="1"/>
    <col min="4" max="4" width="14.42578125" hidden="0" customWidth="1"/>
    <col min="5" max="5" width="23.42578125" hidden="0" customWidth="1"/>
    <col min="7" max="7" width="32" hidden="0" customWidth="1"/>
  </cols>
  <sheetData>
    <row r="2" ht="16.149999999999999" customHeight="1">
      <c r="A2" s="1" t="s">
        <v>50</v>
      </c>
      <c r="B2" s="1"/>
      <c r="G2" s="1" t="s">
        <v>27</v>
      </c>
      <c r="H2" s="1"/>
    </row>
    <row r="3" ht="15.6" customHeight="1">
      <c r="A3" s="6"/>
      <c r="B3" s="13" t="s">
        <v>28</v>
      </c>
      <c r="C3" s="13"/>
      <c r="D3" s="13" t="s">
        <v>29</v>
      </c>
      <c r="E3" s="13"/>
      <c r="G3" s="6"/>
      <c r="H3" s="13" t="s">
        <v>28</v>
      </c>
      <c r="I3" s="13"/>
      <c r="J3" s="13" t="s">
        <v>29</v>
      </c>
      <c r="K3" s="13"/>
    </row>
    <row r="4" ht="15" customHeight="1">
      <c r="A4" s="8"/>
      <c r="B4" s="8" t="s">
        <v>24</v>
      </c>
      <c r="C4" s="8" t="s">
        <v>25</v>
      </c>
      <c r="D4" s="8" t="s">
        <v>24</v>
      </c>
      <c r="E4" s="8" t="s">
        <v>25</v>
      </c>
      <c r="G4" s="8"/>
      <c r="H4" s="8" t="s">
        <v>24</v>
      </c>
      <c r="I4" s="8" t="s">
        <v>25</v>
      </c>
      <c r="J4" s="8" t="s">
        <v>24</v>
      </c>
      <c r="K4" s="8" t="s">
        <v>25</v>
      </c>
    </row>
    <row r="5" ht="15.6" customHeight="1">
      <c r="A5" s="4" t="s">
        <v>445</v>
      </c>
      <c r="B5" s="23" t="n">
        <f xml:space="preserve"> cb_disc!D16</f>
        <v>47945.5702635286</v>
      </c>
      <c r="C5" s="23" t="n">
        <f>cb_disc!D17</f>
        <v>4508.30010655772</v>
      </c>
      <c r="D5" s="23" t="n">
        <f>B5</f>
        <v>47945.5702635286</v>
      </c>
      <c r="E5" s="23" t="n">
        <f>C5</f>
        <v>4508.30010655772</v>
      </c>
      <c r="G5" s="4" t="s">
        <v>445</v>
      </c>
      <c r="H5" s="23" t="n">
        <f>ROUND(B5,2-(1+INT(LOG10(ABS(B5)))))</f>
        <v>48000</v>
      </c>
      <c r="I5" s="23" t="n">
        <f t="shared" ref="I5:K9" si="0">ROUND(C5,2-(1+INT(LOG10(ABS(C5)))))</f>
        <v>4500</v>
      </c>
      <c r="J5" s="23" t="n">
        <f t="shared" si="0"/>
        <v>48000</v>
      </c>
      <c r="K5" s="23" t="n">
        <f t="shared" si="0"/>
        <v>4500</v>
      </c>
    </row>
    <row r="6">
      <c r="A6" s="4" t="s">
        <v>30</v>
      </c>
      <c r="B6" s="23" t="n">
        <f t="shared" ref="B6:E8" si="1" xml:space="preserve"> B28 +B50</f>
        <v>14369.55974022326</v>
      </c>
      <c r="C6" s="23" t="n">
        <f t="shared" si="1"/>
        <v>1351.1631492120405</v>
      </c>
      <c r="D6" s="23" t="n">
        <f t="shared" si="1"/>
        <v>11660.53731632535</v>
      </c>
      <c r="E6" s="23" t="n">
        <f t="shared" si="1"/>
        <v>1395.193179622805</v>
      </c>
      <c r="G6" s="4" t="s">
        <v>30</v>
      </c>
      <c r="H6" s="23" t="n">
        <f t="shared" ref="H6:H9" si="2">ROUND(B6,2-(1+INT(LOG10(ABS(B6)))))</f>
        <v>14000</v>
      </c>
      <c r="I6" s="23" t="n">
        <f t="shared" si="0"/>
        <v>1400</v>
      </c>
      <c r="J6" s="23" t="n">
        <f t="shared" si="0"/>
        <v>12000</v>
      </c>
      <c r="K6" s="23" t="n">
        <f t="shared" si="0"/>
        <v>1400</v>
      </c>
    </row>
    <row r="7">
      <c r="A7" s="4" t="s">
        <v>31</v>
      </c>
      <c r="B7" s="23" t="n">
        <f t="shared" si="1"/>
        <v>19009.000557630989</v>
      </c>
      <c r="C7" s="23" t="n">
        <f t="shared" si="1"/>
        <v>1787.407653480624</v>
      </c>
      <c r="D7" s="23" t="n">
        <f t="shared" si="1"/>
        <v>14932.86597068592</v>
      </c>
      <c r="E7" s="23" t="n">
        <f t="shared" si="1"/>
        <v>1786.7300784976251</v>
      </c>
      <c r="G7" s="4" t="s">
        <v>31</v>
      </c>
      <c r="H7" s="23" t="n">
        <f t="shared" si="2"/>
        <v>19000</v>
      </c>
      <c r="I7" s="23" t="n">
        <f t="shared" si="0"/>
        <v>1800</v>
      </c>
      <c r="J7" s="23" t="n">
        <f t="shared" si="0"/>
        <v>15000</v>
      </c>
      <c r="K7" s="23" t="n">
        <f t="shared" si="0"/>
        <v>1800</v>
      </c>
    </row>
    <row r="8">
      <c r="A8" s="4" t="s">
        <v>32</v>
      </c>
      <c r="B8" s="23" t="n">
        <f t="shared" si="1"/>
        <v>4639.4408174077298</v>
      </c>
      <c r="C8" s="23" t="n">
        <f t="shared" si="1"/>
        <v>436.2445042685834</v>
      </c>
      <c r="D8" s="23" t="n">
        <f t="shared" si="1"/>
        <v>3272.3286543605718</v>
      </c>
      <c r="E8" s="23" t="n">
        <f t="shared" si="1"/>
        <v>391.53689887481994</v>
      </c>
      <c r="G8" s="4" t="s">
        <v>32</v>
      </c>
      <c r="H8" s="23" t="n">
        <f t="shared" si="2"/>
        <v>4600</v>
      </c>
      <c r="I8" s="23" t="n">
        <f t="shared" si="0"/>
        <v>440</v>
      </c>
      <c r="J8" s="23" t="n">
        <f t="shared" si="0"/>
        <v>3300</v>
      </c>
      <c r="K8" s="23" t="n">
        <f t="shared" si="0"/>
        <v>390</v>
      </c>
    </row>
    <row r="9" ht="18" customHeight="1">
      <c r="A9" s="8" t="s">
        <v>33</v>
      </c>
      <c r="B9" s="25" t="n">
        <f xml:space="preserve"> B5 - B6</f>
        <v>33576.01052330534</v>
      </c>
      <c r="C9" s="25" t="n">
        <f t="shared" ref="C9:E9" si="3" xml:space="preserve"> C5 - C6</f>
        <v>3157.1369573456795</v>
      </c>
      <c r="D9" s="25" t="n">
        <f t="shared" si="3"/>
        <v>36285.032947203246</v>
      </c>
      <c r="E9" s="25" t="n">
        <f t="shared" si="3"/>
        <v>3113.106926934915</v>
      </c>
      <c r="G9" s="8" t="s">
        <v>33</v>
      </c>
      <c r="H9" s="23" t="n">
        <f t="shared" si="2"/>
        <v>34000</v>
      </c>
      <c r="I9" s="23" t="n">
        <f t="shared" si="0"/>
        <v>3200</v>
      </c>
      <c r="J9" s="23" t="n">
        <f t="shared" si="0"/>
        <v>36000</v>
      </c>
      <c r="K9" s="23" t="n">
        <f t="shared" si="0"/>
        <v>3100</v>
      </c>
    </row>
    <row r="10">
      <c r="A10" s="15"/>
      <c r="B10" s="15"/>
      <c r="C10" s="15"/>
      <c r="D10" s="15"/>
      <c r="E10" s="15"/>
      <c r="G10" s="15"/>
      <c r="H10" s="15"/>
      <c r="I10" s="15"/>
      <c r="J10" s="15"/>
      <c r="K10" s="15"/>
    </row>
    <row r="11" ht="15" customHeight="1">
      <c r="A11" s="8" t="s">
        <v>34</v>
      </c>
      <c r="B11" s="8" t="s">
        <v>35</v>
      </c>
      <c r="C11" s="8"/>
      <c r="D11" s="8"/>
      <c r="E11" s="8"/>
      <c r="G11" s="8" t="s">
        <v>34</v>
      </c>
      <c r="H11" s="8" t="s">
        <v>35</v>
      </c>
      <c r="I11" s="8"/>
      <c r="J11" s="8"/>
      <c r="K11" s="8"/>
    </row>
    <row r="12">
      <c r="A12" s="4" t="s">
        <v>36</v>
      </c>
      <c r="B12" s="17" t="n">
        <f xml:space="preserve"> B34+B56</f>
        <v>-35.668018285049513</v>
      </c>
      <c r="C12" s="17"/>
      <c r="D12" s="17"/>
      <c r="E12" s="17"/>
      <c r="G12" s="4" t="s">
        <v>36</v>
      </c>
      <c r="H12" s="17" t="n">
        <f>ROUND(B12,2-(1+INT(LOG10(ABS(B12)))))</f>
        <v>-36</v>
      </c>
      <c r="I12" s="17"/>
      <c r="J12" s="17"/>
      <c r="K12" s="17"/>
    </row>
    <row r="13">
      <c r="A13" s="4" t="s">
        <v>2</v>
      </c>
      <c r="B13" s="10" t="n">
        <f>B35+B57</f>
        <v>-9.7094010069108343</v>
      </c>
      <c r="C13" s="10"/>
      <c r="D13" s="10"/>
      <c r="E13" s="10"/>
      <c r="G13" s="4" t="s">
        <v>2</v>
      </c>
      <c r="H13" s="10" t="n">
        <f t="shared" ref="H13:H15" si="4">ROUND(B13,2-(1+INT(LOG10(ABS(B13)))))</f>
        <v>-9.6999999999999993</v>
      </c>
      <c r="I13" s="10"/>
      <c r="J13" s="10"/>
      <c r="K13" s="10"/>
    </row>
    <row r="14" ht="15.6" customHeight="1">
      <c r="A14" s="4" t="s">
        <v>3</v>
      </c>
      <c r="B14" s="10" t="n">
        <f>B36+B58</f>
        <v>-0.39228143697567663</v>
      </c>
      <c r="C14" s="10"/>
      <c r="D14" s="10"/>
      <c r="E14" s="10"/>
      <c r="G14" s="4" t="s">
        <v>3</v>
      </c>
      <c r="H14" s="10" t="n">
        <f t="shared" si="4"/>
        <v>-0.39</v>
      </c>
      <c r="I14" s="10"/>
      <c r="J14" s="10"/>
      <c r="K14" s="10"/>
    </row>
    <row r="15" ht="15.6" customHeight="1">
      <c r="A15" s="4" t="s">
        <v>37</v>
      </c>
      <c r="B15" s="10" t="n">
        <f>(B37+B59)</f>
        <v>-808.93704735594702</v>
      </c>
      <c r="C15" s="10"/>
      <c r="D15" s="10"/>
      <c r="E15" s="10"/>
      <c r="G15" s="4" t="s">
        <v>37</v>
      </c>
      <c r="H15" s="10" t="n">
        <f t="shared" si="4"/>
        <v>-810</v>
      </c>
      <c r="I15" s="10"/>
      <c r="J15" s="10"/>
      <c r="K15" s="10"/>
    </row>
    <row r="16" ht="11.45" customHeight="1">
      <c r="A16" s="5" t="s">
        <v>38</v>
      </c>
      <c r="B16" s="5"/>
      <c r="C16" s="5"/>
      <c r="D16" s="5"/>
      <c r="E16" s="5"/>
      <c r="G16" s="5" t="s">
        <v>38</v>
      </c>
      <c r="H16" s="5"/>
      <c r="I16" s="5"/>
      <c r="J16" s="5"/>
      <c r="K16" s="5"/>
    </row>
    <row r="17" ht="16.149999999999999" customHeight="1">
      <c r="A17" s="4"/>
    </row>
    <row r="18" ht="15.6" customHeight="1">
      <c r="A18" s="4"/>
    </row>
    <row r="19" ht="15.6" customHeight="1">
      <c r="A19" s="4"/>
    </row>
    <row r="20" ht="15.6" customHeight="1">
      <c r="A20" s="4"/>
    </row>
    <row r="24" ht="16.149999999999999" customHeight="1">
      <c r="A24" s="1" t="s">
        <v>48</v>
      </c>
      <c r="B24" s="1"/>
      <c r="G24" s="1" t="s">
        <v>39</v>
      </c>
      <c r="H24" s="1"/>
    </row>
    <row r="25" ht="15.6" customHeight="1">
      <c r="A25" s="6"/>
      <c r="B25" s="13" t="s">
        <v>28</v>
      </c>
      <c r="C25" s="13"/>
      <c r="D25" s="13" t="s">
        <v>29</v>
      </c>
      <c r="E25" s="13"/>
      <c r="G25" s="6"/>
      <c r="H25" s="13" t="s">
        <v>28</v>
      </c>
      <c r="I25" s="13"/>
      <c r="J25" s="13" t="s">
        <v>29</v>
      </c>
      <c r="K25" s="13"/>
    </row>
    <row r="26" ht="15" customHeight="1">
      <c r="A26" s="8"/>
      <c r="B26" s="8" t="s">
        <v>24</v>
      </c>
      <c r="C26" s="8" t="s">
        <v>25</v>
      </c>
      <c r="D26" s="8" t="s">
        <v>24</v>
      </c>
      <c r="E26" s="8" t="s">
        <v>25</v>
      </c>
      <c r="G26" s="8"/>
      <c r="H26" s="8" t="s">
        <v>24</v>
      </c>
      <c r="I26" s="8" t="s">
        <v>25</v>
      </c>
      <c r="J26" s="8" t="s">
        <v>24</v>
      </c>
      <c r="K26" s="8" t="s">
        <v>25</v>
      </c>
    </row>
    <row r="27" ht="16.149999999999999" customHeight="1">
      <c r="A27" s="4" t="s">
        <v>445</v>
      </c>
      <c r="B27" s="7" t="n">
        <f>cb_disc_NSPS!D16</f>
        <v>10917.4588774313</v>
      </c>
      <c r="C27" s="7" t="n">
        <f>cb_disc_NSPS!D17</f>
        <v>1026.56367939591</v>
      </c>
      <c r="D27" s="7" t="n">
        <f>B27</f>
        <v>10917.4588774313</v>
      </c>
      <c r="E27" s="7" t="n">
        <f>C27</f>
        <v>1026.56367939591</v>
      </c>
      <c r="G27" s="4" t="s">
        <v>445</v>
      </c>
      <c r="H27" s="23" t="n">
        <f>ROUND(B27,2-(1+INT(LOG10(ABS(B27)))))</f>
        <v>11000</v>
      </c>
      <c r="I27" s="23" t="n">
        <f t="shared" ref="I27:K31" si="5">ROUND(C27,2-(1+INT(LOG10(ABS(C27)))))</f>
        <v>1000</v>
      </c>
      <c r="J27" s="23" t="n">
        <f t="shared" si="5"/>
        <v>11000</v>
      </c>
      <c r="K27" s="23" t="n">
        <f t="shared" si="5"/>
        <v>1000</v>
      </c>
    </row>
    <row r="28">
      <c r="A28" s="4" t="s">
        <v>30</v>
      </c>
      <c r="B28" s="7" t="n">
        <f xml:space="preserve"> B29 - B30</f>
        <v>3799.8268076314007</v>
      </c>
      <c r="C28" s="7" t="n">
        <f t="shared" ref="C28:E28" si="6" xml:space="preserve"> C29 - C30</f>
        <v>357.2959818308106</v>
      </c>
      <c r="D28" s="7" t="n">
        <f t="shared" si="6"/>
        <v>2986.5616376567082</v>
      </c>
      <c r="E28" s="7" t="n">
        <f t="shared" si="6"/>
        <v>357.34463295683508</v>
      </c>
      <c r="G28" s="4" t="s">
        <v>30</v>
      </c>
      <c r="H28" s="26" t="n">
        <f t="shared" ref="H28:H31" si="7">ROUND(B28,2-(1+INT(LOG10(ABS(B28)))))</f>
        <v>3800</v>
      </c>
      <c r="I28" s="26" t="n">
        <f t="shared" si="5"/>
        <v>360</v>
      </c>
      <c r="J28" s="23" t="n">
        <f t="shared" si="5"/>
        <v>3000</v>
      </c>
      <c r="K28" s="23" t="n">
        <f t="shared" si="5"/>
        <v>360</v>
      </c>
    </row>
    <row r="29">
      <c r="A29" s="4" t="s">
        <v>31</v>
      </c>
      <c r="B29" s="7" t="n">
        <f>cost_disc_3_NSPS!E17/1000000</f>
        <v>4849.7713230523905</v>
      </c>
      <c r="C29" s="7" t="n">
        <f xml:space="preserve"> cost_disc_3_NSPS!E18/1000000</f>
        <v>456.02178579424401</v>
      </c>
      <c r="D29" s="7" t="n">
        <f xml:space="preserve"> cost_disc_7_NSPS!E17/1000000</f>
        <v>3718.82883451112</v>
      </c>
      <c r="E29" s="7" t="n">
        <f>cost_disc_7_NSPS!E18/1000000</f>
        <v>444.96102412282505</v>
      </c>
      <c r="G29" s="4" t="s">
        <v>31</v>
      </c>
      <c r="H29" s="23" t="n">
        <f t="shared" si="7"/>
        <v>4800</v>
      </c>
      <c r="I29" s="23" t="n">
        <f t="shared" si="5"/>
        <v>460</v>
      </c>
      <c r="J29" s="23" t="n">
        <f t="shared" si="5"/>
        <v>3700</v>
      </c>
      <c r="K29" s="23" t="n">
        <f t="shared" si="5"/>
        <v>440</v>
      </c>
    </row>
    <row r="30">
      <c r="A30" s="4" t="s">
        <v>32</v>
      </c>
      <c r="B30" s="7" t="n">
        <f xml:space="preserve"> cost_disc_3_NSPS!F17/1000000</f>
        <v>1049.94451542099</v>
      </c>
      <c r="C30" s="7" t="n">
        <f xml:space="preserve"> cost_disc_3_NSPS!F18/1000000</f>
        <v>98.725803963433407</v>
      </c>
      <c r="D30" s="7" t="n">
        <f xml:space="preserve"> cost_disc_7_NSPS!F17/1000000</f>
        <v>732.26719685441196</v>
      </c>
      <c r="E30" s="7" t="n">
        <f>cost_disc_7_NSPS!F18/1000000</f>
        <v>87.616391165989995</v>
      </c>
      <c r="G30" s="4" t="s">
        <v>32</v>
      </c>
      <c r="H30" s="23" t="n">
        <f t="shared" si="7"/>
        <v>1000</v>
      </c>
      <c r="I30" s="23" t="n">
        <f t="shared" si="5"/>
        <v>99</v>
      </c>
      <c r="J30" s="23" t="n">
        <f t="shared" si="5"/>
        <v>730</v>
      </c>
      <c r="K30" s="23" t="n">
        <f t="shared" si="5"/>
        <v>88</v>
      </c>
    </row>
    <row r="31" ht="15" customHeight="1">
      <c r="A31" s="8" t="s">
        <v>33</v>
      </c>
      <c r="B31" s="14" t="n">
        <f xml:space="preserve"> B27 - B28</f>
        <v>7117.632069799899</v>
      </c>
      <c r="C31" s="14" t="n">
        <f t="shared" ref="C31:E31" si="8" xml:space="preserve"> C27 - C28</f>
        <v>669.2676975650993</v>
      </c>
      <c r="D31" s="14" t="n">
        <f t="shared" si="8"/>
        <v>7930.8972397745911</v>
      </c>
      <c r="E31" s="14" t="n">
        <f t="shared" si="8"/>
        <v>669.21904643907487</v>
      </c>
      <c r="G31" s="8" t="s">
        <v>33</v>
      </c>
      <c r="H31" s="23" t="n">
        <f t="shared" si="7"/>
        <v>7100</v>
      </c>
      <c r="I31" s="23" t="n">
        <f t="shared" si="5"/>
        <v>670</v>
      </c>
      <c r="J31" s="23" t="n">
        <f t="shared" si="5"/>
        <v>7900</v>
      </c>
      <c r="K31" s="23" t="n">
        <f t="shared" si="5"/>
        <v>670</v>
      </c>
    </row>
    <row r="32">
      <c r="A32" s="15"/>
      <c r="B32" s="15"/>
      <c r="C32" s="15"/>
      <c r="D32" s="15"/>
      <c r="E32" s="15"/>
      <c r="G32" s="15"/>
      <c r="H32" s="15"/>
      <c r="I32" s="15"/>
      <c r="J32" s="15"/>
      <c r="K32" s="15"/>
    </row>
    <row r="33" ht="15" customHeight="1">
      <c r="A33" s="8" t="s">
        <v>34</v>
      </c>
      <c r="B33" s="8" t="s">
        <v>35</v>
      </c>
      <c r="C33" s="8"/>
      <c r="D33" s="8"/>
      <c r="E33" s="8"/>
      <c r="G33" s="8" t="s">
        <v>34</v>
      </c>
      <c r="H33" s="8" t="s">
        <v>35</v>
      </c>
      <c r="I33" s="8"/>
      <c r="J33" s="8"/>
      <c r="K33" s="8"/>
    </row>
    <row r="34">
      <c r="A34" s="4" t="s">
        <v>36</v>
      </c>
      <c r="B34" s="17" t="n">
        <f>SUM(emissions_NSPS!C4:C16)/1000000</f>
        <v>-8.1337620091957827</v>
      </c>
      <c r="C34" s="17"/>
      <c r="D34" s="17"/>
      <c r="E34" s="17"/>
      <c r="G34" s="4" t="s">
        <v>36</v>
      </c>
      <c r="H34" s="17" t="n">
        <f>ROUND(B34,2-(1+INT(LOG10(ABS(B34)))))</f>
        <v>-8.1</v>
      </c>
      <c r="I34" s="17"/>
      <c r="J34" s="17"/>
      <c r="K34" s="17"/>
    </row>
    <row r="35">
      <c r="A35" s="4" t="s">
        <v>2</v>
      </c>
      <c r="B35" s="10" t="n">
        <f>SUM(emissions_NSPS!D4:D16)/1000000</f>
        <v>-2.9079528207497809</v>
      </c>
      <c r="C35" s="10"/>
      <c r="D35" s="10"/>
      <c r="E35" s="10"/>
      <c r="G35" s="4" t="s">
        <v>2</v>
      </c>
      <c r="H35" s="10" t="n">
        <f t="shared" ref="H35:H37" si="9">ROUND(B35,2-(1+INT(LOG10(ABS(B35)))))</f>
        <v>-2.9</v>
      </c>
      <c r="I35" s="10"/>
      <c r="J35" s="10"/>
      <c r="K35" s="10"/>
    </row>
    <row r="36" ht="16.149999999999999" customHeight="1">
      <c r="A36" s="4" t="s">
        <v>3</v>
      </c>
      <c r="B36" s="10" t="n">
        <f>SUM(emissions_NSPS!E4:E16)/1000000</f>
        <v>-0.10980398774164445</v>
      </c>
      <c r="C36" s="10"/>
      <c r="D36" s="10"/>
      <c r="E36" s="10"/>
      <c r="G36" s="4" t="s">
        <v>3</v>
      </c>
      <c r="H36" s="10" t="n">
        <f t="shared" si="9"/>
        <v>-0.11</v>
      </c>
      <c r="I36" s="10"/>
      <c r="J36" s="10"/>
      <c r="K36" s="10"/>
    </row>
    <row r="37">
      <c r="A37" s="4" t="s">
        <v>37</v>
      </c>
      <c r="B37" s="3" t="n">
        <f>SUM(emissions_NSPS!F4:F16)/1000000</f>
        <v>-184.47061933835377</v>
      </c>
      <c r="C37" s="3"/>
      <c r="D37" s="3"/>
      <c r="E37" s="3"/>
      <c r="G37" s="4" t="s">
        <v>37</v>
      </c>
      <c r="H37" s="10" t="n">
        <f t="shared" si="9"/>
        <v>-180</v>
      </c>
      <c r="I37" s="10"/>
      <c r="J37" s="10"/>
      <c r="K37" s="10"/>
    </row>
    <row r="38" ht="15" customHeight="1">
      <c r="A38" s="5" t="s">
        <v>38</v>
      </c>
      <c r="B38" s="5"/>
      <c r="C38" s="5"/>
      <c r="D38" s="5"/>
      <c r="E38" s="5"/>
      <c r="G38" s="5" t="s">
        <v>38</v>
      </c>
      <c r="H38" s="5"/>
      <c r="I38" s="5"/>
      <c r="J38" s="5"/>
      <c r="K38" s="5"/>
    </row>
    <row r="39" ht="15" customHeight="1">
      <c r="A39" s="4"/>
    </row>
    <row r="40">
      <c r="A40" s="4"/>
    </row>
    <row r="41" ht="15.6" customHeight="1">
      <c r="A41" s="4"/>
    </row>
    <row r="42">
      <c r="A42" s="4"/>
    </row>
    <row r="46" ht="16.149999999999999" customHeight="1">
      <c r="A46" s="1" t="s">
        <v>49</v>
      </c>
      <c r="B46" s="1"/>
      <c r="G46" s="1" t="s">
        <v>40</v>
      </c>
      <c r="H46" s="1"/>
    </row>
    <row r="47" ht="15.6" customHeight="1">
      <c r="A47" s="6"/>
      <c r="B47" s="13" t="s">
        <v>28</v>
      </c>
      <c r="C47" s="13"/>
      <c r="D47" s="13" t="s">
        <v>29</v>
      </c>
      <c r="E47" s="13"/>
      <c r="G47" s="6"/>
      <c r="H47" s="13" t="s">
        <v>28</v>
      </c>
      <c r="I47" s="13"/>
      <c r="J47" s="13" t="s">
        <v>29</v>
      </c>
      <c r="K47" s="13"/>
    </row>
    <row r="48" ht="15" customHeight="1">
      <c r="A48" s="8"/>
      <c r="B48" s="8" t="s">
        <v>24</v>
      </c>
      <c r="C48" s="8" t="s">
        <v>25</v>
      </c>
      <c r="D48" s="8" t="s">
        <v>24</v>
      </c>
      <c r="E48" s="8" t="s">
        <v>25</v>
      </c>
      <c r="G48" s="8"/>
      <c r="H48" s="8" t="s">
        <v>24</v>
      </c>
      <c r="I48" s="8" t="s">
        <v>25</v>
      </c>
      <c r="J48" s="8" t="s">
        <v>24</v>
      </c>
      <c r="K48" s="8" t="s">
        <v>25</v>
      </c>
    </row>
    <row r="49" ht="16.149999999999999" customHeight="1">
      <c r="A49" s="4" t="s">
        <v>445</v>
      </c>
      <c r="B49" s="23" t="n">
        <f>cb_disc_EG!D16</f>
        <v>37028.111386097196</v>
      </c>
      <c r="C49" s="23" t="n">
        <f>cb_disc_EG!D17</f>
        <v>3481.7364271618098</v>
      </c>
      <c r="D49" s="23" t="n">
        <f>B49</f>
        <v>37028.111386097196</v>
      </c>
      <c r="E49" s="23" t="n">
        <f>C49</f>
        <v>3481.7364271618098</v>
      </c>
      <c r="G49" s="4" t="s">
        <v>445</v>
      </c>
      <c r="H49" s="23" t="n">
        <f>ROUND(B49,2-(1+INT(LOG10(ABS(B49)))))</f>
        <v>37000</v>
      </c>
      <c r="I49" s="23" t="n">
        <f t="shared" ref="I49:K53" si="10">ROUND(C49,2-(1+INT(LOG10(ABS(C49)))))</f>
        <v>3500</v>
      </c>
      <c r="J49" s="23" t="n">
        <f t="shared" si="10"/>
        <v>37000</v>
      </c>
      <c r="K49" s="23" t="n">
        <f t="shared" si="10"/>
        <v>3500</v>
      </c>
    </row>
    <row r="50">
      <c r="A50" s="4" t="s">
        <v>30</v>
      </c>
      <c r="B50" s="23" t="n">
        <f xml:space="preserve"> B51 - B52</f>
        <v>10569.732932591858</v>
      </c>
      <c r="C50" s="23" t="n">
        <f t="shared" ref="C50:E50" si="11" xml:space="preserve"> C51 - C52</f>
        <v>993.86716738122993</v>
      </c>
      <c r="D50" s="23" t="n">
        <f t="shared" si="11"/>
        <v>8673.9756786686412</v>
      </c>
      <c r="E50" s="23" t="n">
        <f t="shared" si="11"/>
        <v>1037.8485466659699</v>
      </c>
      <c r="G50" s="4" t="s">
        <v>30</v>
      </c>
      <c r="H50" s="23" t="n">
        <f t="shared" ref="H50:H53" si="12">ROUND(B50,2-(1+INT(LOG10(ABS(B50)))))</f>
        <v>11000</v>
      </c>
      <c r="I50" s="23" t="n">
        <f t="shared" si="10"/>
        <v>990</v>
      </c>
      <c r="J50" s="23" t="n">
        <f t="shared" si="10"/>
        <v>8700</v>
      </c>
      <c r="K50" s="23" t="n">
        <f t="shared" si="10"/>
        <v>1000</v>
      </c>
    </row>
    <row r="51">
      <c r="A51" s="4" t="s">
        <v>31</v>
      </c>
      <c r="B51" s="23" t="n">
        <f>cost_disc_3_EG!E18/1000000</f>
        <v>14159.229234578599</v>
      </c>
      <c r="C51" s="23" t="n">
        <f>cost_disc_3_EG!E19/1000000</f>
        <v>1331.3858676863799</v>
      </c>
      <c r="D51" s="23" t="n">
        <f>cost_disc_7_EG!E18/1000000</f>
        <v>11214.0371361748</v>
      </c>
      <c r="E51" s="23" t="n">
        <f>cost_disc_7_EG!E19/1000000</f>
        <v>1341.7690543747999</v>
      </c>
      <c r="G51" s="4" t="s">
        <v>31</v>
      </c>
      <c r="H51" s="23" t="n">
        <f t="shared" si="12"/>
        <v>14000</v>
      </c>
      <c r="I51" s="23" t="n">
        <f t="shared" si="10"/>
        <v>1300</v>
      </c>
      <c r="J51" s="23" t="n">
        <f t="shared" si="10"/>
        <v>11000</v>
      </c>
      <c r="K51" s="23" t="n">
        <f t="shared" si="10"/>
        <v>1300</v>
      </c>
    </row>
    <row r="52">
      <c r="A52" s="4" t="s">
        <v>32</v>
      </c>
      <c r="B52" s="23" t="n">
        <f>cost_disc_3_EG!F18/1000000</f>
        <v>3589.49630198674</v>
      </c>
      <c r="C52" s="23" t="n">
        <f>cost_disc_3_EG!F19/1000000</f>
        <v>337.51870030514999</v>
      </c>
      <c r="D52" s="23" t="n">
        <f>cost_disc_7_EG!F18/1000000</f>
        <v>2540.06145750616</v>
      </c>
      <c r="E52" s="23" t="n">
        <f xml:space="preserve"> cost_disc_7_EG!F19/1000000</f>
        <v>303.92050770882997</v>
      </c>
      <c r="G52" s="4" t="s">
        <v>32</v>
      </c>
      <c r="H52" s="23" t="n">
        <f t="shared" si="12"/>
        <v>3600</v>
      </c>
      <c r="I52" s="23" t="n">
        <f t="shared" si="10"/>
        <v>340</v>
      </c>
      <c r="J52" s="23" t="n">
        <f t="shared" si="10"/>
        <v>2500</v>
      </c>
      <c r="K52" s="23" t="n">
        <f t="shared" si="10"/>
        <v>300</v>
      </c>
    </row>
    <row r="53" ht="15" customHeight="1">
      <c r="A53" s="8" t="s">
        <v>33</v>
      </c>
      <c r="B53" s="25" t="n">
        <f xml:space="preserve"> B49 - B50</f>
        <v>26458.378453505338</v>
      </c>
      <c r="C53" s="25" t="n">
        <f t="shared" ref="C53:E53" si="13" xml:space="preserve"> C49 - C50</f>
        <v>2487.8692597805798</v>
      </c>
      <c r="D53" s="25" t="n">
        <f t="shared" si="13"/>
        <v>28354.135707428555</v>
      </c>
      <c r="E53" s="25" t="n">
        <f t="shared" si="13"/>
        <v>2443.8878804958399</v>
      </c>
      <c r="G53" s="8" t="s">
        <v>33</v>
      </c>
      <c r="H53" s="23" t="n">
        <f t="shared" si="12"/>
        <v>26000</v>
      </c>
      <c r="I53" s="23" t="n">
        <f t="shared" si="10"/>
        <v>2500</v>
      </c>
      <c r="J53" s="23" t="n">
        <f t="shared" si="10"/>
        <v>28000</v>
      </c>
      <c r="K53" s="23" t="n">
        <f t="shared" si="10"/>
        <v>2400</v>
      </c>
    </row>
    <row r="54">
      <c r="A54" s="15"/>
      <c r="B54" s="15"/>
      <c r="C54" s="15"/>
      <c r="D54" s="15"/>
      <c r="E54" s="15"/>
      <c r="G54" s="15"/>
      <c r="H54" s="15"/>
      <c r="I54" s="15"/>
      <c r="J54" s="15"/>
      <c r="K54" s="15"/>
    </row>
    <row r="55" ht="15" customHeight="1">
      <c r="A55" s="8" t="s">
        <v>34</v>
      </c>
      <c r="B55" s="8" t="s">
        <v>35</v>
      </c>
      <c r="C55" s="8"/>
      <c r="D55" s="8"/>
      <c r="E55" s="8"/>
      <c r="G55" s="8" t="s">
        <v>34</v>
      </c>
      <c r="H55" s="8" t="s">
        <v>35</v>
      </c>
      <c r="I55" s="8"/>
      <c r="J55" s="8"/>
      <c r="K55" s="8"/>
    </row>
    <row r="56">
      <c r="A56" s="4" t="s">
        <v>36</v>
      </c>
      <c r="B56" s="17" t="n">
        <f>SUM(emissions_EG!C9:C18)/1000000</f>
        <v>-27.534256275853728</v>
      </c>
      <c r="C56" s="17"/>
      <c r="D56" s="17"/>
      <c r="E56" s="17"/>
      <c r="G56" s="4" t="s">
        <v>36</v>
      </c>
      <c r="H56" s="17" t="n">
        <f>ROUND(B56,2-(1+INT(LOG10(ABS(B56)))))</f>
        <v>-28</v>
      </c>
      <c r="I56" s="17"/>
      <c r="J56" s="17"/>
      <c r="K56" s="17"/>
    </row>
    <row r="57">
      <c r="A57" s="4" t="s">
        <v>2</v>
      </c>
      <c r="B57" s="10" t="n">
        <f>SUM(emissions_EG!D6:D18)/1000000</f>
        <v>-6.8014481861610525</v>
      </c>
      <c r="C57" s="10"/>
      <c r="D57" s="10"/>
      <c r="E57" s="10"/>
      <c r="G57" s="4" t="s">
        <v>2</v>
      </c>
      <c r="H57" s="10" t="n">
        <f t="shared" ref="H57:H59" si="14">ROUND(B57,2-(1+INT(LOG10(ABS(B57)))))</f>
        <v>-6.8</v>
      </c>
      <c r="I57" s="10"/>
      <c r="J57" s="10"/>
      <c r="K57" s="10"/>
    </row>
    <row r="58" ht="16.149999999999999" customHeight="1">
      <c r="A58" s="4" t="s">
        <v>3</v>
      </c>
      <c r="B58" s="10" t="n">
        <f>SUM(emissions_EG!E6:E18)/1000000</f>
        <v>-0.28247744923403217</v>
      </c>
      <c r="C58" s="10"/>
      <c r="D58" s="10"/>
      <c r="E58" s="10"/>
      <c r="G58" s="4" t="s">
        <v>3</v>
      </c>
      <c r="H58" s="10" t="n">
        <f t="shared" si="14"/>
        <v>-0.28000000000000003</v>
      </c>
      <c r="I58" s="10"/>
      <c r="J58" s="10"/>
      <c r="K58" s="10"/>
    </row>
    <row r="59">
      <c r="A59" s="4" t="s">
        <v>37</v>
      </c>
      <c r="B59" s="10" t="n">
        <f>SUM(emissions_EG!F6:F18)/1000000</f>
        <v>-624.46642801759322</v>
      </c>
      <c r="C59" s="10"/>
      <c r="D59" s="10"/>
      <c r="E59" s="10"/>
      <c r="G59" s="4" t="s">
        <v>37</v>
      </c>
      <c r="H59" s="10" t="n">
        <f t="shared" si="14"/>
        <v>-620</v>
      </c>
      <c r="I59" s="10"/>
      <c r="J59" s="10"/>
      <c r="K59" s="10"/>
    </row>
    <row r="60" ht="15" customHeight="1">
      <c r="A60" s="5" t="s">
        <v>38</v>
      </c>
      <c r="B60" s="5"/>
      <c r="C60" s="5"/>
      <c r="D60" s="5"/>
      <c r="E60" s="5"/>
      <c r="G60" s="5" t="s">
        <v>38</v>
      </c>
      <c r="H60" s="5"/>
      <c r="I60" s="5"/>
      <c r="J60" s="5"/>
      <c r="K60" s="5"/>
    </row>
    <row r="61" ht="15" customHeight="1">
      <c r="A61" s="4"/>
    </row>
    <row r="62">
      <c r="A62" s="4"/>
    </row>
    <row r="63" ht="15.6" customHeight="1">
      <c r="A63" s="1" t="s">
        <v>41</v>
      </c>
      <c r="B63" s="1"/>
      <c r="G63" s="1" t="s">
        <v>41</v>
      </c>
      <c r="H63" s="1"/>
    </row>
    <row r="64" ht="15.6" customHeight="1">
      <c r="A64" s="19" t="s">
        <v>42</v>
      </c>
      <c r="B64" s="13" t="s">
        <v>43</v>
      </c>
      <c r="C64" s="13"/>
      <c r="D64" s="13"/>
      <c r="E64" s="13"/>
      <c r="G64" s="19" t="s">
        <v>42</v>
      </c>
      <c r="H64" s="13" t="s">
        <v>43</v>
      </c>
      <c r="I64" s="13"/>
      <c r="J64" s="13"/>
      <c r="K64" s="13"/>
    </row>
    <row r="65">
      <c r="A65" s="4"/>
      <c r="B65" s="4" t="s">
        <v>1</v>
      </c>
      <c r="C65" s="4" t="s">
        <v>2</v>
      </c>
      <c r="D65" s="4" t="s">
        <v>3</v>
      </c>
      <c r="E65" s="4" t="s">
        <v>1</v>
      </c>
      <c r="G65" s="4"/>
      <c r="H65" s="4" t="s">
        <v>1</v>
      </c>
      <c r="I65" s="4" t="s">
        <v>2</v>
      </c>
      <c r="J65" s="4" t="s">
        <v>3</v>
      </c>
      <c r="K65" s="4" t="s">
        <v>1</v>
      </c>
    </row>
    <row r="66" ht="67.900000000000006" customHeight="1">
      <c r="A66" s="20"/>
      <c r="B66" s="8" t="s">
        <v>44</v>
      </c>
      <c r="C66" s="8" t="s">
        <v>44</v>
      </c>
      <c r="D66" s="8" t="s">
        <v>44</v>
      </c>
      <c r="E66" s="8" t="s">
        <v>45</v>
      </c>
      <c r="G66" s="20"/>
      <c r="H66" s="8" t="s">
        <v>44</v>
      </c>
      <c r="I66" s="8" t="s">
        <v>44</v>
      </c>
      <c r="J66" s="8" t="s">
        <v>44</v>
      </c>
      <c r="K66" s="8" t="s">
        <v>45</v>
      </c>
    </row>
    <row r="67">
      <c r="A67" s="4" t="s">
        <v>46</v>
      </c>
      <c r="B67" s="10" t="n">
        <f>-B34</f>
        <v>8.1337620091957827</v>
      </c>
      <c r="C67" s="10" t="n">
        <f xml:space="preserve"> - B35</f>
        <v>2.9079528207497809</v>
      </c>
      <c r="D67" s="10" t="n">
        <f xml:space="preserve"> -B36</f>
        <v>0.10980398774164445</v>
      </c>
      <c r="E67" s="3" t="n">
        <f>-B37</f>
        <v>184.47061933835377</v>
      </c>
      <c r="G67" s="4" t="s">
        <v>46</v>
      </c>
      <c r="H67" s="18" t="n">
        <f>ROUND(B67,2-(1+INT(LOG10(ABS(B67)))))</f>
        <v>8.1</v>
      </c>
      <c r="I67" s="18" t="n">
        <f t="shared" ref="I67:K69" si="15">ROUND(C67,2-(1+INT(LOG10(ABS(C67)))))</f>
        <v>2.9</v>
      </c>
      <c r="J67" s="10" t="n">
        <f t="shared" si="15"/>
        <v>0.11</v>
      </c>
      <c r="K67" s="3" t="n">
        <f t="shared" si="15"/>
        <v>180</v>
      </c>
    </row>
    <row r="68" ht="15" customHeight="1">
      <c r="A68" s="8" t="s">
        <v>47</v>
      </c>
      <c r="B68" s="12" t="n">
        <f>-B56</f>
        <v>27.534256275853728</v>
      </c>
      <c r="C68" s="12" t="n">
        <f>-B57</f>
        <v>6.8014481861610525</v>
      </c>
      <c r="D68" s="12" t="n">
        <f>-B58</f>
        <v>0.28247744923403217</v>
      </c>
      <c r="E68" s="12" t="n">
        <f>-B59</f>
        <v>624.46642801759322</v>
      </c>
      <c r="G68" s="8" t="s">
        <v>47</v>
      </c>
      <c r="H68" s="16" t="n">
        <f t="shared" ref="H68:H69" si="16">ROUND(B68,2-(1+INT(LOG10(ABS(B68)))))</f>
        <v>28</v>
      </c>
      <c r="I68" s="24" t="n">
        <f t="shared" si="15"/>
        <v>6.8</v>
      </c>
      <c r="J68" s="12" t="n">
        <f t="shared" si="15"/>
        <v>0.28000000000000003</v>
      </c>
      <c r="K68" s="16" t="n">
        <f t="shared" si="15"/>
        <v>620</v>
      </c>
    </row>
    <row r="69" ht="15" customHeight="1">
      <c r="A69" s="5" t="s">
        <v>26</v>
      </c>
      <c r="B69" s="21" t="n">
        <f>B67+B68</f>
        <v>35.668018285049513</v>
      </c>
      <c r="C69" s="21" t="n">
        <f t="shared" ref="C69:E69" si="17">C67+C68</f>
        <v>9.7094010069108343</v>
      </c>
      <c r="D69" s="21" t="n">
        <f t="shared" si="17"/>
        <v>0.39228143697567663</v>
      </c>
      <c r="E69" s="21" t="n">
        <f t="shared" si="17"/>
        <v>808.93704735594702</v>
      </c>
      <c r="G69" s="9" t="s">
        <v>26</v>
      </c>
      <c r="H69" s="2" t="n">
        <f t="shared" si="16"/>
        <v>36</v>
      </c>
      <c r="I69" s="22" t="n">
        <f t="shared" si="15"/>
        <v>9.6999999999999993</v>
      </c>
      <c r="J69" s="11" t="n">
        <f t="shared" si="15"/>
        <v>0.39</v>
      </c>
      <c r="K69" s="2" t="n">
        <f t="shared" si="15"/>
        <v>810</v>
      </c>
    </row>
    <row r="70" ht="15" customHeight="1"/>
  </sheetData>
  <mergeCells count="52">
    <mergeCell ref="B58:E58"/>
    <mergeCell ref="H58:K58"/>
    <mergeCell ref="B59:E59"/>
    <mergeCell ref="H59:K59"/>
    <mergeCell ref="A64:A66"/>
    <mergeCell ref="B64:E64"/>
    <mergeCell ref="G64:G66"/>
    <mergeCell ref="H64:K64"/>
    <mergeCell ref="B55:E55"/>
    <mergeCell ref="H55:K55"/>
    <mergeCell ref="B56:E56"/>
    <mergeCell ref="H56:K56"/>
    <mergeCell ref="B57:E57"/>
    <mergeCell ref="H57:K57"/>
    <mergeCell ref="B47:C47"/>
    <mergeCell ref="D47:E47"/>
    <mergeCell ref="H47:I47"/>
    <mergeCell ref="J47:K47"/>
    <mergeCell ref="A54:E54"/>
    <mergeCell ref="G54:K54"/>
    <mergeCell ref="B35:E35"/>
    <mergeCell ref="H35:K35"/>
    <mergeCell ref="B36:E36"/>
    <mergeCell ref="H36:K36"/>
    <mergeCell ref="B37:E37"/>
    <mergeCell ref="H37:K37"/>
    <mergeCell ref="A32:E32"/>
    <mergeCell ref="G32:K32"/>
    <mergeCell ref="B33:E33"/>
    <mergeCell ref="H33:K33"/>
    <mergeCell ref="B34:E34"/>
    <mergeCell ref="H34:K34"/>
    <mergeCell ref="B14:E14"/>
    <mergeCell ref="H14:K14"/>
    <mergeCell ref="B15:E15"/>
    <mergeCell ref="H15:K15"/>
    <mergeCell ref="B25:C25"/>
    <mergeCell ref="D25:E25"/>
    <mergeCell ref="H25:I25"/>
    <mergeCell ref="J25:K25"/>
    <mergeCell ref="B11:E11"/>
    <mergeCell ref="H11:K11"/>
    <mergeCell ref="B12:E12"/>
    <mergeCell ref="H12:K12"/>
    <mergeCell ref="B13:E13"/>
    <mergeCell ref="H13:K13"/>
    <mergeCell ref="B3:C3"/>
    <mergeCell ref="D3:E3"/>
    <mergeCell ref="H3:I3"/>
    <mergeCell ref="J3:K3"/>
    <mergeCell ref="A10:E10"/>
    <mergeCell ref="G10:K10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30" hidden="0" customWidth="1"/>
    <col min="3" max="3" width="14.5703125" hidden="0" customWidth="1"/>
    <col min="4" max="4" width="23.140625" hidden="0" customWidth="1"/>
  </cols>
  <sheetData>
    <row r="2" ht="16.149999999999999" customHeight="1">
      <c r="A2" s="1" t="s">
        <v>27</v>
      </c>
      <c r="B2" s="1"/>
    </row>
    <row r="3" ht="15.6" customHeight="1">
      <c r="A3" s="6"/>
      <c r="B3" s="13" t="s">
        <v>28</v>
      </c>
      <c r="C3" s="13"/>
      <c r="D3" s="13" t="s">
        <v>29</v>
      </c>
      <c r="E3" s="13"/>
    </row>
    <row r="4" ht="15" customHeight="1">
      <c r="A4" s="8"/>
      <c r="B4" s="8" t="s">
        <v>24</v>
      </c>
      <c r="C4" s="8" t="s">
        <v>25</v>
      </c>
      <c r="D4" s="8" t="s">
        <v>24</v>
      </c>
      <c r="E4" s="8" t="s">
        <v>25</v>
      </c>
    </row>
    <row r="5" ht="16.149999999999999" customHeight="1">
      <c r="A5" s="4" t="s">
        <v>445</v>
      </c>
      <c r="B5" s="23" t="n">
        <f t="shared" ref="B5:E8" si="0" xml:space="preserve"> B27 +B49</f>
        <v>16798.006964227679</v>
      </c>
      <c r="C5" s="23" t="n">
        <f t="shared" si="0"/>
        <v>1579.5089342047479</v>
      </c>
      <c r="D5" s="23" t="n">
        <f xml:space="preserve"> B5</f>
        <v>16798.006964227679</v>
      </c>
      <c r="E5" s="23" t="n">
        <f xml:space="preserve"> C5</f>
        <v>1579.5089342047479</v>
      </c>
    </row>
    <row r="6">
      <c r="A6" s="4" t="s">
        <v>30</v>
      </c>
      <c r="B6" s="23" t="n">
        <f t="shared" si="0"/>
        <v>8157.0341902780974</v>
      </c>
      <c r="C6" s="23" t="n">
        <f t="shared" si="0"/>
        <v>767.0022049398674</v>
      </c>
      <c r="D6" s="23" t="n">
        <f t="shared" si="0"/>
        <v>6046.871927841933</v>
      </c>
      <c r="E6" s="23" t="n">
        <f t="shared" si="0"/>
        <v>710.97911915121983</v>
      </c>
    </row>
    <row r="7">
      <c r="A7" s="4" t="s">
        <v>31</v>
      </c>
      <c r="B7" s="23" t="n">
        <f t="shared" si="0"/>
        <v>9733.9937545754801</v>
      </c>
      <c r="C7" s="23" t="n">
        <f t="shared" si="0"/>
        <v>915.28299360674305</v>
      </c>
      <c r="D7" s="23" t="n">
        <f t="shared" si="0"/>
        <v>7053.8149794066703</v>
      </c>
      <c r="E7" s="23" t="n">
        <f t="shared" si="0"/>
        <v>843.99494488224309</v>
      </c>
    </row>
    <row r="8">
      <c r="A8" s="4" t="s">
        <v>32</v>
      </c>
      <c r="B8" s="23" t="n">
        <f t="shared" si="0"/>
        <v>1576.9595642973829</v>
      </c>
      <c r="C8" s="23" t="n">
        <f t="shared" si="0"/>
        <v>148.28078866687559</v>
      </c>
      <c r="D8" s="23" t="n">
        <f t="shared" si="0"/>
        <v>1006.9430515647372</v>
      </c>
      <c r="E8" s="23" t="n">
        <f t="shared" si="0"/>
        <v>133.0158257310232</v>
      </c>
    </row>
    <row r="9" ht="15" customHeight="1">
      <c r="A9" s="8" t="s">
        <v>33</v>
      </c>
      <c r="B9" s="25" t="n">
        <f xml:space="preserve"> B5 - B6</f>
        <v>8640.9727739495829</v>
      </c>
      <c r="C9" s="25" t="n">
        <f t="shared" ref="C9:E9" si="1" xml:space="preserve"> C5 - C6</f>
        <v>812.50672926488051</v>
      </c>
      <c r="D9" s="25" t="n">
        <f t="shared" si="1"/>
        <v>10751.135036385745</v>
      </c>
      <c r="E9" s="25" t="n">
        <f t="shared" si="1"/>
        <v>868.52981505352807</v>
      </c>
    </row>
    <row r="10">
      <c r="A10" s="15"/>
      <c r="B10" s="15"/>
      <c r="C10" s="15"/>
      <c r="D10" s="15"/>
      <c r="E10" s="15"/>
    </row>
    <row r="11" ht="15" customHeight="1">
      <c r="A11" s="8" t="s">
        <v>34</v>
      </c>
      <c r="B11" s="8" t="s">
        <v>35</v>
      </c>
      <c r="C11" s="8"/>
      <c r="D11" s="8"/>
      <c r="E11" s="8"/>
    </row>
    <row r="12">
      <c r="A12" s="4" t="s">
        <v>36</v>
      </c>
      <c r="B12" s="17" t="n">
        <f xml:space="preserve"> B34+B56</f>
        <v>-12.844321783484478</v>
      </c>
      <c r="C12" s="17"/>
      <c r="D12" s="17"/>
      <c r="E12" s="17"/>
    </row>
    <row r="13">
      <c r="A13" s="4" t="s">
        <v>2</v>
      </c>
      <c r="B13" s="10" t="n">
        <f>B35+B57</f>
        <v>-3.5859219887226748</v>
      </c>
      <c r="C13" s="10"/>
      <c r="D13" s="10"/>
      <c r="E13" s="10"/>
    </row>
    <row r="14" ht="16.149999999999999" customHeight="1">
      <c r="A14" s="4" t="s">
        <v>3</v>
      </c>
      <c r="B14" s="10" t="n">
        <f>B36+B58</f>
        <v>-0.1617833512745791</v>
      </c>
      <c r="C14" s="10"/>
      <c r="D14" s="10"/>
      <c r="E14" s="10"/>
    </row>
    <row r="15">
      <c r="A15" s="4" t="s">
        <v>37</v>
      </c>
      <c r="B15" s="10" t="n">
        <f>(B37+B59)</f>
        <v>-291.30431794066749</v>
      </c>
      <c r="C15" s="10"/>
      <c r="D15" s="10"/>
      <c r="E15" s="10"/>
    </row>
    <row r="16" ht="15" customHeight="1">
      <c r="A16" s="5" t="s">
        <v>38</v>
      </c>
      <c r="B16" s="5"/>
      <c r="C16" s="5"/>
      <c r="D16" s="5"/>
      <c r="E16" s="5"/>
    </row>
    <row r="17" ht="15" customHeight="1">
      <c r="A17" s="4"/>
    </row>
    <row r="18">
      <c r="A18" s="4"/>
    </row>
    <row r="19" ht="15.6" customHeight="1">
      <c r="A19" s="4"/>
    </row>
    <row r="20">
      <c r="A20" s="4"/>
    </row>
    <row r="24" ht="16.149999999999999" customHeight="1">
      <c r="A24" s="1" t="s">
        <v>39</v>
      </c>
      <c r="B24" s="1"/>
    </row>
    <row r="25" ht="15.6" customHeight="1">
      <c r="A25" s="6"/>
      <c r="B25" s="13" t="s">
        <v>28</v>
      </c>
      <c r="C25" s="13"/>
      <c r="D25" s="13" t="s">
        <v>29</v>
      </c>
      <c r="E25" s="13"/>
    </row>
    <row r="26" ht="15" customHeight="1">
      <c r="A26" s="8"/>
      <c r="B26" s="8" t="s">
        <v>24</v>
      </c>
      <c r="C26" s="8" t="s">
        <v>25</v>
      </c>
      <c r="D26" s="8" t="s">
        <v>24</v>
      </c>
      <c r="E26" s="8" t="s">
        <v>25</v>
      </c>
    </row>
    <row r="27" ht="16.149999999999999" customHeight="1">
      <c r="A27" s="4" t="s">
        <v>445</v>
      </c>
      <c r="B27" s="7" t="n">
        <f>cb_disc_less_NSPS!D16</f>
        <v>2000.63961495018</v>
      </c>
      <c r="C27" s="7" t="n">
        <f>cb_disc_less_NSPS!D17</f>
        <v>188.11923061272799</v>
      </c>
      <c r="D27" s="7" t="n">
        <f>B27</f>
        <v>2000.63961495018</v>
      </c>
      <c r="E27" s="7" t="n">
        <f>C27</f>
        <v>188.11923061272799</v>
      </c>
    </row>
    <row r="28">
      <c r="A28" s="4" t="s">
        <v>30</v>
      </c>
      <c r="B28" s="7" t="n">
        <f xml:space="preserve"> B29 - B30</f>
        <v>3216.977962533867</v>
      </c>
      <c r="C28" s="7" t="n">
        <f t="shared" ref="C28:E28" si="2" xml:space="preserve"> C29 - C30</f>
        <v>302.49097073139939</v>
      </c>
      <c r="D28" s="7" t="n">
        <f t="shared" si="2"/>
        <v>2473.4434730098515</v>
      </c>
      <c r="E28" s="7" t="n">
        <f t="shared" si="2"/>
        <v>283.41537377632682</v>
      </c>
    </row>
    <row r="29">
      <c r="A29" s="4" t="s">
        <v>31</v>
      </c>
      <c r="B29" s="7" t="n">
        <f xml:space="preserve"> cost_disc_3_less_NSPS!E17 /1000000</f>
        <v>3387.2723029881499</v>
      </c>
      <c r="C29" s="7" t="n">
        <f xml:space="preserve"> cost_disc_3_less_NSPS!E18 /1000000</f>
        <v>318.50366990248898</v>
      </c>
      <c r="D29" s="7" t="n">
        <f xml:space="preserve"> cost_disc_7_less_NSPS!E17 /1000000</f>
        <v>2487.6812735005497</v>
      </c>
      <c r="E29" s="7" t="n">
        <f xml:space="preserve"> cost_disc_7_less_NSPS!E18 /1000000</f>
        <v>297.65317426702501</v>
      </c>
    </row>
    <row r="30">
      <c r="A30" s="4" t="s">
        <v>32</v>
      </c>
      <c r="B30" s="7" t="n">
        <f>cost_disc_3_less_NSPS!F17/1000000</f>
        <v>170.294340454283</v>
      </c>
      <c r="C30" s="7" t="n">
        <f xml:space="preserve"> cost_disc_3_less_NSPS!F18/1000000</f>
        <v>16.012699171089601</v>
      </c>
      <c r="D30" s="7" t="n">
        <f>cost_disc_7_less_NSPS!F18/1000000</f>
        <v>14.2378004906982</v>
      </c>
      <c r="E30" s="7" t="n">
        <f xml:space="preserve"> cost_disc_7_less_NSPS!F18/1000000</f>
        <v>14.2378004906982</v>
      </c>
    </row>
    <row r="31" ht="15" customHeight="1">
      <c r="A31" s="8" t="s">
        <v>33</v>
      </c>
      <c r="B31" s="14" t="n">
        <f xml:space="preserve"> B27 - B28</f>
        <v>-1216.338347583687</v>
      </c>
      <c r="C31" s="14" t="n">
        <f t="shared" ref="C31:E31" si="3" xml:space="preserve"> C27 - C28</f>
        <v>-114.3717401186714</v>
      </c>
      <c r="D31" s="14" t="n">
        <f t="shared" si="3"/>
        <v>-472.80385805967148</v>
      </c>
      <c r="E31" s="14" t="n">
        <f t="shared" si="3"/>
        <v>-95.296143163598828</v>
      </c>
    </row>
    <row r="32">
      <c r="A32" s="15"/>
      <c r="B32" s="15"/>
      <c r="C32" s="15"/>
      <c r="D32" s="15"/>
      <c r="E32" s="15"/>
    </row>
    <row r="33" ht="15" customHeight="1">
      <c r="A33" s="8" t="s">
        <v>34</v>
      </c>
      <c r="B33" s="8" t="s">
        <v>35</v>
      </c>
      <c r="C33" s="8"/>
      <c r="D33" s="8"/>
      <c r="E33" s="8"/>
    </row>
    <row r="34">
      <c r="A34" s="4" t="s">
        <v>36</v>
      </c>
      <c r="B34" s="17" t="n">
        <f xml:space="preserve"> SUM(emissions_less_NSPS!C6:C18) / 1000000</f>
        <v>-1.8380712181210062</v>
      </c>
      <c r="C34" s="17"/>
      <c r="D34" s="17"/>
      <c r="E34" s="17"/>
    </row>
    <row r="35">
      <c r="A35" s="4" t="s">
        <v>2</v>
      </c>
      <c r="B35" s="10" t="n">
        <f xml:space="preserve"> SUM(emissions_less_NSPS!D6:D18)/1000000</f>
        <v>-1.2883255775851254</v>
      </c>
      <c r="C35" s="10"/>
      <c r="D35" s="10"/>
      <c r="E35" s="10"/>
    </row>
    <row r="36" ht="16.149999999999999" customHeight="1">
      <c r="A36" s="4" t="s">
        <v>3</v>
      </c>
      <c r="B36" s="10" t="n">
        <f>SUM(emissions_less_NSPS!E6:E18)/1000000</f>
        <v>-4.8886251881967338E-2</v>
      </c>
      <c r="C36" s="10"/>
      <c r="D36" s="10"/>
      <c r="E36" s="10"/>
    </row>
    <row r="37">
      <c r="A37" s="4" t="s">
        <v>37</v>
      </c>
      <c r="B37" s="3" t="n">
        <f>SUM(emissions_less_NSPS!F6:F18) / 1000000</f>
        <v>-41.686754002814716</v>
      </c>
      <c r="C37" s="3"/>
      <c r="D37" s="3"/>
      <c r="E37" s="3"/>
    </row>
    <row r="38" ht="15" customHeight="1">
      <c r="A38" s="5" t="s">
        <v>38</v>
      </c>
      <c r="B38" s="5"/>
      <c r="C38" s="5"/>
      <c r="D38" s="5"/>
      <c r="E38" s="5"/>
    </row>
    <row r="39" ht="15" customHeight="1">
      <c r="A39" s="4"/>
    </row>
    <row r="40">
      <c r="A40" s="4"/>
    </row>
    <row r="41" ht="15.6" customHeight="1">
      <c r="A41" s="4"/>
    </row>
    <row r="42">
      <c r="A42" s="4"/>
    </row>
    <row r="46" ht="16.149999999999999" customHeight="1">
      <c r="A46" s="1" t="s">
        <v>40</v>
      </c>
      <c r="B46" s="1"/>
    </row>
    <row r="47" ht="15.6" customHeight="1">
      <c r="A47" s="6"/>
      <c r="B47" s="13" t="s">
        <v>28</v>
      </c>
      <c r="C47" s="13"/>
      <c r="D47" s="13" t="s">
        <v>29</v>
      </c>
      <c r="E47" s="13"/>
    </row>
    <row r="48" ht="15" customHeight="1">
      <c r="A48" s="8"/>
      <c r="B48" s="8" t="s">
        <v>24</v>
      </c>
      <c r="C48" s="8" t="s">
        <v>25</v>
      </c>
      <c r="D48" s="8" t="s">
        <v>24</v>
      </c>
      <c r="E48" s="8" t="s">
        <v>25</v>
      </c>
    </row>
    <row r="49" ht="16.149999999999999" customHeight="1">
      <c r="A49" s="4" t="s">
        <v>445</v>
      </c>
      <c r="B49" s="23" t="n">
        <f>cb_disc_less_EG!D16</f>
        <v>14797.3673492775</v>
      </c>
      <c r="C49" s="23" t="n">
        <f>cb_disc_less_EG!D17</f>
        <v>1391.3897035920199</v>
      </c>
      <c r="D49" s="23" t="n">
        <f>B49</f>
        <v>14797.3673492775</v>
      </c>
      <c r="E49" s="23" t="n">
        <f>C49</f>
        <v>1391.3897035920199</v>
      </c>
    </row>
    <row r="50">
      <c r="A50" s="4" t="s">
        <v>30</v>
      </c>
      <c r="B50" s="23" t="n">
        <f xml:space="preserve"> B51 - B52</f>
        <v>4940.0562277442305</v>
      </c>
      <c r="C50" s="23" t="n">
        <f t="shared" ref="C50:E50" si="4" xml:space="preserve"> C51 - C52</f>
        <v>464.51123420846801</v>
      </c>
      <c r="D50" s="23" t="n">
        <f t="shared" si="4"/>
        <v>3573.4284548320816</v>
      </c>
      <c r="E50" s="23" t="n">
        <f t="shared" si="4"/>
        <v>427.56374537489302</v>
      </c>
    </row>
    <row r="51">
      <c r="A51" s="4" t="s">
        <v>31</v>
      </c>
      <c r="B51" s="23" t="n">
        <f>cost_disc_3_less_EG!E18 / 1000000</f>
        <v>6346.7214515873302</v>
      </c>
      <c r="C51" s="23" t="n">
        <f>cost_disc_3_less_EG!E19 / 1000000</f>
        <v>596.77932370425401</v>
      </c>
      <c r="D51" s="23" t="n">
        <f>cost_disc_7_less_EG!E18 / 1000000</f>
        <v>4566.1337059061207</v>
      </c>
      <c r="E51" s="23" t="n">
        <f>cost_disc_7_less_EG!E19 / 1000000</f>
        <v>546.34177061521802</v>
      </c>
    </row>
    <row r="52">
      <c r="A52" s="4" t="s">
        <v>32</v>
      </c>
      <c r="B52" s="23" t="n">
        <f>cost_disc_3_less_EG!F18 /1000000</f>
        <v>1406.6652238431</v>
      </c>
      <c r="C52" s="23" t="n">
        <f xml:space="preserve"> cost_disc_3_less_EG!F19 / 1000000</f>
        <v>132.268089495786</v>
      </c>
      <c r="D52" s="23" t="n">
        <f>cost_disc_7_less_EG!F18 /1000000</f>
        <v>992.70525107403898</v>
      </c>
      <c r="E52" s="23" t="n">
        <f>cost_disc_7_less_EG!F19 / 1000000</f>
        <v>118.77802524032501</v>
      </c>
    </row>
    <row r="53" ht="15" customHeight="1">
      <c r="A53" s="8" t="s">
        <v>33</v>
      </c>
      <c r="B53" s="25" t="n">
        <f xml:space="preserve"> B49 - B50</f>
        <v>9857.3111215332683</v>
      </c>
      <c r="C53" s="25" t="n">
        <f t="shared" ref="C53:E53" si="5" xml:space="preserve"> C49 - C50</f>
        <v>926.87846938355187</v>
      </c>
      <c r="D53" s="25" t="n">
        <f t="shared" si="5"/>
        <v>11223.938894445419</v>
      </c>
      <c r="E53" s="25" t="n">
        <f t="shared" si="5"/>
        <v>963.82595821712698</v>
      </c>
    </row>
    <row r="54">
      <c r="A54" s="15"/>
      <c r="B54" s="15"/>
      <c r="C54" s="15"/>
      <c r="D54" s="15"/>
      <c r="E54" s="15"/>
    </row>
    <row r="55" ht="15" customHeight="1">
      <c r="A55" s="8" t="s">
        <v>34</v>
      </c>
      <c r="B55" s="8" t="s">
        <v>35</v>
      </c>
      <c r="C55" s="8"/>
      <c r="D55" s="8"/>
      <c r="E55" s="8"/>
    </row>
    <row r="56">
      <c r="A56" s="4" t="s">
        <v>36</v>
      </c>
      <c r="B56" s="17" t="n">
        <f xml:space="preserve"> SUM(emissions_less_EG!C6:C18) / 1000000</f>
        <v>-11.006250565363471</v>
      </c>
      <c r="C56" s="17"/>
      <c r="D56" s="17"/>
      <c r="E56" s="17"/>
    </row>
    <row r="57">
      <c r="A57" s="4" t="s">
        <v>2</v>
      </c>
      <c r="B57" s="10" t="n">
        <f xml:space="preserve"> SUM(emissions_less_EG!D6:D18)/1000000</f>
        <v>-2.2975964111375493</v>
      </c>
      <c r="C57" s="10"/>
      <c r="D57" s="10"/>
      <c r="E57" s="10"/>
    </row>
    <row r="58" ht="16.149999999999999" customHeight="1">
      <c r="A58" s="4" t="s">
        <v>3</v>
      </c>
      <c r="B58" s="10" t="n">
        <f>SUM(emissions_less_EG!E6:E18)/1000000</f>
        <v>-0.11289709939261178</v>
      </c>
      <c r="C58" s="10"/>
      <c r="D58" s="10"/>
      <c r="E58" s="10"/>
    </row>
    <row r="59">
      <c r="A59" s="4" t="s">
        <v>37</v>
      </c>
      <c r="B59" s="3" t="n">
        <f>SUM(emissions_less_EG!F6:F18) / 1000000</f>
        <v>-249.61756393785279</v>
      </c>
      <c r="C59" s="3"/>
      <c r="D59" s="3"/>
      <c r="E59" s="3"/>
    </row>
    <row r="60" ht="15" customHeight="1">
      <c r="A60" s="5" t="s">
        <v>38</v>
      </c>
      <c r="B60" s="5"/>
      <c r="C60" s="5"/>
      <c r="D60" s="5"/>
      <c r="E60" s="5"/>
    </row>
    <row r="61" ht="15" customHeight="1">
      <c r="A61" s="4"/>
    </row>
    <row r="62">
      <c r="A62" s="4"/>
    </row>
    <row r="63" ht="15.6" customHeight="1">
      <c r="A63" s="4"/>
    </row>
    <row r="64">
      <c r="A64" s="4"/>
    </row>
  </sheetData>
  <mergeCells count="24">
    <mergeCell ref="B59:E59"/>
    <mergeCell ref="B34:E34"/>
    <mergeCell ref="B35:E35"/>
    <mergeCell ref="B36:E36"/>
    <mergeCell ref="B37:E37"/>
    <mergeCell ref="B47:C47"/>
    <mergeCell ref="D47:E47"/>
    <mergeCell ref="A54:E54"/>
    <mergeCell ref="B55:E55"/>
    <mergeCell ref="B56:E56"/>
    <mergeCell ref="B57:E57"/>
    <mergeCell ref="B58:E58"/>
    <mergeCell ref="B33:E33"/>
    <mergeCell ref="B3:C3"/>
    <mergeCell ref="D3:E3"/>
    <mergeCell ref="A10:E10"/>
    <mergeCell ref="B11:E11"/>
    <mergeCell ref="B12:E12"/>
    <mergeCell ref="B13:E13"/>
    <mergeCell ref="B14:E14"/>
    <mergeCell ref="B15:E15"/>
    <mergeCell ref="B25:C25"/>
    <mergeCell ref="D25:E25"/>
    <mergeCell ref="A32:E32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9.42578125" hidden="0" customWidth="1"/>
    <col min="2" max="2" width="19.28515625" hidden="0" customWidth="1"/>
    <col min="4" max="4" width="21.5703125" hidden="0" customWidth="1"/>
  </cols>
  <sheetData>
    <row r="2" ht="16.149999999999999" customHeight="1">
      <c r="A2" s="1" t="s">
        <v>27</v>
      </c>
      <c r="B2" s="1" t="s">
        <v>138</v>
      </c>
    </row>
    <row r="3" ht="15.6" customHeight="1">
      <c r="A3" s="6"/>
      <c r="B3" s="13" t="s">
        <v>28</v>
      </c>
      <c r="C3" s="13"/>
      <c r="D3" s="13" t="s">
        <v>29</v>
      </c>
      <c r="E3" s="13"/>
    </row>
    <row r="4" ht="15" customHeight="1">
      <c r="A4" s="8"/>
      <c r="B4" s="8" t="s">
        <v>24</v>
      </c>
      <c r="C4" s="8" t="s">
        <v>25</v>
      </c>
      <c r="D4" s="8" t="s">
        <v>24</v>
      </c>
      <c r="E4" s="8" t="s">
        <v>25</v>
      </c>
    </row>
    <row r="5" ht="16.149999999999999" customHeight="1">
      <c r="A5" s="4" t="s">
        <v>445</v>
      </c>
      <c r="B5" s="23" t="n">
        <f t="shared" ref="B5:E8" si="0" xml:space="preserve"> B27 +B49</f>
        <v>48214.533514336901</v>
      </c>
      <c r="C5" s="23" t="n">
        <f t="shared" si="0"/>
        <v>4533.5905983719695</v>
      </c>
      <c r="D5" s="23" t="n">
        <f xml:space="preserve"> B5</f>
        <v>48214.533514336901</v>
      </c>
      <c r="E5" s="23" t="n">
        <f xml:space="preserve"> C5</f>
        <v>4533.5905983719695</v>
      </c>
    </row>
    <row r="6">
      <c r="A6" s="4" t="s">
        <v>30</v>
      </c>
      <c r="B6" s="23" t="n">
        <f t="shared" si="0"/>
        <v>14885.024927378399</v>
      </c>
      <c r="C6" s="23" t="n">
        <f t="shared" si="0"/>
        <v>1399.6321056850798</v>
      </c>
      <c r="D6" s="23" t="n">
        <f t="shared" si="0"/>
        <v>12032.114741362941</v>
      </c>
      <c r="E6" s="23" t="n">
        <f t="shared" si="0"/>
        <v>1439.6527336768409</v>
      </c>
    </row>
    <row r="7">
      <c r="A7" s="4" t="s">
        <v>31</v>
      </c>
      <c r="B7" s="23" t="n">
        <f t="shared" si="0"/>
        <v>19550.943595089208</v>
      </c>
      <c r="C7" s="23" t="n">
        <f t="shared" si="0"/>
        <v>1838.3663101425791</v>
      </c>
      <c r="D7" s="23" t="n">
        <f t="shared" si="0"/>
        <v>15323.23732202071</v>
      </c>
      <c r="E7" s="23" t="n">
        <f t="shared" si="0"/>
        <v>1833.4383417729318</v>
      </c>
    </row>
    <row r="8">
      <c r="A8" s="4" t="s">
        <v>32</v>
      </c>
      <c r="B8" s="23" t="n">
        <f t="shared" si="0"/>
        <v>4665.91866771081</v>
      </c>
      <c r="C8" s="23" t="n">
        <f t="shared" si="0"/>
        <v>438.73420445749929</v>
      </c>
      <c r="D8" s="23" t="n">
        <f t="shared" si="0"/>
        <v>3291.12258065777</v>
      </c>
      <c r="E8" s="23" t="n">
        <f t="shared" si="0"/>
        <v>393.78560809609075</v>
      </c>
    </row>
    <row r="9" ht="15" customHeight="1">
      <c r="A9" s="8" t="s">
        <v>33</v>
      </c>
      <c r="B9" s="25" t="n">
        <f xml:space="preserve"> B5 - B6</f>
        <v>33329.508586958502</v>
      </c>
      <c r="C9" s="25" t="n">
        <f t="shared" ref="C9:E9" si="1" xml:space="preserve"> C5 - C6</f>
        <v>3133.9584926868897</v>
      </c>
      <c r="D9" s="25" t="n">
        <f t="shared" si="1"/>
        <v>36182.418772973964</v>
      </c>
      <c r="E9" s="25" t="n">
        <f t="shared" si="1"/>
        <v>3093.9378646951286</v>
      </c>
    </row>
    <row r="10">
      <c r="A10" s="15"/>
      <c r="B10" s="15"/>
      <c r="C10" s="15"/>
      <c r="D10" s="15"/>
      <c r="E10" s="15"/>
    </row>
    <row r="11" ht="15" customHeight="1">
      <c r="A11" s="8" t="s">
        <v>34</v>
      </c>
      <c r="B11" s="8" t="s">
        <v>35</v>
      </c>
      <c r="C11" s="8"/>
      <c r="D11" s="8"/>
      <c r="E11" s="8"/>
    </row>
    <row r="12">
      <c r="A12" s="4" t="s">
        <v>36</v>
      </c>
      <c r="B12" s="17" t="n">
        <f xml:space="preserve"> B34+B56</f>
        <v>-37.465937802757125</v>
      </c>
      <c r="C12" s="17"/>
      <c r="D12" s="17"/>
      <c r="E12" s="17"/>
    </row>
    <row r="13">
      <c r="A13" s="4" t="s">
        <v>2</v>
      </c>
      <c r="B13" s="10" t="n">
        <f>B35+B57</f>
        <v>-10.305442323857562</v>
      </c>
      <c r="C13" s="10"/>
      <c r="D13" s="10"/>
      <c r="E13" s="10"/>
    </row>
    <row r="14" ht="16.149999999999999" customHeight="1">
      <c r="A14" s="4" t="s">
        <v>3</v>
      </c>
      <c r="B14" s="10" t="n">
        <f>B36+B58</f>
        <v>-0.41479784848092044</v>
      </c>
      <c r="C14" s="10"/>
      <c r="D14" s="10"/>
      <c r="E14" s="10"/>
    </row>
    <row r="15">
      <c r="A15" s="4" t="s">
        <v>37</v>
      </c>
      <c r="B15" s="10" t="n">
        <f>(B37+B59)</f>
        <v>-849.71317611126017</v>
      </c>
      <c r="C15" s="10"/>
      <c r="D15" s="10"/>
      <c r="E15" s="10"/>
    </row>
    <row r="16" ht="15" customHeight="1">
      <c r="A16" s="5" t="s">
        <v>38</v>
      </c>
      <c r="B16" s="5"/>
      <c r="C16" s="5"/>
      <c r="D16" s="5"/>
      <c r="E16" s="5"/>
    </row>
    <row r="17" ht="15" customHeight="1">
      <c r="A17" s="4"/>
    </row>
    <row r="18">
      <c r="A18" s="4"/>
    </row>
    <row r="19" ht="15.6" customHeight="1">
      <c r="A19" s="4"/>
    </row>
    <row r="20">
      <c r="A20" s="4"/>
    </row>
    <row r="24" ht="16.149999999999999" customHeight="1">
      <c r="A24" s="1" t="s">
        <v>39</v>
      </c>
      <c r="B24" s="1" t="s">
        <v>139</v>
      </c>
    </row>
    <row r="25" ht="15.6" customHeight="1">
      <c r="A25" s="6"/>
      <c r="B25" s="13" t="s">
        <v>28</v>
      </c>
      <c r="C25" s="13"/>
      <c r="D25" s="13" t="s">
        <v>29</v>
      </c>
      <c r="E25" s="13"/>
    </row>
    <row r="26" ht="15" customHeight="1">
      <c r="A26" s="8"/>
      <c r="B26" s="8" t="s">
        <v>24</v>
      </c>
      <c r="C26" s="8" t="s">
        <v>25</v>
      </c>
      <c r="D26" s="8" t="s">
        <v>24</v>
      </c>
      <c r="E26" s="8" t="s">
        <v>25</v>
      </c>
    </row>
    <row r="27" ht="16.149999999999999" customHeight="1">
      <c r="A27" s="4" t="s">
        <v>445</v>
      </c>
      <c r="B27" s="7" t="n">
        <f>cb_disc_more_NSPS!D16</f>
        <v>10925.961558188301</v>
      </c>
      <c r="C27" s="7" t="n">
        <f>cb_disc_more_NSPS!D17</f>
        <v>1027.3631825898899</v>
      </c>
      <c r="D27" s="7" t="n">
        <f>B27</f>
        <v>10925.961558188301</v>
      </c>
      <c r="E27" s="7" t="n">
        <f>C27</f>
        <v>1027.3631825898899</v>
      </c>
    </row>
    <row r="28">
      <c r="A28" s="4" t="s">
        <v>30</v>
      </c>
      <c r="B28" s="7" t="n">
        <f xml:space="preserve"> B29 - B30</f>
        <v>3827.1440276397097</v>
      </c>
      <c r="C28" s="7" t="n">
        <f t="shared" ref="C28:E28" si="2" xml:space="preserve"> C29 - C30</f>
        <v>359.86460757031864</v>
      </c>
      <c r="D28" s="7" t="n">
        <f t="shared" si="2"/>
        <v>3005.9008314565699</v>
      </c>
      <c r="E28" s="7" t="n">
        <f t="shared" si="2"/>
        <v>359.6585838972602</v>
      </c>
    </row>
    <row r="29">
      <c r="A29" s="4" t="s">
        <v>31</v>
      </c>
      <c r="B29" s="7" t="n">
        <f>cost_disc_3_more_NSPS!E17 /1000000</f>
        <v>4877.92924725591</v>
      </c>
      <c r="C29" s="7" t="n">
        <f xml:space="preserve"> cost_disc_3_more_NSPS!E18 /1000000</f>
        <v>458.66946256582895</v>
      </c>
      <c r="D29" s="7" t="n">
        <f xml:space="preserve"> cost_disc_7_more_NSPS!E17 /1000000</f>
        <v>3738.7542962903099</v>
      </c>
      <c r="E29" s="7" t="n">
        <f xml:space="preserve"> cost_disc_7_more_NSPS!E18 /1000000</f>
        <v>447.345122524212</v>
      </c>
    </row>
    <row r="30">
      <c r="A30" s="4" t="s">
        <v>32</v>
      </c>
      <c r="B30" s="7" t="n">
        <f>cost_disc_3_more_NSPS!F17/1000000</f>
        <v>1050.7852196162</v>
      </c>
      <c r="C30" s="7" t="n">
        <f xml:space="preserve"> cost_disc_3_more_NSPS!F18/1000000</f>
        <v>98.804854995510297</v>
      </c>
      <c r="D30" s="7" t="n">
        <f>cost_disc_7_more_NSPS!F17/1000000</f>
        <v>732.85346483373996</v>
      </c>
      <c r="E30" s="7" t="n">
        <f xml:space="preserve"> cost_disc_7_more_NSPS!F18/1000000</f>
        <v>87.686538626951801</v>
      </c>
    </row>
    <row r="31" ht="15" customHeight="1">
      <c r="A31" s="8" t="s">
        <v>33</v>
      </c>
      <c r="B31" s="14" t="n">
        <f xml:space="preserve"> B27 - B28</f>
        <v>7098.8175305485911</v>
      </c>
      <c r="C31" s="14" t="n">
        <f t="shared" ref="C31:E31" si="3" xml:space="preserve"> C27 - C28</f>
        <v>667.49857501957126</v>
      </c>
      <c r="D31" s="14" t="n">
        <f t="shared" si="3"/>
        <v>7920.0607267317309</v>
      </c>
      <c r="E31" s="14" t="n">
        <f t="shared" si="3"/>
        <v>667.7045986926297</v>
      </c>
    </row>
    <row r="32">
      <c r="A32" s="15"/>
      <c r="B32" s="15"/>
      <c r="C32" s="15"/>
      <c r="D32" s="15"/>
      <c r="E32" s="15"/>
    </row>
    <row r="33" ht="15" customHeight="1">
      <c r="A33" s="8" t="s">
        <v>34</v>
      </c>
      <c r="B33" s="8" t="s">
        <v>35</v>
      </c>
      <c r="C33" s="8"/>
      <c r="D33" s="8"/>
      <c r="E33" s="8"/>
    </row>
    <row r="34">
      <c r="A34" s="4" t="s">
        <v>36</v>
      </c>
      <c r="B34" s="17" t="n">
        <f xml:space="preserve"> SUM(emissions_more_NSPS!C6:C18) / 1000000</f>
        <v>-9.7380708031686751</v>
      </c>
      <c r="C34" s="17"/>
      <c r="D34" s="17"/>
      <c r="E34" s="17"/>
    </row>
    <row r="35">
      <c r="A35" s="4" t="s">
        <v>2</v>
      </c>
      <c r="B35" s="10" t="n">
        <f xml:space="preserve"> SUM(emissions_more_NSPS!D6:D18)/1000000</f>
        <v>-3.4501752542687347</v>
      </c>
      <c r="C35" s="10"/>
      <c r="D35" s="10"/>
      <c r="E35" s="10"/>
    </row>
    <row r="36" ht="16.149999999999999" customHeight="1">
      <c r="A36" s="4" t="s">
        <v>3</v>
      </c>
      <c r="B36" s="10" t="n">
        <f>SUM(emissions_more_NSPS!E6:E18)/1000000</f>
        <v>-0.13029304190816376</v>
      </c>
      <c r="C36" s="10"/>
      <c r="D36" s="10"/>
      <c r="E36" s="10"/>
    </row>
    <row r="37">
      <c r="A37" s="4" t="s">
        <v>37</v>
      </c>
      <c r="B37" s="3" t="n">
        <f>SUM(emissions_more_NSPS!F6:F18) / 1000000</f>
        <v>-220.85573074185416</v>
      </c>
      <c r="C37" s="3"/>
      <c r="D37" s="3"/>
      <c r="E37" s="3"/>
    </row>
    <row r="38" ht="15" customHeight="1">
      <c r="A38" s="5" t="s">
        <v>38</v>
      </c>
      <c r="B38" s="5"/>
      <c r="C38" s="5"/>
      <c r="D38" s="5"/>
      <c r="E38" s="5"/>
    </row>
    <row r="39" ht="15" customHeight="1">
      <c r="A39" s="4"/>
    </row>
    <row r="40">
      <c r="A40" s="4"/>
    </row>
    <row r="41" ht="15.6" customHeight="1">
      <c r="A41" s="4"/>
    </row>
    <row r="42">
      <c r="A42" s="4"/>
    </row>
    <row r="46" ht="16.149999999999999" customHeight="1">
      <c r="A46" s="1" t="s">
        <v>40</v>
      </c>
      <c r="B46" s="1" t="s">
        <v>140</v>
      </c>
    </row>
    <row r="47" ht="15.6" customHeight="1">
      <c r="A47" s="6"/>
      <c r="B47" s="13" t="s">
        <v>28</v>
      </c>
      <c r="C47" s="13"/>
      <c r="D47" s="13" t="s">
        <v>29</v>
      </c>
      <c r="E47" s="13"/>
    </row>
    <row r="48" ht="15" customHeight="1">
      <c r="A48" s="8"/>
      <c r="B48" s="8" t="s">
        <v>24</v>
      </c>
      <c r="C48" s="8" t="s">
        <v>25</v>
      </c>
      <c r="D48" s="8" t="s">
        <v>24</v>
      </c>
      <c r="E48" s="8" t="s">
        <v>25</v>
      </c>
    </row>
    <row r="49" ht="16.149999999999999" customHeight="1">
      <c r="A49" s="4" t="s">
        <v>445</v>
      </c>
      <c r="B49" s="23" t="n">
        <f>cb_disc_more_EG!D16</f>
        <v>37288.571956148597</v>
      </c>
      <c r="C49" s="23" t="n">
        <f>cb_disc_more_EG!D17</f>
        <v>3506.2274157820798</v>
      </c>
      <c r="D49" s="23" t="n">
        <f>B49</f>
        <v>37288.571956148597</v>
      </c>
      <c r="E49" s="23" t="n">
        <f>C49</f>
        <v>3506.2274157820798</v>
      </c>
    </row>
    <row r="50">
      <c r="A50" s="4" t="s">
        <v>30</v>
      </c>
      <c r="B50" s="23" t="n">
        <f xml:space="preserve"> B51 - B52</f>
        <v>11057.88089973869</v>
      </c>
      <c r="C50" s="23" t="n">
        <f t="shared" ref="C50:E50" si="4" xml:space="preserve"> C51 - C52</f>
        <v>1039.7674981147611</v>
      </c>
      <c r="D50" s="23" t="n">
        <f t="shared" si="4"/>
        <v>9026.2139099063697</v>
      </c>
      <c r="E50" s="23" t="n">
        <f t="shared" si="4"/>
        <v>1079.9941497795808</v>
      </c>
    </row>
    <row r="51">
      <c r="A51" s="4" t="s">
        <v>31</v>
      </c>
      <c r="B51" s="23" t="n">
        <f xml:space="preserve"> cost_disc_3_more_EG!E18 / 1000000</f>
        <v>14673.014347833299</v>
      </c>
      <c r="C51" s="23" t="n">
        <f xml:space="preserve"> cost_disc_3_more_EG!E19 / 1000000</f>
        <v>1379.6968475767501</v>
      </c>
      <c r="D51" s="23" t="n">
        <f xml:space="preserve"> cost_disc_7_more_EG!E18 / 1000000</f>
        <v>11584.4830257304</v>
      </c>
      <c r="E51" s="23" t="n">
        <f xml:space="preserve"> cost_disc_7_more_EG!E19 / 1000000</f>
        <v>1386.0932192487198</v>
      </c>
    </row>
    <row r="52">
      <c r="A52" s="4" t="s">
        <v>32</v>
      </c>
      <c r="B52" s="23" t="n">
        <f>cost_disc_3_more_EG!F18 /1000000</f>
        <v>3615.1334480946102</v>
      </c>
      <c r="C52" s="23" t="n">
        <f xml:space="preserve"> cost_disc_3_more_EG!F19 / 1000000</f>
        <v>339.92934946198898</v>
      </c>
      <c r="D52" s="23" t="n">
        <f>cost_disc_7_more_EG!F18 /1000000</f>
        <v>2558.26911582403</v>
      </c>
      <c r="E52" s="23" t="n">
        <f xml:space="preserve"> cost_disc_7_more_EG!F19 / 1000000</f>
        <v>306.09906946913895</v>
      </c>
    </row>
    <row r="53" ht="15" customHeight="1">
      <c r="A53" s="8" t="s">
        <v>33</v>
      </c>
      <c r="B53" s="25" t="n">
        <f xml:space="preserve"> B49 - B50</f>
        <v>26230.691056409909</v>
      </c>
      <c r="C53" s="25" t="n">
        <f t="shared" ref="C53:E53" si="5" xml:space="preserve"> C49 - C50</f>
        <v>2466.4599176673187</v>
      </c>
      <c r="D53" s="25" t="n">
        <f t="shared" si="5"/>
        <v>28262.358046242225</v>
      </c>
      <c r="E53" s="25" t="n">
        <f t="shared" si="5"/>
        <v>2426.233266002499</v>
      </c>
    </row>
    <row r="54">
      <c r="A54" s="15"/>
      <c r="B54" s="15"/>
      <c r="C54" s="15"/>
      <c r="D54" s="15"/>
      <c r="E54" s="15"/>
    </row>
    <row r="55" ht="15" customHeight="1">
      <c r="A55" s="8" t="s">
        <v>34</v>
      </c>
      <c r="B55" s="8" t="s">
        <v>35</v>
      </c>
      <c r="C55" s="8"/>
      <c r="D55" s="8"/>
      <c r="E55" s="8"/>
    </row>
    <row r="56">
      <c r="A56" s="4" t="s">
        <v>36</v>
      </c>
      <c r="B56" s="17" t="n">
        <f xml:space="preserve"> SUM(emissions_more_EG!C6:C18) / 1000000</f>
        <v>-27.727866999588453</v>
      </c>
      <c r="C56" s="17"/>
      <c r="D56" s="17"/>
      <c r="E56" s="17"/>
    </row>
    <row r="57">
      <c r="A57" s="4" t="s">
        <v>2</v>
      </c>
      <c r="B57" s="10" t="n">
        <f xml:space="preserve"> SUM(emissions_more_EG!D6:D18)/1000000</f>
        <v>-6.8552670695888276</v>
      </c>
      <c r="C57" s="10"/>
      <c r="D57" s="10"/>
      <c r="E57" s="10"/>
    </row>
    <row r="58" ht="16.149999999999999" customHeight="1">
      <c r="A58" s="4" t="s">
        <v>3</v>
      </c>
      <c r="B58" s="10" t="n">
        <f>SUM(emissions_more_EG!E6:E18)/1000000</f>
        <v>-0.28450480657275667</v>
      </c>
      <c r="C58" s="10"/>
      <c r="D58" s="10"/>
      <c r="E58" s="10"/>
    </row>
    <row r="59">
      <c r="A59" s="4" t="s">
        <v>37</v>
      </c>
      <c r="B59" s="3" t="n">
        <f>SUM(emissions_more_EG!F6:F18) / 1000000</f>
        <v>-628.85744536940604</v>
      </c>
      <c r="C59" s="3"/>
      <c r="D59" s="3"/>
      <c r="E59" s="3"/>
    </row>
    <row r="60" ht="15" customHeight="1">
      <c r="A60" s="5" t="s">
        <v>38</v>
      </c>
      <c r="B60" s="5"/>
      <c r="C60" s="5"/>
      <c r="D60" s="5"/>
      <c r="E60" s="5"/>
    </row>
    <row r="61" ht="15" customHeight="1">
      <c r="A61" s="4"/>
    </row>
    <row r="62">
      <c r="A62" s="4"/>
    </row>
    <row r="63" ht="15.6" customHeight="1">
      <c r="A63" s="4"/>
    </row>
    <row r="64">
      <c r="A64" s="4"/>
    </row>
  </sheetData>
  <mergeCells count="24">
    <mergeCell ref="B59:E59"/>
    <mergeCell ref="B34:E34"/>
    <mergeCell ref="B35:E35"/>
    <mergeCell ref="B36:E36"/>
    <mergeCell ref="B37:E37"/>
    <mergeCell ref="B47:C47"/>
    <mergeCell ref="D47:E47"/>
    <mergeCell ref="A54:E54"/>
    <mergeCell ref="B55:E55"/>
    <mergeCell ref="B56:E56"/>
    <mergeCell ref="B57:E57"/>
    <mergeCell ref="B58:E58"/>
    <mergeCell ref="B33:E33"/>
    <mergeCell ref="B3:C3"/>
    <mergeCell ref="D3:E3"/>
    <mergeCell ref="A10:E10"/>
    <mergeCell ref="B11:E11"/>
    <mergeCell ref="B12:E12"/>
    <mergeCell ref="B13:E13"/>
    <mergeCell ref="B14:E14"/>
    <mergeCell ref="B15:E15"/>
    <mergeCell ref="B25:C25"/>
    <mergeCell ref="D25:E25"/>
    <mergeCell ref="A32:E32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tr">
        <f>decl_rates!B2</f>
        <v>Product</v>
      </c>
      <c r="C2" t="str">
        <f>decl_rates!C2</f>
        <v>&lt;=3 BOE/day/well</v>
      </c>
      <c r="D2" t="str">
        <f>decl_rates!D2</f>
        <v>3-15 BOE/day/well</v>
      </c>
      <c r="E2" t="str">
        <f>decl_rates!E2</f>
        <v>15-100 BOE/day/well</v>
      </c>
      <c r="F2" t="str">
        <f>decl_rates!F2</f>
        <v>&gt;100 BOE/day/well</v>
      </c>
    </row>
    <row r="3">
      <c r="B3" t="str">
        <f>decl_rates!B3</f>
        <v>Oil.Decl</v>
      </c>
      <c r="C3" t="n">
        <f>decl_rates!C3</f>
        <v>9.9010252853281397E-2</v>
      </c>
      <c r="D3" t="n">
        <f>decl_rates!D3</f>
        <v>0.106188225354721</v>
      </c>
      <c r="E3" t="n">
        <f>decl_rates!E3</f>
        <v>0.17794288926594901</v>
      </c>
      <c r="F3" t="n">
        <f>decl_rates!F3</f>
        <v>0.349521729427406</v>
      </c>
    </row>
    <row r="4">
      <c r="B4" t="str">
        <f>decl_rates!B4</f>
        <v>Gas.Decl</v>
      </c>
      <c r="C4" t="n">
        <f>decl_rates!C4</f>
        <v>7.2624322993599194E-2</v>
      </c>
      <c r="D4" t="n">
        <f>decl_rates!D4</f>
        <v>9.3851132686084096E-2</v>
      </c>
      <c r="E4" t="n">
        <f>decl_rates!E4</f>
        <v>0.13461709937775601</v>
      </c>
      <c r="F4" t="n">
        <f>decl_rates!F4</f>
        <v>0.257119927385632</v>
      </c>
    </row>
    <row r="6" ht="15.75" customHeight="1"/>
    <row r="7" ht="25.5" customHeight="1">
      <c r="B7" s="27"/>
      <c r="C7" s="35" t="s">
        <v>405</v>
      </c>
      <c r="D7" s="35"/>
      <c r="E7" s="35"/>
      <c r="F7" s="35"/>
    </row>
    <row r="8" ht="26.25" customHeight="1">
      <c r="B8" s="28" t="s">
        <v>406</v>
      </c>
      <c r="C8" s="29" t="s">
        <v>407</v>
      </c>
      <c r="D8" s="30" t="s">
        <v>408</v>
      </c>
      <c r="E8" s="30" t="s">
        <v>409</v>
      </c>
      <c r="F8" s="30" t="s">
        <v>410</v>
      </c>
    </row>
    <row r="9" ht="25.5" customHeight="1">
      <c r="B9" s="31" t="s">
        <v>411</v>
      </c>
      <c r="C9" s="32" t="n">
        <f>ROUND(C3,2-(1+INT(LOG10(ABS(C3)))))</f>
        <v>9.9000000000000005E-2</v>
      </c>
      <c r="D9" s="32" t="n">
        <f t="shared" ref="D9:F10" si="0">ROUND(D3,2-(1+INT(LOG10(ABS(D3)))))</f>
        <v>0.11</v>
      </c>
      <c r="E9" s="32" t="n">
        <f t="shared" si="0"/>
        <v>0.18</v>
      </c>
      <c r="F9" s="32" t="n">
        <f t="shared" si="0"/>
        <v>0.35</v>
      </c>
    </row>
    <row r="10" ht="15.75" customHeight="1">
      <c r="B10" s="33" t="s">
        <v>255</v>
      </c>
      <c r="C10" s="34" t="n">
        <f>ROUND(C4,2-(1+INT(LOG10(ABS(C4)))))</f>
        <v>7.2999999999999995E-2</v>
      </c>
      <c r="D10" s="34" t="n">
        <f t="shared" si="0"/>
        <v>9.4E-2</v>
      </c>
      <c r="E10" s="34" t="n">
        <f t="shared" si="0"/>
        <v>0.13</v>
      </c>
      <c r="F10" s="34" t="n">
        <f t="shared" si="0"/>
        <v>0.26</v>
      </c>
    </row>
    <row r="11" ht="15.75" customHeight="1"/>
  </sheetData>
  <mergeCells count="1">
    <mergeCell ref="C7:F7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2" max="2" width="54.5703125" hidden="0" customWidth="1"/>
    <col min="3" max="3" width="20.7109375" hidden="0" customWidth="1"/>
    <col min="4" max="4" width="20.7109375" hidden="0" customWidth="1"/>
    <col min="5" max="5" width="12" hidden="0" customWidth="1"/>
  </cols>
  <sheetData>
    <row r="2">
      <c r="B2" t="str">
        <f>wellsite_props_table!B2</f>
        <v>wellsite_group</v>
      </c>
      <c r="C2" t="str">
        <f>wellsite_props_table!C2</f>
        <v>Type</v>
      </c>
      <c r="D2" t="str">
        <f>wellsite_props_table!D2</f>
        <v>base</v>
      </c>
      <c r="E2" t="str">
        <f>wellsite_props_table!E2</f>
        <v>projection</v>
      </c>
    </row>
    <row r="3">
      <c r="B3" t="str">
        <f>wellsite_props_table!B3</f>
        <v>Natural Gas, Single-Wellhead, Wellhead Only</v>
      </c>
      <c r="C3" t="str">
        <f>wellsite_props_table!C3</f>
        <v>Gas</v>
      </c>
      <c r="D3" t="n">
        <f>wellsite_props_table!D3</f>
        <v>0.34449325235579598</v>
      </c>
      <c r="E3" t="n">
        <f>wellsite_props_table!E3</f>
        <v>0.33344173320336401</v>
      </c>
    </row>
    <row r="4">
      <c r="B4" t="str">
        <f>wellsite_props_table!B4</f>
        <v>Natural Gas, Single-Wellhead, More than one piece of equipment, including tank batteries</v>
      </c>
      <c r="C4" t="str">
        <f>wellsite_props_table!C4</f>
        <v>Gas</v>
      </c>
      <c r="D4" t="n">
        <f>wellsite_props_table!D4</f>
        <v>0.44100614298637397</v>
      </c>
      <c r="E4" t="n">
        <f>wellsite_props_table!E4</f>
        <v>0.43181665513166601</v>
      </c>
    </row>
    <row r="5">
      <c r="B5" t="str">
        <f>wellsite_props_table!B5</f>
        <v>Natural Gas, Single-Wellhead, One piece of equipment, including tank batteries</v>
      </c>
      <c r="C5" t="str">
        <f>wellsite_props_table!C5</f>
        <v>Gas</v>
      </c>
      <c r="D5" t="n">
        <f>wellsite_props_table!D5</f>
        <v>0.15868809263265801</v>
      </c>
      <c r="E5" t="n">
        <f>wellsite_props_table!E5</f>
        <v>0.15140798250315701</v>
      </c>
    </row>
    <row r="6">
      <c r="B6" t="str">
        <f>wellsite_props_table!B6</f>
        <v>Natural Gas, Multi-Wellhead, Wellhead Only</v>
      </c>
      <c r="C6" t="str">
        <f>wellsite_props_table!C6</f>
        <v>Gas</v>
      </c>
      <c r="D6" t="n">
        <f>wellsite_props_table!D6</f>
        <v>1.2736811984815899E-3</v>
      </c>
      <c r="E6" t="n">
        <f>wellsite_props_table!E6</f>
        <v>1.5904308489518601E-3</v>
      </c>
    </row>
    <row r="7">
      <c r="B7" t="str">
        <f>wellsite_props_table!B7</f>
        <v>Natural Gas, Multi-Wellhead, More than one piece of equipment, including tank batteries</v>
      </c>
      <c r="C7" t="str">
        <f>wellsite_props_table!C7</f>
        <v>Gas</v>
      </c>
      <c r="D7" t="n">
        <f>wellsite_props_table!D7</f>
        <v>4.9666844336719203E-2</v>
      </c>
      <c r="E7" t="n">
        <f>wellsite_props_table!E7</f>
        <v>7.5942974377394404E-2</v>
      </c>
    </row>
    <row r="8">
      <c r="B8" t="str">
        <f>wellsite_props_table!B8</f>
        <v>Natural Gas, Multi-Wellhead, One piece of equipment, including tank batteries</v>
      </c>
      <c r="C8" t="str">
        <f>wellsite_props_table!C8</f>
        <v>Gas</v>
      </c>
      <c r="D8" t="n">
        <f>wellsite_props_table!D8</f>
        <v>4.8719864899710204E-3</v>
      </c>
      <c r="E8" t="n">
        <f>wellsite_props_table!E8</f>
        <v>5.8002239354665204E-3</v>
      </c>
    </row>
    <row r="9">
      <c r="B9" t="str">
        <f>wellsite_props_table!B9</f>
        <v>Oil, Single-Wellhead, Wellhead Only</v>
      </c>
      <c r="C9" t="str">
        <f>wellsite_props_table!C9</f>
        <v>Oil</v>
      </c>
      <c r="D9" t="n">
        <f>wellsite_props_table!D9</f>
        <v>0.51012737664914798</v>
      </c>
      <c r="E9" t="n">
        <f>wellsite_props_table!E9</f>
        <v>0.454626341015892</v>
      </c>
    </row>
    <row r="10">
      <c r="B10" t="str">
        <f>wellsite_props_table!B10</f>
        <v>Oil, Single-Wellhead, More than one piece of equipment, including tank batteries</v>
      </c>
      <c r="C10" t="str">
        <f>wellsite_props_table!C10</f>
        <v>Oil</v>
      </c>
      <c r="D10" t="n">
        <f>wellsite_props_table!D10</f>
        <v>0.31346021161698201</v>
      </c>
      <c r="E10" t="n">
        <f>wellsite_props_table!E10</f>
        <v>0.30265812481169302</v>
      </c>
    </row>
    <row r="11">
      <c r="B11" t="str">
        <f>wellsite_props_table!B11</f>
        <v>Oil, Single-Wellhead, One piece of equipment, including tank batteries</v>
      </c>
      <c r="C11" t="str">
        <f>wellsite_props_table!C11</f>
        <v>Oil</v>
      </c>
      <c r="D11" t="n">
        <f>wellsite_props_table!D11</f>
        <v>8.5533901872857795E-2</v>
      </c>
      <c r="E11" t="n">
        <f>wellsite_props_table!E11</f>
        <v>7.3958667904108197E-2</v>
      </c>
    </row>
    <row r="12">
      <c r="B12" t="str">
        <f>wellsite_props_table!B12</f>
        <v>Oil, Multi-Wellhead, Wellhead Only</v>
      </c>
      <c r="C12" t="str">
        <f>wellsite_props_table!C12</f>
        <v>Oil</v>
      </c>
      <c r="D12" t="n">
        <f>wellsite_props_table!D12</f>
        <v>5.9256554603822004E-3</v>
      </c>
      <c r="E12" t="n">
        <f>wellsite_props_table!E12</f>
        <v>8.1724991171080608E-3</v>
      </c>
    </row>
    <row r="13">
      <c r="B13" t="str">
        <f>wellsite_props_table!B13</f>
        <v>Oil, Multi-Wellhead, More than one piece of equipment, including tank batteries</v>
      </c>
      <c r="C13" t="str">
        <f>wellsite_props_table!C13</f>
        <v>Oil</v>
      </c>
      <c r="D13" t="n">
        <f>wellsite_props_table!D13</f>
        <v>7.2173919578451998E-2</v>
      </c>
      <c r="E13" t="n">
        <f>wellsite_props_table!E13</f>
        <v>0.14380165929855901</v>
      </c>
    </row>
    <row r="14">
      <c r="B14" t="str">
        <f>wellsite_props_table!B14</f>
        <v>Oil, Multi-Wellhead, One piece of equipment, including tank batteries</v>
      </c>
      <c r="C14" t="str">
        <f>wellsite_props_table!C14</f>
        <v>Oil</v>
      </c>
      <c r="D14" t="n">
        <f>wellsite_props_table!D14</f>
        <v>1.27789348221781E-2</v>
      </c>
      <c r="E14" t="n">
        <f>wellsite_props_table!E14</f>
        <v>1.6782707852639599E-2</v>
      </c>
    </row>
    <row r="18" ht="16.5" customHeight="1">
      <c r="B18" s="37" t="s">
        <v>244</v>
      </c>
      <c r="C18" s="37" t="s">
        <v>245</v>
      </c>
    </row>
    <row r="19" ht="52.5" customHeight="1">
      <c r="B19" s="38" t="s">
        <v>246</v>
      </c>
      <c r="C19" s="39" t="s">
        <v>247</v>
      </c>
      <c r="D19" s="39" t="s">
        <v>248</v>
      </c>
    </row>
    <row r="20">
      <c r="B20" s="40" t="s">
        <v>249</v>
      </c>
      <c r="C20" s="36"/>
      <c r="D20" s="36"/>
    </row>
    <row r="21">
      <c r="B21" s="41" t="s">
        <v>250</v>
      </c>
      <c r="C21" s="36"/>
      <c r="D21" s="36"/>
    </row>
    <row r="22">
      <c r="B22" s="42" t="s">
        <v>251</v>
      </c>
      <c r="C22" s="43" t="n">
        <f>ROUND(D3,2-(1+INT(LOG10(ABS(D3)))))</f>
        <v>0.34</v>
      </c>
      <c r="D22" s="43" t="n">
        <f>ROUND(E3,2-(1+INT(LOG10(ABS(E3)))))</f>
        <v>0.33</v>
      </c>
    </row>
    <row r="23">
      <c r="B23" s="42" t="s">
        <v>252</v>
      </c>
      <c r="C23" s="43" t="n">
        <f t="shared" ref="C23:D23" si="0">ROUND(D4,2-(1+INT(LOG10(ABS(D4)))))</f>
        <v>0.44</v>
      </c>
      <c r="D23" s="43" t="n">
        <f t="shared" si="0"/>
        <v>0.43</v>
      </c>
    </row>
    <row r="24">
      <c r="B24" s="42" t="s">
        <v>253</v>
      </c>
      <c r="C24" s="43" t="n">
        <f t="shared" ref="C24:D24" si="1">ROUND(D5,2-(1+INT(LOG10(ABS(D5)))))</f>
        <v>0.16</v>
      </c>
      <c r="D24" s="43" t="n">
        <f t="shared" si="1"/>
        <v>0.15</v>
      </c>
    </row>
    <row r="25">
      <c r="B25" s="41" t="s">
        <v>254</v>
      </c>
      <c r="C25" s="36"/>
      <c r="D25" s="36"/>
    </row>
    <row r="26">
      <c r="B26" s="42" t="s">
        <v>251</v>
      </c>
      <c r="C26" s="44" t="n">
        <f>ROUND(D6,2-(1+INT(LOG10(ABS(D6)))))</f>
        <v>1.2999999999999999E-3</v>
      </c>
      <c r="D26" s="44" t="n">
        <f>ROUND(E6,2-(1+INT(LOG10(ABS(E6)))))</f>
        <v>1.6000000000000001E-3</v>
      </c>
    </row>
    <row r="27">
      <c r="B27" s="42" t="s">
        <v>252</v>
      </c>
      <c r="C27" s="48" t="n">
        <f t="shared" ref="C27:D27" si="2">ROUND(D7,2-(1+INT(LOG10(ABS(D7)))))</f>
        <v>0.05</v>
      </c>
      <c r="D27" s="48" t="n">
        <f t="shared" si="2"/>
        <v>7.5999999999999998E-2</v>
      </c>
    </row>
    <row r="28" ht="15.75" customHeight="1">
      <c r="B28" s="45" t="s">
        <v>253</v>
      </c>
      <c r="C28" s="46" t="n">
        <f t="shared" ref="C28:D28" si="3">ROUND(D8,2-(1+INT(LOG10(ABS(D8)))))</f>
        <v>4.8999999999999998E-3</v>
      </c>
      <c r="D28" s="46" t="n">
        <f t="shared" si="3"/>
        <v>5.7999999999999996E-3</v>
      </c>
    </row>
    <row r="29">
      <c r="B29" s="40" t="s">
        <v>238</v>
      </c>
      <c r="C29" s="36"/>
      <c r="D29" s="36"/>
    </row>
    <row r="30">
      <c r="B30" s="41" t="s">
        <v>250</v>
      </c>
      <c r="C30" s="36"/>
      <c r="D30" s="36"/>
    </row>
    <row r="31">
      <c r="B31" s="42" t="s">
        <v>251</v>
      </c>
      <c r="C31" s="43" t="n">
        <f>ROUND(D9,2-(1+INT(LOG10(ABS(D9)))))</f>
        <v>0.51</v>
      </c>
      <c r="D31" s="43" t="n">
        <f>ROUND(E9,2-(1+INT(LOG10(ABS(E9)))))</f>
        <v>0.45</v>
      </c>
    </row>
    <row r="32">
      <c r="B32" s="42" t="s">
        <v>252</v>
      </c>
      <c r="C32" s="43" t="n">
        <f t="shared" ref="C32:D32" si="4">ROUND(D10,2-(1+INT(LOG10(ABS(D10)))))</f>
        <v>0.31</v>
      </c>
      <c r="D32" s="43" t="n">
        <f t="shared" si="4"/>
        <v>0.3</v>
      </c>
    </row>
    <row r="33">
      <c r="B33" s="42" t="s">
        <v>253</v>
      </c>
      <c r="C33" s="48" t="n">
        <f t="shared" ref="C33:D33" si="5">ROUND(D11,2-(1+INT(LOG10(ABS(D11)))))</f>
        <v>8.5999999999999993E-2</v>
      </c>
      <c r="D33" s="48" t="n">
        <f t="shared" si="5"/>
        <v>7.3999999999999996E-2</v>
      </c>
    </row>
    <row r="34">
      <c r="B34" s="41" t="s">
        <v>254</v>
      </c>
      <c r="C34" s="36"/>
      <c r="D34" s="36"/>
    </row>
    <row r="35">
      <c r="B35" s="42" t="s">
        <v>251</v>
      </c>
      <c r="C35" s="44" t="n">
        <f>ROUND(D12,2-(1+INT(LOG10(ABS(D12)))))</f>
        <v>5.8999999999999999E-3</v>
      </c>
      <c r="D35" s="44" t="n">
        <f>ROUND(E12,2-(1+INT(LOG10(ABS(E12)))))</f>
        <v>8.2000000000000007E-3</v>
      </c>
    </row>
    <row r="36">
      <c r="B36" s="42" t="s">
        <v>252</v>
      </c>
      <c r="C36" s="48" t="n">
        <f t="shared" ref="C36:D36" si="6">ROUND(D13,2-(1+INT(LOG10(ABS(D13)))))</f>
        <v>7.1999999999999995E-2</v>
      </c>
      <c r="D36" s="43" t="n">
        <f t="shared" si="6"/>
        <v>0.14000000000000001</v>
      </c>
    </row>
    <row r="37" ht="15.75" customHeight="1">
      <c r="B37" s="47" t="s">
        <v>253</v>
      </c>
      <c r="C37" s="49" t="n">
        <f t="shared" ref="C37:D37" si="7">ROUND(D14,2-(1+INT(LOG10(ABS(D14)))))</f>
        <v>1.2999999999999999E-2</v>
      </c>
      <c r="D37" s="49" t="n">
        <f t="shared" si="7"/>
        <v>1.7000000000000001E-2</v>
      </c>
    </row>
    <row r="38" ht="15.75" customHeight="1"/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5" max="5" width="26.140625" hidden="0" customWidth="1"/>
  </cols>
  <sheetData>
    <row r="2">
      <c r="B2" t="str">
        <f>fac_affected!B2</f>
        <v>year</v>
      </c>
      <c r="C2" t="str">
        <f>fac_affected!C2</f>
        <v>source</v>
      </c>
      <c r="E2" t="str">
        <f>fac_affected!D2</f>
        <v>detail_2</v>
      </c>
      <c r="F2" t="str">
        <f>fac_affected!E2</f>
        <v>detail_3</v>
      </c>
      <c r="G2" t="str">
        <f>fac_affected!F2</f>
        <v>fac_affected</v>
      </c>
    </row>
    <row r="3">
      <c r="B3" t="str">
        <f>fac_affected!B3</f>
        <v>2023</v>
      </c>
      <c r="C3" t="str">
        <f>fac_affected!C3</f>
        <v>fugitives</v>
      </c>
      <c r="E3" t="str">
        <f>fac_affected!D3</f>
        <v>G&amp;B Stations</v>
      </c>
      <c r="F3" t="n">
        <f>fac_affected!E3</f>
        <v>0</v>
      </c>
      <c r="G3" t="n">
        <f>fac_affected!F3</f>
        <v>0</v>
      </c>
    </row>
    <row r="4">
      <c r="B4" t="str">
        <f>fac_affected!B4</f>
        <v>2023</v>
      </c>
      <c r="C4" t="str">
        <f>fac_affected!C4</f>
        <v>fugitives</v>
      </c>
      <c r="E4" t="str">
        <f>fac_affected!D4</f>
        <v>Processing Plants</v>
      </c>
      <c r="F4" t="str">
        <f>fac_affected!E4</f>
        <v>Large Plants</v>
      </c>
      <c r="G4" t="n">
        <f>fac_affected!F4</f>
        <v>4.38254485793769</v>
      </c>
    </row>
    <row r="5">
      <c r="B5" t="str">
        <f>fac_affected!B5</f>
        <v>2023</v>
      </c>
      <c r="C5" t="str">
        <f>fac_affected!C5</f>
        <v>fugitives</v>
      </c>
      <c r="E5" t="str">
        <f>fac_affected!D5</f>
        <v>Processing Plants</v>
      </c>
      <c r="F5" t="str">
        <f>fac_affected!E5</f>
        <v>Small Plants</v>
      </c>
      <c r="G5" t="n">
        <f>fac_affected!F5</f>
        <v>18.1895003395821</v>
      </c>
    </row>
    <row r="6">
      <c r="B6" t="str">
        <f>fac_affected!B6</f>
        <v>2023</v>
      </c>
      <c r="C6" t="str">
        <f>fac_affected!C6</f>
        <v>fugitives</v>
      </c>
      <c r="E6" t="str">
        <f>fac_affected!D6</f>
        <v>T&amp;S Compressor Stations</v>
      </c>
      <c r="F6" t="str">
        <f>fac_affected!E6</f>
        <v>Compressor Stations (Transmission)</v>
      </c>
      <c r="G6" t="n">
        <f>fac_affected!F6</f>
        <v>0</v>
      </c>
    </row>
    <row r="7">
      <c r="B7" t="str">
        <f>fac_affected!B7</f>
        <v>2023</v>
      </c>
      <c r="C7" t="str">
        <f>fac_affected!C7</f>
        <v>fugitives</v>
      </c>
      <c r="E7" t="str">
        <f>fac_affected!D7</f>
        <v>T&amp;S Compressor Stations</v>
      </c>
      <c r="F7" t="str">
        <f>fac_affected!E7</f>
        <v>Compressor Stations (Storage)</v>
      </c>
      <c r="G7" t="n">
        <f>fac_affected!F7</f>
        <v>0</v>
      </c>
    </row>
    <row r="8">
      <c r="B8" t="str">
        <f>fac_affected!B8</f>
        <v>2023</v>
      </c>
      <c r="C8" t="str">
        <f>fac_affected!C8</f>
        <v>fugitives</v>
      </c>
      <c r="E8" t="str">
        <f>fac_affected!D8</f>
        <v>Wellpad Fugitives</v>
      </c>
      <c r="F8" t="str">
        <f>fac_affected!E8</f>
        <v>1: No equipment, no tanks</v>
      </c>
      <c r="G8" t="n">
        <f>fac_affected!F8</f>
        <v>3852.7208379331701</v>
      </c>
    </row>
    <row r="9">
      <c r="B9" t="str">
        <f>fac_affected!B9</f>
        <v>2023</v>
      </c>
      <c r="C9" t="str">
        <f>fac_affected!C9</f>
        <v>fugitives</v>
      </c>
      <c r="E9" t="str">
        <f>fac_affected!D9</f>
        <v>Wellpad Fugitives</v>
      </c>
      <c r="F9" t="str">
        <f>fac_affected!E9</f>
        <v>2: Tanks, no equipment</v>
      </c>
      <c r="G9" t="n">
        <f>fac_affected!F9</f>
        <v>730.482008505713</v>
      </c>
    </row>
    <row r="10">
      <c r="B10" t="str">
        <f>fac_affected!B10</f>
        <v>2023</v>
      </c>
      <c r="C10" t="str">
        <f>fac_affected!C10</f>
        <v>fugitives</v>
      </c>
      <c r="E10" t="str">
        <f>fac_affected!D10</f>
        <v>Wellpad Fugitives</v>
      </c>
      <c r="F10" t="str">
        <f>fac_affected!E10</f>
        <v>3: Equipment = 1, no tanks</v>
      </c>
      <c r="G10" t="n">
        <f>fac_affected!F10</f>
        <v>273.41397318840501</v>
      </c>
    </row>
    <row r="11">
      <c r="B11" t="str">
        <f>fac_affected!B11</f>
        <v>2023</v>
      </c>
      <c r="C11" t="str">
        <f>fac_affected!C11</f>
        <v>fugitives</v>
      </c>
      <c r="E11" t="str">
        <f>fac_affected!D11</f>
        <v>Wellpad Fugitives</v>
      </c>
      <c r="F11" t="str">
        <f>fac_affected!E11</f>
        <v>4: Equipment &gt; 1, no tanks</v>
      </c>
      <c r="G11" t="n">
        <f>fac_affected!F11</f>
        <v>1312.0991434213399</v>
      </c>
    </row>
    <row r="12">
      <c r="B12" t="str">
        <f>fac_affected!B12</f>
        <v>2023</v>
      </c>
      <c r="C12" t="str">
        <f>fac_affected!C12</f>
        <v>fugitives</v>
      </c>
      <c r="E12" t="str">
        <f>fac_affected!D12</f>
        <v>Wellpad Fugitives</v>
      </c>
      <c r="F12" t="str">
        <f>fac_affected!E12</f>
        <v>5: Equipment = 1 and tanks</v>
      </c>
      <c r="G12" t="n">
        <f>fac_affected!F12</f>
        <v>942.91303135826297</v>
      </c>
    </row>
    <row r="13">
      <c r="B13" t="str">
        <f>fac_affected!B13</f>
        <v>2023</v>
      </c>
      <c r="C13" t="str">
        <f>fac_affected!C13</f>
        <v>fugitives</v>
      </c>
      <c r="E13" t="str">
        <f>fac_affected!D13</f>
        <v>Wellpad Fugitives</v>
      </c>
      <c r="F13" t="str">
        <f>fac_affected!E13</f>
        <v>6: Equipment &gt; 1 and tanks</v>
      </c>
      <c r="G13" t="n">
        <f>fac_affected!F13</f>
        <v>6874.1600591217102</v>
      </c>
    </row>
    <row r="14">
      <c r="B14" t="str">
        <f>fac_affected!B14</f>
        <v>2023</v>
      </c>
      <c r="C14" t="str">
        <f>fac_affected!C14</f>
        <v>compressors</v>
      </c>
      <c r="E14" t="str">
        <f>fac_affected!D14</f>
        <v>G&amp;B Station Recip Comp</v>
      </c>
      <c r="F14" t="n">
        <f>fac_affected!E14</f>
        <v>0</v>
      </c>
      <c r="G14" t="n">
        <f>fac_affected!F14</f>
        <v>2002.33663779669</v>
      </c>
    </row>
    <row r="15">
      <c r="B15" t="str">
        <f>fac_affected!B15</f>
        <v>2023</v>
      </c>
      <c r="C15" t="str">
        <f>fac_affected!C15</f>
        <v>compressors</v>
      </c>
      <c r="E15" t="str">
        <f>fac_affected!D15</f>
        <v>Proc Recip Comp</v>
      </c>
      <c r="F15" t="n">
        <f>fac_affected!E15</f>
        <v>0</v>
      </c>
      <c r="G15" t="n">
        <f>fac_affected!F15</f>
        <v>84.009997948505998</v>
      </c>
    </row>
    <row r="16">
      <c r="B16" t="str">
        <f>fac_affected!B16</f>
        <v>2023</v>
      </c>
      <c r="C16" t="str">
        <f>fac_affected!C16</f>
        <v>compressors</v>
      </c>
      <c r="E16" t="str">
        <f>fac_affected!D16</f>
        <v>T&amp;S Recip Comp</v>
      </c>
      <c r="F16" t="str">
        <f>fac_affected!E16</f>
        <v>Reciprocating Compressors (Transmission)</v>
      </c>
      <c r="G16" t="n">
        <f>fac_affected!F16</f>
        <v>572.44615663148102</v>
      </c>
    </row>
    <row r="17">
      <c r="B17" t="str">
        <f>fac_affected!B17</f>
        <v>2023</v>
      </c>
      <c r="C17" t="str">
        <f>fac_affected!C17</f>
        <v>compressors</v>
      </c>
      <c r="E17" t="str">
        <f>fac_affected!D17</f>
        <v>T&amp;S Recip Comp</v>
      </c>
      <c r="F17" t="str">
        <f>fac_affected!E17</f>
        <v>Reciprocating Compressors (Storage)</v>
      </c>
      <c r="G17" t="n">
        <f>fac_affected!F17</f>
        <v>20.370909095889999</v>
      </c>
    </row>
    <row r="18">
      <c r="B18" t="str">
        <f>fac_affected!B18</f>
        <v>2023</v>
      </c>
      <c r="C18" t="str">
        <f>fac_affected!C18</f>
        <v>compressors</v>
      </c>
      <c r="E18" t="str">
        <f>fac_affected!D18</f>
        <v>Wet Seal Centrifugal Compr</v>
      </c>
      <c r="F18" t="str">
        <f>fac_affected!E18</f>
        <v>G&amp;B WS Centrifugal Comp</v>
      </c>
      <c r="G18" t="n">
        <f>fac_affected!F18</f>
        <v>26.650851359404101</v>
      </c>
    </row>
    <row r="19">
      <c r="B19" t="str">
        <f>fac_affected!B19</f>
        <v>2023</v>
      </c>
      <c r="C19" t="str">
        <f>fac_affected!C19</f>
        <v>compressors</v>
      </c>
      <c r="E19" t="str">
        <f>fac_affected!D19</f>
        <v>Wet Seal Centrifugal Compr</v>
      </c>
      <c r="F19" t="str">
        <f>fac_affected!E19</f>
        <v>Proc WS Centrifugal Comp</v>
      </c>
      <c r="G19" t="n">
        <f>fac_affected!F19</f>
        <v>0</v>
      </c>
    </row>
    <row r="20">
      <c r="B20" t="str">
        <f>fac_affected!B20</f>
        <v>2023</v>
      </c>
      <c r="C20" t="str">
        <f>fac_affected!C20</f>
        <v>compressors</v>
      </c>
      <c r="E20" t="str">
        <f>fac_affected!D20</f>
        <v>Wet Seal Centrifugal Compr</v>
      </c>
      <c r="F20" t="str">
        <f>fac_affected!E20</f>
        <v>T&amp;S WS Centrifugal Comp</v>
      </c>
      <c r="G20" t="n">
        <f>fac_affected!F20</f>
        <v>0</v>
      </c>
    </row>
    <row r="21">
      <c r="B21" t="str">
        <f>fac_affected!B21</f>
        <v>2023</v>
      </c>
      <c r="C21" t="str">
        <f>fac_affected!C21</f>
        <v>compressors</v>
      </c>
      <c r="E21" t="str">
        <f>fac_affected!D21</f>
        <v>Dry Seal Centrifugal Compr</v>
      </c>
      <c r="F21" t="str">
        <f>fac_affected!E21</f>
        <v>G&amp;B DS Centrifugal Comp</v>
      </c>
      <c r="G21" t="n">
        <f>fac_affected!F21</f>
        <v>40.8773785379502</v>
      </c>
    </row>
    <row r="22">
      <c r="B22" t="str">
        <f>fac_affected!B22</f>
        <v>2023</v>
      </c>
      <c r="C22" t="str">
        <f>fac_affected!C22</f>
        <v>compressors</v>
      </c>
      <c r="E22" t="str">
        <f>fac_affected!D22</f>
        <v>Dry Seal Centrifugal Compr</v>
      </c>
      <c r="F22" t="str">
        <f>fac_affected!E22</f>
        <v>Proc DS Centrifugal Comp</v>
      </c>
      <c r="G22" t="n">
        <f>fac_affected!F22</f>
        <v>14.036055082032499</v>
      </c>
    </row>
    <row r="23">
      <c r="B23" t="str">
        <f>fac_affected!B23</f>
        <v>2023</v>
      </c>
      <c r="C23" t="str">
        <f>fac_affected!C23</f>
        <v>compressors</v>
      </c>
      <c r="E23" t="str">
        <f>fac_affected!D23</f>
        <v>Dry Seal Centrifugal Compr</v>
      </c>
      <c r="F23" t="str">
        <f>fac_affected!E23</f>
        <v>T&amp;S DS Centrifugal Comp</v>
      </c>
      <c r="G23" t="n">
        <f>fac_affected!F23</f>
        <v>241.718376986907</v>
      </c>
    </row>
    <row r="24">
      <c r="B24" t="str">
        <f>fac_affected!B24</f>
        <v>2023</v>
      </c>
      <c r="C24" t="str">
        <f>fac_affected!C24</f>
        <v>liquids_unloading</v>
      </c>
      <c r="E24" t="n">
        <f>fac_affected!D24</f>
        <v>0</v>
      </c>
      <c r="F24" t="n">
        <f>fac_affected!E24</f>
        <v>0</v>
      </c>
      <c r="G24" t="n">
        <f>fac_affected!F24</f>
        <v>6802.85288216341</v>
      </c>
    </row>
    <row r="25">
      <c r="B25" t="str">
        <f>fac_affected!B25</f>
        <v>2023</v>
      </c>
      <c r="C25" t="str">
        <f>fac_affected!C25</f>
        <v>pneucontr</v>
      </c>
      <c r="E25" t="str">
        <f>fac_affected!D25</f>
        <v>G&amp;B Pneumatic Controllers</v>
      </c>
      <c r="F25" t="n">
        <f>fac_affected!E25</f>
        <v>0</v>
      </c>
      <c r="G25" t="n">
        <f>fac_affected!F25</f>
        <v>774.112475504656</v>
      </c>
    </row>
    <row r="26">
      <c r="B26" t="str">
        <f>fac_affected!B26</f>
        <v>2023</v>
      </c>
      <c r="C26" t="str">
        <f>fac_affected!C26</f>
        <v>pneucontr</v>
      </c>
      <c r="E26" t="str">
        <f>fac_affected!D26</f>
        <v>T&amp;S Pneumatic Controllers</v>
      </c>
      <c r="F26" t="n">
        <f>fac_affected!E26</f>
        <v>0</v>
      </c>
      <c r="G26" t="n">
        <f>fac_affected!F26</f>
        <v>7452.6991104134004</v>
      </c>
    </row>
    <row r="27">
      <c r="B27" t="str">
        <f>fac_affected!B27</f>
        <v>2023</v>
      </c>
      <c r="C27" t="str">
        <f>fac_affected!C27</f>
        <v>pneucontr</v>
      </c>
      <c r="E27" t="str">
        <f>fac_affected!D27</f>
        <v>Well Pad Pneumatic Controllers</v>
      </c>
      <c r="F27" t="n">
        <f>fac_affected!E27</f>
        <v>0</v>
      </c>
      <c r="G27" t="n">
        <f>fac_affected!F27</f>
        <v>65047.524260047197</v>
      </c>
    </row>
    <row r="28">
      <c r="B28" t="str">
        <f>fac_affected!B28</f>
        <v>2023</v>
      </c>
      <c r="C28" t="str">
        <f>fac_affected!C28</f>
        <v>pumps</v>
      </c>
      <c r="E28" t="str">
        <f>fac_affected!D28</f>
        <v>G&amp;B Pneumatic Pumps</v>
      </c>
      <c r="F28" t="n">
        <f>fac_affected!E28</f>
        <v>0</v>
      </c>
      <c r="G28" t="n">
        <f>fac_affected!F28</f>
        <v>82.920540594978405</v>
      </c>
    </row>
    <row r="29">
      <c r="B29" t="str">
        <f>fac_affected!B29</f>
        <v>2023</v>
      </c>
      <c r="C29" t="str">
        <f>fac_affected!C29</f>
        <v>pumps</v>
      </c>
      <c r="E29" t="str">
        <f>fac_affected!D29</f>
        <v>Well Pad Pumps</v>
      </c>
      <c r="F29" t="n">
        <f>fac_affected!E29</f>
        <v>0</v>
      </c>
      <c r="G29" t="n">
        <f>fac_affected!F29</f>
        <v>3404.2189322352301</v>
      </c>
    </row>
    <row r="30">
      <c r="B30" t="str">
        <f>fac_affected!B30</f>
        <v>2023</v>
      </c>
      <c r="C30" t="str">
        <f>fac_affected!C30</f>
        <v>Storage vessels</v>
      </c>
      <c r="E30" t="n">
        <f>fac_affected!D30</f>
        <v>0</v>
      </c>
      <c r="F30" t="n">
        <f>fac_affected!E30</f>
        <v>0</v>
      </c>
      <c r="G30" t="n">
        <f>fac_affected!F30</f>
        <v>2068.92915531995</v>
      </c>
    </row>
    <row r="31">
      <c r="B31" t="str">
        <f>fac_affected!B31</f>
        <v>2024</v>
      </c>
      <c r="C31" t="str">
        <f>fac_affected!C31</f>
        <v>fugitives</v>
      </c>
      <c r="E31" t="str">
        <f>fac_affected!D31</f>
        <v>G&amp;B Stations</v>
      </c>
      <c r="F31" t="n">
        <f>fac_affected!E31</f>
        <v>0</v>
      </c>
      <c r="G31" t="n">
        <f>fac_affected!F31</f>
        <v>0</v>
      </c>
    </row>
    <row r="32">
      <c r="B32" t="str">
        <f>fac_affected!B32</f>
        <v>2024</v>
      </c>
      <c r="C32" t="str">
        <f>fac_affected!C32</f>
        <v>fugitives</v>
      </c>
      <c r="E32" t="str">
        <f>fac_affected!D32</f>
        <v>Processing Plants</v>
      </c>
      <c r="F32" t="str">
        <f>fac_affected!E32</f>
        <v>Large Plants</v>
      </c>
      <c r="G32" t="n">
        <f>fac_affected!F32</f>
        <v>6.5738172869065297</v>
      </c>
    </row>
    <row r="33">
      <c r="B33" t="str">
        <f>fac_affected!B33</f>
        <v>2024</v>
      </c>
      <c r="C33" t="str">
        <f>fac_affected!C33</f>
        <v>fugitives</v>
      </c>
      <c r="E33" t="str">
        <f>fac_affected!D33</f>
        <v>Processing Plants</v>
      </c>
      <c r="F33" t="str">
        <f>fac_affected!E33</f>
        <v>Small Plants</v>
      </c>
      <c r="G33" t="n">
        <f>fac_affected!F33</f>
        <v>27.284250509373098</v>
      </c>
    </row>
    <row r="34">
      <c r="B34" t="str">
        <f>fac_affected!B34</f>
        <v>2024</v>
      </c>
      <c r="C34" t="str">
        <f>fac_affected!C34</f>
        <v>fugitives</v>
      </c>
      <c r="E34" t="str">
        <f>fac_affected!D34</f>
        <v>T&amp;S Compressor Stations</v>
      </c>
      <c r="F34" t="str">
        <f>fac_affected!E34</f>
        <v>Compressor Stations (Transmission)</v>
      </c>
      <c r="G34" t="n">
        <f>fac_affected!F34</f>
        <v>0</v>
      </c>
    </row>
    <row r="35">
      <c r="B35" t="str">
        <f>fac_affected!B35</f>
        <v>2024</v>
      </c>
      <c r="C35" t="str">
        <f>fac_affected!C35</f>
        <v>fugitives</v>
      </c>
      <c r="E35" t="str">
        <f>fac_affected!D35</f>
        <v>T&amp;S Compressor Stations</v>
      </c>
      <c r="F35" t="str">
        <f>fac_affected!E35</f>
        <v>Compressor Stations (Storage)</v>
      </c>
      <c r="G35" t="n">
        <f>fac_affected!F35</f>
        <v>0</v>
      </c>
    </row>
    <row r="36">
      <c r="B36" t="str">
        <f>fac_affected!B36</f>
        <v>2024</v>
      </c>
      <c r="C36" t="str">
        <f>fac_affected!C36</f>
        <v>fugitives</v>
      </c>
      <c r="E36" t="str">
        <f>fac_affected!D36</f>
        <v>Wellpad Fugitives</v>
      </c>
      <c r="F36" t="str">
        <f>fac_affected!E36</f>
        <v>1: No equipment, no tanks</v>
      </c>
      <c r="G36" t="n">
        <f>fac_affected!F36</f>
        <v>6029.9632128069998</v>
      </c>
    </row>
    <row r="37">
      <c r="B37" t="str">
        <f>fac_affected!B37</f>
        <v>2024</v>
      </c>
      <c r="C37" t="str">
        <f>fac_affected!C37</f>
        <v>fugitives</v>
      </c>
      <c r="E37" t="str">
        <f>fac_affected!D37</f>
        <v>Wellpad Fugitives</v>
      </c>
      <c r="F37" t="str">
        <f>fac_affected!E37</f>
        <v>2: Tanks, no equipment</v>
      </c>
      <c r="G37" t="n">
        <f>fac_affected!F37</f>
        <v>1143.2906312697701</v>
      </c>
    </row>
    <row r="38">
      <c r="B38" t="str">
        <f>fac_affected!B38</f>
        <v>2024</v>
      </c>
      <c r="C38" t="str">
        <f>fac_affected!C38</f>
        <v>fugitives</v>
      </c>
      <c r="E38" t="str">
        <f>fac_affected!D38</f>
        <v>Wellpad Fugitives</v>
      </c>
      <c r="F38" t="str">
        <f>fac_affected!E38</f>
        <v>3: Equipment = 1, no tanks</v>
      </c>
      <c r="G38" t="n">
        <f>fac_affected!F38</f>
        <v>427.92516497975203</v>
      </c>
    </row>
    <row r="39">
      <c r="B39" t="str">
        <f>fac_affected!B39</f>
        <v>2024</v>
      </c>
      <c r="C39" t="str">
        <f>fac_affected!C39</f>
        <v>fugitives</v>
      </c>
      <c r="E39" t="str">
        <f>fac_affected!D39</f>
        <v>Wellpad Fugitives</v>
      </c>
      <c r="F39" t="str">
        <f>fac_affected!E39</f>
        <v>4: Equipment &gt; 1, no tanks</v>
      </c>
      <c r="G39" t="n">
        <f>fac_affected!F39</f>
        <v>2053.59015075452</v>
      </c>
    </row>
    <row r="40">
      <c r="B40" t="str">
        <f>fac_affected!B40</f>
        <v>2024</v>
      </c>
      <c r="C40" t="str">
        <f>fac_affected!C40</f>
        <v>fugitives</v>
      </c>
      <c r="E40" t="str">
        <f>fac_affected!D40</f>
        <v>Wellpad Fugitives</v>
      </c>
      <c r="F40" t="str">
        <f>fac_affected!E40</f>
        <v>5: Equipment = 1 and tanks</v>
      </c>
      <c r="G40" t="n">
        <f>fac_affected!F40</f>
        <v>1475.7702753820099</v>
      </c>
    </row>
    <row r="41">
      <c r="B41" t="str">
        <f>fac_affected!B41</f>
        <v>2024</v>
      </c>
      <c r="C41" t="str">
        <f>fac_affected!C41</f>
        <v>fugitives</v>
      </c>
      <c r="E41" t="str">
        <f>fac_affected!D41</f>
        <v>Wellpad Fugitives</v>
      </c>
      <c r="F41" t="str">
        <f>fac_affected!E41</f>
        <v>6: Equipment &gt; 1 and tanks</v>
      </c>
      <c r="G41" t="n">
        <f>fac_affected!F41</f>
        <v>10758.872500528199</v>
      </c>
    </row>
    <row r="42">
      <c r="B42" t="str">
        <f>fac_affected!B42</f>
        <v>2024</v>
      </c>
      <c r="C42" t="str">
        <f>fac_affected!C42</f>
        <v>compressors</v>
      </c>
      <c r="E42" t="str">
        <f>fac_affected!D42</f>
        <v>G&amp;B Station Recip Comp</v>
      </c>
      <c r="F42" t="n">
        <f>fac_affected!E42</f>
        <v>0</v>
      </c>
      <c r="G42" t="n">
        <f>fac_affected!F42</f>
        <v>3003.5049566950402</v>
      </c>
    </row>
    <row r="43">
      <c r="B43" t="str">
        <f>fac_affected!B43</f>
        <v>2024</v>
      </c>
      <c r="C43" t="str">
        <f>fac_affected!C43</f>
        <v>compressors</v>
      </c>
      <c r="E43" t="str">
        <f>fac_affected!D43</f>
        <v>Proc Recip Comp</v>
      </c>
      <c r="F43" t="n">
        <f>fac_affected!E43</f>
        <v>0</v>
      </c>
      <c r="G43" t="n">
        <f>fac_affected!F43</f>
        <v>126.014996922759</v>
      </c>
    </row>
    <row r="44">
      <c r="B44" t="str">
        <f>fac_affected!B44</f>
        <v>2024</v>
      </c>
      <c r="C44" t="str">
        <f>fac_affected!C44</f>
        <v>compressors</v>
      </c>
      <c r="E44" t="str">
        <f>fac_affected!D44</f>
        <v>T&amp;S Recip Comp</v>
      </c>
      <c r="F44" t="str">
        <f>fac_affected!E44</f>
        <v>Reciprocating Compressors (Transmission)</v>
      </c>
      <c r="G44" t="n">
        <f>fac_affected!F44</f>
        <v>858.66923494722096</v>
      </c>
    </row>
    <row r="45">
      <c r="B45" t="str">
        <f>fac_affected!B45</f>
        <v>2024</v>
      </c>
      <c r="C45" t="str">
        <f>fac_affected!C45</f>
        <v>compressors</v>
      </c>
      <c r="E45" t="str">
        <f>fac_affected!D45</f>
        <v>T&amp;S Recip Comp</v>
      </c>
      <c r="F45" t="str">
        <f>fac_affected!E45</f>
        <v>Reciprocating Compressors (Storage)</v>
      </c>
      <c r="G45" t="n">
        <f>fac_affected!F45</f>
        <v>30.556363643835098</v>
      </c>
    </row>
    <row r="46">
      <c r="B46" t="str">
        <f>fac_affected!B46</f>
        <v>2024</v>
      </c>
      <c r="C46" t="str">
        <f>fac_affected!C46</f>
        <v>compressors</v>
      </c>
      <c r="E46" t="str">
        <f>fac_affected!D46</f>
        <v>Wet Seal Centrifugal Compr</v>
      </c>
      <c r="F46" t="str">
        <f>fac_affected!E46</f>
        <v>G&amp;B WS Centrifugal Comp</v>
      </c>
      <c r="G46" t="n">
        <f>fac_affected!F46</f>
        <v>39.976277039106201</v>
      </c>
    </row>
    <row r="47">
      <c r="B47" t="str">
        <f>fac_affected!B47</f>
        <v>2024</v>
      </c>
      <c r="C47" t="str">
        <f>fac_affected!C47</f>
        <v>compressors</v>
      </c>
      <c r="E47" t="str">
        <f>fac_affected!D47</f>
        <v>Wet Seal Centrifugal Compr</v>
      </c>
      <c r="F47" t="str">
        <f>fac_affected!E47</f>
        <v>Proc WS Centrifugal Comp</v>
      </c>
      <c r="G47" t="n">
        <f>fac_affected!F47</f>
        <v>0</v>
      </c>
    </row>
    <row r="48">
      <c r="B48" t="str">
        <f>fac_affected!B48</f>
        <v>2024</v>
      </c>
      <c r="C48" t="str">
        <f>fac_affected!C48</f>
        <v>compressors</v>
      </c>
      <c r="E48" t="str">
        <f>fac_affected!D48</f>
        <v>Wet Seal Centrifugal Compr</v>
      </c>
      <c r="F48" t="str">
        <f>fac_affected!E48</f>
        <v>T&amp;S WS Centrifugal Comp</v>
      </c>
      <c r="G48" t="n">
        <f>fac_affected!F48</f>
        <v>0</v>
      </c>
    </row>
    <row r="49">
      <c r="B49" t="str">
        <f>fac_affected!B49</f>
        <v>2024</v>
      </c>
      <c r="C49" t="str">
        <f>fac_affected!C49</f>
        <v>compressors</v>
      </c>
      <c r="E49" t="str">
        <f>fac_affected!D49</f>
        <v>Dry Seal Centrifugal Compr</v>
      </c>
      <c r="F49" t="str">
        <f>fac_affected!E49</f>
        <v>G&amp;B DS Centrifugal Comp</v>
      </c>
      <c r="G49" t="n">
        <f>fac_affected!F49</f>
        <v>61.316067806925297</v>
      </c>
    </row>
    <row r="50">
      <c r="B50" t="str">
        <f>fac_affected!B50</f>
        <v>2024</v>
      </c>
      <c r="C50" t="str">
        <f>fac_affected!C50</f>
        <v>compressors</v>
      </c>
      <c r="E50" t="str">
        <f>fac_affected!D50</f>
        <v>Dry Seal Centrifugal Compr</v>
      </c>
      <c r="F50" t="str">
        <f>fac_affected!E50</f>
        <v>Proc DS Centrifugal Comp</v>
      </c>
      <c r="G50" t="n">
        <f>fac_affected!F50</f>
        <v>21.0540826230487</v>
      </c>
    </row>
    <row r="51">
      <c r="B51" t="str">
        <f>fac_affected!B51</f>
        <v>2024</v>
      </c>
      <c r="C51" t="str">
        <f>fac_affected!C51</f>
        <v>compressors</v>
      </c>
      <c r="E51" t="str">
        <f>fac_affected!D51</f>
        <v>Dry Seal Centrifugal Compr</v>
      </c>
      <c r="F51" t="str">
        <f>fac_affected!E51</f>
        <v>T&amp;S DS Centrifugal Comp</v>
      </c>
      <c r="G51" t="n">
        <f>fac_affected!F51</f>
        <v>362.57756548036099</v>
      </c>
    </row>
    <row r="52">
      <c r="B52" t="str">
        <f>fac_affected!B52</f>
        <v>2024</v>
      </c>
      <c r="C52" t="str">
        <f>fac_affected!C52</f>
        <v>liquids_unloading</v>
      </c>
      <c r="E52" t="n">
        <f>fac_affected!D52</f>
        <v>0</v>
      </c>
      <c r="F52" t="n">
        <f>fac_affected!E52</f>
        <v>0</v>
      </c>
      <c r="G52" t="n">
        <f>fac_affected!F52</f>
        <v>10647.2683454505</v>
      </c>
    </row>
    <row r="53">
      <c r="B53" t="str">
        <f>fac_affected!B53</f>
        <v>2024</v>
      </c>
      <c r="C53" t="str">
        <f>fac_affected!C53</f>
        <v>pneucontr</v>
      </c>
      <c r="E53" t="str">
        <f>fac_affected!D53</f>
        <v>G&amp;B Pneumatic Controllers</v>
      </c>
      <c r="F53" t="n">
        <f>fac_affected!E53</f>
        <v>0</v>
      </c>
      <c r="G53" t="n">
        <f>fac_affected!F53</f>
        <v>1161.16871325698</v>
      </c>
    </row>
    <row r="54">
      <c r="B54" t="str">
        <f>fac_affected!B54</f>
        <v>2024</v>
      </c>
      <c r="C54" t="str">
        <f>fac_affected!C54</f>
        <v>pneucontr</v>
      </c>
      <c r="E54" t="str">
        <f>fac_affected!D54</f>
        <v>T&amp;S Pneumatic Controllers</v>
      </c>
      <c r="F54" t="n">
        <f>fac_affected!E54</f>
        <v>0</v>
      </c>
      <c r="G54" t="n">
        <f>fac_affected!F54</f>
        <v>11179.048665620099</v>
      </c>
    </row>
    <row r="55">
      <c r="B55" t="str">
        <f>fac_affected!B55</f>
        <v>2024</v>
      </c>
      <c r="C55" t="str">
        <f>fac_affected!C55</f>
        <v>pneucontr</v>
      </c>
      <c r="E55" t="str">
        <f>fac_affected!D55</f>
        <v>Well Pad Pneumatic Controllers</v>
      </c>
      <c r="F55" t="n">
        <f>fac_affected!E55</f>
        <v>0</v>
      </c>
      <c r="G55" t="n">
        <f>fac_affected!F55</f>
        <v>101706.401366135</v>
      </c>
    </row>
    <row r="56">
      <c r="B56" t="str">
        <f>fac_affected!B56</f>
        <v>2024</v>
      </c>
      <c r="C56" t="str">
        <f>fac_affected!C56</f>
        <v>pumps</v>
      </c>
      <c r="E56" t="str">
        <f>fac_affected!D56</f>
        <v>G&amp;B Pneumatic Pumps</v>
      </c>
      <c r="F56" t="n">
        <f>fac_affected!E56</f>
        <v>0</v>
      </c>
      <c r="G56" t="n">
        <f>fac_affected!F56</f>
        <v>124.38081089246801</v>
      </c>
    </row>
    <row r="57">
      <c r="B57" t="str">
        <f>fac_affected!B57</f>
        <v>2024</v>
      </c>
      <c r="C57" t="str">
        <f>fac_affected!C57</f>
        <v>pumps</v>
      </c>
      <c r="E57" t="str">
        <f>fac_affected!D57</f>
        <v>Well Pad Pumps</v>
      </c>
      <c r="F57" t="n">
        <f>fac_affected!E57</f>
        <v>0</v>
      </c>
      <c r="G57" t="n">
        <f>fac_affected!F57</f>
        <v>5326.9897040760297</v>
      </c>
    </row>
    <row r="58">
      <c r="B58" t="str">
        <f>fac_affected!B58</f>
        <v>2024</v>
      </c>
      <c r="C58" t="str">
        <f>fac_affected!C58</f>
        <v>Storage vessels</v>
      </c>
      <c r="E58" t="n">
        <f>fac_affected!D58</f>
        <v>0</v>
      </c>
      <c r="F58" t="n">
        <f>fac_affected!E58</f>
        <v>0</v>
      </c>
      <c r="G58" t="n">
        <f>fac_affected!F58</f>
        <v>3230.9575899624801</v>
      </c>
    </row>
    <row r="59">
      <c r="B59" t="str">
        <f>fac_affected!B59</f>
        <v>2025</v>
      </c>
      <c r="C59" t="str">
        <f>fac_affected!C59</f>
        <v>fugitives</v>
      </c>
      <c r="E59" t="str">
        <f>fac_affected!D59</f>
        <v>G&amp;B Stations</v>
      </c>
      <c r="F59" t="n">
        <f>fac_affected!E59</f>
        <v>0</v>
      </c>
      <c r="G59" t="n">
        <f>fac_affected!F59</f>
        <v>0</v>
      </c>
    </row>
    <row r="60">
      <c r="B60" t="str">
        <f>fac_affected!B60</f>
        <v>2025</v>
      </c>
      <c r="C60" t="str">
        <f>fac_affected!C60</f>
        <v>fugitives</v>
      </c>
      <c r="E60" t="str">
        <f>fac_affected!D60</f>
        <v>Processing Plants</v>
      </c>
      <c r="F60" t="str">
        <f>fac_affected!E60</f>
        <v>Large Plants</v>
      </c>
      <c r="G60" t="n">
        <f>fac_affected!F60</f>
        <v>8.7650897158753693</v>
      </c>
    </row>
    <row r="61">
      <c r="B61" t="str">
        <f>fac_affected!B61</f>
        <v>2025</v>
      </c>
      <c r="C61" t="str">
        <f>fac_affected!C61</f>
        <v>fugitives</v>
      </c>
      <c r="E61" t="str">
        <f>fac_affected!D61</f>
        <v>Processing Plants</v>
      </c>
      <c r="F61" t="str">
        <f>fac_affected!E61</f>
        <v>Small Plants</v>
      </c>
      <c r="G61" t="n">
        <f>fac_affected!F61</f>
        <v>36.3790006791642</v>
      </c>
    </row>
    <row r="62">
      <c r="B62" t="str">
        <f>fac_affected!B62</f>
        <v>2025</v>
      </c>
      <c r="C62" t="str">
        <f>fac_affected!C62</f>
        <v>fugitives</v>
      </c>
      <c r="E62" t="str">
        <f>fac_affected!D62</f>
        <v>T&amp;S Compressor Stations</v>
      </c>
      <c r="F62" t="str">
        <f>fac_affected!E62</f>
        <v>Compressor Stations (Transmission)</v>
      </c>
      <c r="G62" t="n">
        <f>fac_affected!F62</f>
        <v>0</v>
      </c>
    </row>
    <row r="63">
      <c r="B63" t="str">
        <f>fac_affected!B63</f>
        <v>2025</v>
      </c>
      <c r="C63" t="str">
        <f>fac_affected!C63</f>
        <v>fugitives</v>
      </c>
      <c r="E63" t="str">
        <f>fac_affected!D63</f>
        <v>T&amp;S Compressor Stations</v>
      </c>
      <c r="F63" t="str">
        <f>fac_affected!E63</f>
        <v>Compressor Stations (Storage)</v>
      </c>
      <c r="G63" t="n">
        <f>fac_affected!F63</f>
        <v>0</v>
      </c>
    </row>
    <row r="64">
      <c r="B64" t="str">
        <f>fac_affected!B64</f>
        <v>2025</v>
      </c>
      <c r="C64" t="str">
        <f>fac_affected!C64</f>
        <v>fugitives</v>
      </c>
      <c r="E64" t="str">
        <f>fac_affected!D64</f>
        <v>Wellpad Fugitives</v>
      </c>
      <c r="F64" t="str">
        <f>fac_affected!E64</f>
        <v>1: No equipment, no tanks</v>
      </c>
      <c r="G64" t="n">
        <f>fac_affected!F64</f>
        <v>8402.9534742932992</v>
      </c>
    </row>
    <row r="65">
      <c r="B65" t="str">
        <f>fac_affected!B65</f>
        <v>2025</v>
      </c>
      <c r="C65" t="str">
        <f>fac_affected!C65</f>
        <v>fugitives</v>
      </c>
      <c r="E65" t="str">
        <f>fac_affected!D65</f>
        <v>Wellpad Fugitives</v>
      </c>
      <c r="F65" t="str">
        <f>fac_affected!E65</f>
        <v>2: Tanks, no equipment</v>
      </c>
      <c r="G65" t="n">
        <f>fac_affected!F65</f>
        <v>1593.2133651746001</v>
      </c>
    </row>
    <row r="66">
      <c r="B66" t="str">
        <f>fac_affected!B66</f>
        <v>2025</v>
      </c>
      <c r="C66" t="str">
        <f>fac_affected!C66</f>
        <v>fugitives</v>
      </c>
      <c r="E66" t="str">
        <f>fac_affected!D66</f>
        <v>Wellpad Fugitives</v>
      </c>
      <c r="F66" t="str">
        <f>fac_affected!E66</f>
        <v>3: Equipment = 1, no tanks</v>
      </c>
      <c r="G66" t="n">
        <f>fac_affected!F66</f>
        <v>596.32789204533901</v>
      </c>
    </row>
    <row r="67">
      <c r="B67" t="str">
        <f>fac_affected!B67</f>
        <v>2025</v>
      </c>
      <c r="C67" t="str">
        <f>fac_affected!C67</f>
        <v>fugitives</v>
      </c>
      <c r="E67" t="str">
        <f>fac_affected!D67</f>
        <v>Wellpad Fugitives</v>
      </c>
      <c r="F67" t="str">
        <f>fac_affected!E67</f>
        <v>4: Equipment &gt; 1, no tanks</v>
      </c>
      <c r="G67" t="n">
        <f>fac_affected!F67</f>
        <v>2861.7458984503901</v>
      </c>
    </row>
    <row r="68">
      <c r="B68" t="str">
        <f>fac_affected!B68</f>
        <v>2025</v>
      </c>
      <c r="C68" t="str">
        <f>fac_affected!C68</f>
        <v>fugitives</v>
      </c>
      <c r="E68" t="str">
        <f>fac_affected!D68</f>
        <v>Wellpad Fugitives</v>
      </c>
      <c r="F68" t="str">
        <f>fac_affected!E68</f>
        <v>5: Equipment = 1 and tanks</v>
      </c>
      <c r="G68" t="n">
        <f>fac_affected!F68</f>
        <v>2056.5347623418402</v>
      </c>
    </row>
    <row r="69">
      <c r="B69" t="str">
        <f>fac_affected!B69</f>
        <v>2025</v>
      </c>
      <c r="C69" t="str">
        <f>fac_affected!C69</f>
        <v>fugitives</v>
      </c>
      <c r="E69" t="str">
        <f>fac_affected!D69</f>
        <v>Wellpad Fugitives</v>
      </c>
      <c r="F69" t="str">
        <f>fac_affected!E69</f>
        <v>6: Equipment &gt; 1 and tanks</v>
      </c>
      <c r="G69" t="n">
        <f>fac_affected!F69</f>
        <v>14992.8452077085</v>
      </c>
    </row>
    <row r="70">
      <c r="B70" t="str">
        <f>fac_affected!B70</f>
        <v>2025</v>
      </c>
      <c r="C70" t="str">
        <f>fac_affected!C70</f>
        <v>compressors</v>
      </c>
      <c r="E70" t="str">
        <f>fac_affected!D70</f>
        <v>G&amp;B Station Recip Comp</v>
      </c>
      <c r="F70" t="n">
        <f>fac_affected!E70</f>
        <v>0</v>
      </c>
      <c r="G70" t="n">
        <f>fac_affected!F70</f>
        <v>4004.6732755933899</v>
      </c>
    </row>
    <row r="71">
      <c r="B71" t="str">
        <f>fac_affected!B71</f>
        <v>2025</v>
      </c>
      <c r="C71" t="str">
        <f>fac_affected!C71</f>
        <v>compressors</v>
      </c>
      <c r="E71" t="str">
        <f>fac_affected!D71</f>
        <v>Proc Recip Comp</v>
      </c>
      <c r="F71" t="n">
        <f>fac_affected!E71</f>
        <v>0</v>
      </c>
      <c r="G71" t="n">
        <f>fac_affected!F71</f>
        <v>168.019995897012</v>
      </c>
    </row>
    <row r="72">
      <c r="B72" t="str">
        <f>fac_affected!B72</f>
        <v>2025</v>
      </c>
      <c r="C72" t="str">
        <f>fac_affected!C72</f>
        <v>compressors</v>
      </c>
      <c r="E72" t="str">
        <f>fac_affected!D72</f>
        <v>T&amp;S Recip Comp</v>
      </c>
      <c r="F72" t="str">
        <f>fac_affected!E72</f>
        <v>Reciprocating Compressors (Transmission)</v>
      </c>
      <c r="G72" t="n">
        <f>fac_affected!F72</f>
        <v>1144.89231326296</v>
      </c>
    </row>
    <row r="73">
      <c r="B73" t="str">
        <f>fac_affected!B73</f>
        <v>2025</v>
      </c>
      <c r="C73" t="str">
        <f>fac_affected!C73</f>
        <v>compressors</v>
      </c>
      <c r="E73" t="str">
        <f>fac_affected!D73</f>
        <v>T&amp;S Recip Comp</v>
      </c>
      <c r="F73" t="str">
        <f>fac_affected!E73</f>
        <v>Reciprocating Compressors (Storage)</v>
      </c>
      <c r="G73" t="n">
        <f>fac_affected!F73</f>
        <v>40.741818191780098</v>
      </c>
    </row>
    <row r="74">
      <c r="B74" t="str">
        <f>fac_affected!B74</f>
        <v>2025</v>
      </c>
      <c r="C74" t="str">
        <f>fac_affected!C74</f>
        <v>compressors</v>
      </c>
      <c r="E74" t="str">
        <f>fac_affected!D74</f>
        <v>Wet Seal Centrifugal Compr</v>
      </c>
      <c r="F74" t="str">
        <f>fac_affected!E74</f>
        <v>G&amp;B WS Centrifugal Comp</v>
      </c>
      <c r="G74" t="n">
        <f>fac_affected!F74</f>
        <v>53.301702718808201</v>
      </c>
    </row>
    <row r="75">
      <c r="B75" t="str">
        <f>fac_affected!B75</f>
        <v>2025</v>
      </c>
      <c r="C75" t="str">
        <f>fac_affected!C75</f>
        <v>compressors</v>
      </c>
      <c r="E75" t="str">
        <f>fac_affected!D75</f>
        <v>Wet Seal Centrifugal Compr</v>
      </c>
      <c r="F75" t="str">
        <f>fac_affected!E75</f>
        <v>Proc WS Centrifugal Comp</v>
      </c>
      <c r="G75" t="n">
        <f>fac_affected!F75</f>
        <v>0</v>
      </c>
    </row>
    <row r="76">
      <c r="B76" t="str">
        <f>fac_affected!B76</f>
        <v>2025</v>
      </c>
      <c r="C76" t="str">
        <f>fac_affected!C76</f>
        <v>compressors</v>
      </c>
      <c r="E76" t="str">
        <f>fac_affected!D76</f>
        <v>Wet Seal Centrifugal Compr</v>
      </c>
      <c r="F76" t="str">
        <f>fac_affected!E76</f>
        <v>T&amp;S WS Centrifugal Comp</v>
      </c>
      <c r="G76" t="n">
        <f>fac_affected!F76</f>
        <v>0</v>
      </c>
    </row>
    <row r="77">
      <c r="B77" t="str">
        <f>fac_affected!B77</f>
        <v>2025</v>
      </c>
      <c r="C77" t="str">
        <f>fac_affected!C77</f>
        <v>compressors</v>
      </c>
      <c r="E77" t="str">
        <f>fac_affected!D77</f>
        <v>Dry Seal Centrifugal Compr</v>
      </c>
      <c r="F77" t="str">
        <f>fac_affected!E77</f>
        <v>G&amp;B DS Centrifugal Comp</v>
      </c>
      <c r="G77" t="n">
        <f>fac_affected!F77</f>
        <v>81.754757075900301</v>
      </c>
    </row>
    <row r="78">
      <c r="B78" t="str">
        <f>fac_affected!B78</f>
        <v>2025</v>
      </c>
      <c r="C78" t="str">
        <f>fac_affected!C78</f>
        <v>compressors</v>
      </c>
      <c r="E78" t="str">
        <f>fac_affected!D78</f>
        <v>Dry Seal Centrifugal Compr</v>
      </c>
      <c r="F78" t="str">
        <f>fac_affected!E78</f>
        <v>Proc DS Centrifugal Comp</v>
      </c>
      <c r="G78" t="n">
        <f>fac_affected!F78</f>
        <v>28.072110164064998</v>
      </c>
    </row>
    <row r="79">
      <c r="B79" t="str">
        <f>fac_affected!B79</f>
        <v>2025</v>
      </c>
      <c r="C79" t="str">
        <f>fac_affected!C79</f>
        <v>compressors</v>
      </c>
      <c r="E79" t="str">
        <f>fac_affected!D79</f>
        <v>Dry Seal Centrifugal Compr</v>
      </c>
      <c r="F79" t="str">
        <f>fac_affected!E79</f>
        <v>T&amp;S DS Centrifugal Comp</v>
      </c>
      <c r="G79" t="n">
        <f>fac_affected!F79</f>
        <v>483.43675397381497</v>
      </c>
    </row>
    <row r="80">
      <c r="B80" t="str">
        <f>fac_affected!B80</f>
        <v>2025</v>
      </c>
      <c r="C80" t="str">
        <f>fac_affected!C80</f>
        <v>liquids_unloading</v>
      </c>
      <c r="E80" t="n">
        <f>fac_affected!D80</f>
        <v>0</v>
      </c>
      <c r="F80" t="n">
        <f>fac_affected!E80</f>
        <v>0</v>
      </c>
      <c r="G80" t="n">
        <f>fac_affected!F80</f>
        <v>14837.3211208179</v>
      </c>
    </row>
    <row r="81">
      <c r="B81" t="str">
        <f>fac_affected!B81</f>
        <v>2025</v>
      </c>
      <c r="C81" t="str">
        <f>fac_affected!C81</f>
        <v>pneucontr</v>
      </c>
      <c r="E81" t="str">
        <f>fac_affected!D81</f>
        <v>G&amp;B Pneumatic Controllers</v>
      </c>
      <c r="F81" t="n">
        <f>fac_affected!E81</f>
        <v>0</v>
      </c>
      <c r="G81" t="n">
        <f>fac_affected!F81</f>
        <v>1548.22495100931</v>
      </c>
    </row>
    <row r="82">
      <c r="B82" t="str">
        <f>fac_affected!B82</f>
        <v>2025</v>
      </c>
      <c r="C82" t="str">
        <f>fac_affected!C82</f>
        <v>pneucontr</v>
      </c>
      <c r="E82" t="str">
        <f>fac_affected!D82</f>
        <v>T&amp;S Pneumatic Controllers</v>
      </c>
      <c r="F82" t="n">
        <f>fac_affected!E82</f>
        <v>0</v>
      </c>
      <c r="G82" t="n">
        <f>fac_affected!F82</f>
        <v>14905.398220826801</v>
      </c>
    </row>
    <row r="83">
      <c r="B83" t="str">
        <f>fac_affected!B83</f>
        <v>2025</v>
      </c>
      <c r="C83" t="str">
        <f>fac_affected!C83</f>
        <v>pneucontr</v>
      </c>
      <c r="E83" t="str">
        <f>fac_affected!D83</f>
        <v>Well Pad Pneumatic Controllers</v>
      </c>
      <c r="F83" t="n">
        <f>fac_affected!E83</f>
        <v>0</v>
      </c>
      <c r="G83" t="n">
        <f>fac_affected!F83</f>
        <v>141602.83625327001</v>
      </c>
    </row>
    <row r="84">
      <c r="B84" t="str">
        <f>fac_affected!B84</f>
        <v>2025</v>
      </c>
      <c r="C84" t="str">
        <f>fac_affected!C84</f>
        <v>pumps</v>
      </c>
      <c r="E84" t="str">
        <f>fac_affected!D84</f>
        <v>G&amp;B Pneumatic Pumps</v>
      </c>
      <c r="F84" t="n">
        <f>fac_affected!E84</f>
        <v>0</v>
      </c>
      <c r="G84" t="n">
        <f>fac_affected!F84</f>
        <v>165.84108118995701</v>
      </c>
    </row>
    <row r="85">
      <c r="B85" t="str">
        <f>fac_affected!B85</f>
        <v>2025</v>
      </c>
      <c r="C85" t="str">
        <f>fac_affected!C85</f>
        <v>pumps</v>
      </c>
      <c r="E85" t="str">
        <f>fac_affected!D85</f>
        <v>Well Pad Pumps</v>
      </c>
      <c r="F85" t="n">
        <f>fac_affected!E85</f>
        <v>0</v>
      </c>
      <c r="G85" t="n">
        <f>fac_affected!F85</f>
        <v>7422.06945544474</v>
      </c>
    </row>
    <row r="86">
      <c r="B86" t="str">
        <f>fac_affected!B86</f>
        <v>2025</v>
      </c>
      <c r="C86" t="str">
        <f>fac_affected!C86</f>
        <v>Storage vessels</v>
      </c>
      <c r="E86" t="n">
        <f>fac_affected!D86</f>
        <v>0</v>
      </c>
      <c r="F86" t="n">
        <f>fac_affected!E86</f>
        <v>0</v>
      </c>
      <c r="G86" t="n">
        <f>fac_affected!F86</f>
        <v>4494.4275012245398</v>
      </c>
    </row>
    <row r="87">
      <c r="B87" t="str">
        <f>fac_affected!B87</f>
        <v>2026</v>
      </c>
      <c r="C87" t="str">
        <f>fac_affected!C87</f>
        <v>fugitives</v>
      </c>
      <c r="E87" t="str">
        <f>fac_affected!D87</f>
        <v>G&amp;B Stations</v>
      </c>
      <c r="F87" t="n">
        <f>fac_affected!E87</f>
        <v>0</v>
      </c>
      <c r="G87" t="n">
        <f>fac_affected!F87</f>
        <v>5245.9084969671703</v>
      </c>
    </row>
    <row r="88">
      <c r="B88" t="str">
        <f>fac_affected!B88</f>
        <v>2026</v>
      </c>
      <c r="C88" t="str">
        <f>fac_affected!C88</f>
        <v>fugitives</v>
      </c>
      <c r="E88" t="str">
        <f>fac_affected!D88</f>
        <v>Processing Plants</v>
      </c>
      <c r="F88" t="str">
        <f>fac_affected!E88</f>
        <v>Large Plants</v>
      </c>
      <c r="G88" t="n">
        <f>fac_affected!F88</f>
        <v>228.23628415933101</v>
      </c>
    </row>
    <row r="89">
      <c r="B89" t="str">
        <f>fac_affected!B89</f>
        <v>2026</v>
      </c>
      <c r="C89" t="str">
        <f>fac_affected!C89</f>
        <v>fugitives</v>
      </c>
      <c r="E89" t="str">
        <f>fac_affected!D89</f>
        <v>Processing Plants</v>
      </c>
      <c r="F89" t="str">
        <f>fac_affected!E89</f>
        <v>Small Plants</v>
      </c>
      <c r="G89" t="n">
        <f>fac_affected!F89</f>
        <v>947.28156876748994</v>
      </c>
    </row>
    <row r="90">
      <c r="B90" t="str">
        <f>fac_affected!B90</f>
        <v>2026</v>
      </c>
      <c r="C90" t="str">
        <f>fac_affected!C90</f>
        <v>fugitives</v>
      </c>
      <c r="E90" t="str">
        <f>fac_affected!D90</f>
        <v>T&amp;S Compressor Stations</v>
      </c>
      <c r="F90" t="str">
        <f>fac_affected!E90</f>
        <v>Compressor Stations (Transmission)</v>
      </c>
      <c r="G90" t="n">
        <f>fac_affected!F90</f>
        <v>1613.0287093883301</v>
      </c>
    </row>
    <row r="91">
      <c r="B91" t="str">
        <f>fac_affected!B91</f>
        <v>2026</v>
      </c>
      <c r="C91" t="str">
        <f>fac_affected!C91</f>
        <v>fugitives</v>
      </c>
      <c r="E91" t="str">
        <f>fac_affected!D91</f>
        <v>T&amp;S Compressor Stations</v>
      </c>
      <c r="F91" t="str">
        <f>fac_affected!E91</f>
        <v>Compressor Stations (Storage)</v>
      </c>
      <c r="G91" t="n">
        <f>fac_affected!F91</f>
        <v>295.59604880136402</v>
      </c>
    </row>
    <row r="92">
      <c r="B92" t="str">
        <f>fac_affected!B92</f>
        <v>2026</v>
      </c>
      <c r="C92" t="str">
        <f>fac_affected!C92</f>
        <v>fugitives</v>
      </c>
      <c r="E92" t="str">
        <f>fac_affected!D92</f>
        <v>Wellpad Fugitives</v>
      </c>
      <c r="F92" t="str">
        <f>fac_affected!E92</f>
        <v>1: No equipment, no tanks</v>
      </c>
      <c r="G92" t="n">
        <f>fac_affected!F92</f>
        <v>216999.15439594301</v>
      </c>
    </row>
    <row r="93">
      <c r="B93" t="str">
        <f>fac_affected!B93</f>
        <v>2026</v>
      </c>
      <c r="C93" t="str">
        <f>fac_affected!C93</f>
        <v>fugitives</v>
      </c>
      <c r="E93" t="str">
        <f>fac_affected!D93</f>
        <v>Wellpad Fugitives</v>
      </c>
      <c r="F93" t="str">
        <f>fac_affected!E93</f>
        <v>2: Tanks, no equipment</v>
      </c>
      <c r="G93" t="n">
        <f>fac_affected!F93</f>
        <v>34582.607256448297</v>
      </c>
    </row>
    <row r="94">
      <c r="B94" t="str">
        <f>fac_affected!B94</f>
        <v>2026</v>
      </c>
      <c r="C94" t="str">
        <f>fac_affected!C94</f>
        <v>fugitives</v>
      </c>
      <c r="E94" t="str">
        <f>fac_affected!D94</f>
        <v>Wellpad Fugitives</v>
      </c>
      <c r="F94" t="str">
        <f>fac_affected!E94</f>
        <v>3: Equipment = 1, no tanks</v>
      </c>
      <c r="G94" t="n">
        <f>fac_affected!F94</f>
        <v>28361.113910045799</v>
      </c>
    </row>
    <row r="95">
      <c r="B95" t="str">
        <f>fac_affected!B95</f>
        <v>2026</v>
      </c>
      <c r="C95" t="str">
        <f>fac_affected!C95</f>
        <v>fugitives</v>
      </c>
      <c r="E95" t="str">
        <f>fac_affected!D95</f>
        <v>Wellpad Fugitives</v>
      </c>
      <c r="F95" t="str">
        <f>fac_affected!E95</f>
        <v>4: Equipment &gt; 1, no tanks</v>
      </c>
      <c r="G95" t="n">
        <f>fac_affected!F95</f>
        <v>34458.220737028198</v>
      </c>
    </row>
    <row r="96">
      <c r="B96" t="str">
        <f>fac_affected!B96</f>
        <v>2026</v>
      </c>
      <c r="C96" t="str">
        <f>fac_affected!C96</f>
        <v>fugitives</v>
      </c>
      <c r="E96" t="str">
        <f>fac_affected!D96</f>
        <v>Wellpad Fugitives</v>
      </c>
      <c r="F96" t="str">
        <f>fac_affected!E96</f>
        <v>5: Equipment = 1 and tanks</v>
      </c>
      <c r="G96" t="n">
        <f>fac_affected!F96</f>
        <v>62818.1592028378</v>
      </c>
    </row>
    <row r="97">
      <c r="B97" t="str">
        <f>fac_affected!B97</f>
        <v>2026</v>
      </c>
      <c r="C97" t="str">
        <f>fac_affected!C97</f>
        <v>fugitives</v>
      </c>
      <c r="E97" t="str">
        <f>fac_affected!D97</f>
        <v>Wellpad Fugitives</v>
      </c>
      <c r="F97" t="str">
        <f>fac_affected!E97</f>
        <v>6: Equipment &gt; 1 and tanks</v>
      </c>
      <c r="G97" t="n">
        <f>fac_affected!F97</f>
        <v>145569.27531529701</v>
      </c>
    </row>
    <row r="98">
      <c r="B98" t="str">
        <f>fac_affected!B98</f>
        <v>2026</v>
      </c>
      <c r="C98" t="str">
        <f>fac_affected!C98</f>
        <v>compressors</v>
      </c>
      <c r="E98" t="str">
        <f>fac_affected!D98</f>
        <v>G&amp;B Station Recip Comp</v>
      </c>
      <c r="F98" t="n">
        <f>fac_affected!E98</f>
        <v>0</v>
      </c>
      <c r="G98" t="n">
        <f>fac_affected!F98</f>
        <v>23065.594156476702</v>
      </c>
    </row>
    <row r="99">
      <c r="B99" t="str">
        <f>fac_affected!B99</f>
        <v>2026</v>
      </c>
      <c r="C99" t="str">
        <f>fac_affected!C99</f>
        <v>compressors</v>
      </c>
      <c r="E99" t="str">
        <f>fac_affected!D99</f>
        <v>Proc Recip Comp</v>
      </c>
      <c r="F99" t="n">
        <f>fac_affected!E99</f>
        <v>0</v>
      </c>
      <c r="G99" t="n">
        <f>fac_affected!F99</f>
        <v>4055.8785989841299</v>
      </c>
    </row>
    <row r="100">
      <c r="B100" t="str">
        <f>fac_affected!B100</f>
        <v>2026</v>
      </c>
      <c r="C100" t="str">
        <f>fac_affected!C100</f>
        <v>compressors</v>
      </c>
      <c r="E100" t="str">
        <f>fac_affected!D100</f>
        <v>T&amp;S Recip Comp</v>
      </c>
      <c r="F100" t="str">
        <f>fac_affected!E100</f>
        <v>Reciprocating Compressors (Transmission)</v>
      </c>
      <c r="G100" t="n">
        <f>fac_affected!F100</f>
        <v>7905.1065984138804</v>
      </c>
    </row>
    <row r="101">
      <c r="B101" t="str">
        <f>fac_affected!B101</f>
        <v>2026</v>
      </c>
      <c r="C101" t="str">
        <f>fac_affected!C101</f>
        <v>compressors</v>
      </c>
      <c r="E101" t="str">
        <f>fac_affected!D101</f>
        <v>T&amp;S Recip Comp</v>
      </c>
      <c r="F101" t="str">
        <f>fac_affected!E101</f>
        <v>Reciprocating Compressors (Storage)</v>
      </c>
      <c r="G101" t="n">
        <f>fac_affected!F101</f>
        <v>1408.0886923450601</v>
      </c>
    </row>
    <row r="102">
      <c r="B102" t="str">
        <f>fac_affected!B102</f>
        <v>2026</v>
      </c>
      <c r="C102" t="str">
        <f>fac_affected!C102</f>
        <v>compressors</v>
      </c>
      <c r="E102" t="str">
        <f>fac_affected!D102</f>
        <v>Wet Seal Centrifugal Compr</v>
      </c>
      <c r="F102" t="str">
        <f>fac_affected!E102</f>
        <v>G&amp;B WS Centrifugal Comp</v>
      </c>
      <c r="G102" t="n">
        <f>fac_affected!F102</f>
        <v>307.00018657053403</v>
      </c>
    </row>
    <row r="103">
      <c r="B103" t="str">
        <f>fac_affected!B103</f>
        <v>2026</v>
      </c>
      <c r="C103" t="str">
        <f>fac_affected!C103</f>
        <v>compressors</v>
      </c>
      <c r="E103" t="str">
        <f>fac_affected!D103</f>
        <v>Wet Seal Centrifugal Compr</v>
      </c>
      <c r="F103" t="str">
        <f>fac_affected!E103</f>
        <v>Proc WS Centrifugal Comp</v>
      </c>
      <c r="G103" t="n">
        <f>fac_affected!F103</f>
        <v>289.80550714089401</v>
      </c>
    </row>
    <row r="104">
      <c r="B104" t="str">
        <f>fac_affected!B104</f>
        <v>2026</v>
      </c>
      <c r="C104" t="str">
        <f>fac_affected!C104</f>
        <v>compressors</v>
      </c>
      <c r="E104" t="str">
        <f>fac_affected!D104</f>
        <v>Wet Seal Centrifugal Compr</v>
      </c>
      <c r="F104" t="str">
        <f>fac_affected!E104</f>
        <v>T&amp;S WS Centrifugal Comp</v>
      </c>
      <c r="G104" t="n">
        <f>fac_affected!F104</f>
        <v>781.54828482145399</v>
      </c>
    </row>
    <row r="105">
      <c r="B105" t="str">
        <f>fac_affected!B105</f>
        <v>2026</v>
      </c>
      <c r="C105" t="str">
        <f>fac_affected!C105</f>
        <v>compressors</v>
      </c>
      <c r="E105" t="str">
        <f>fac_affected!D105</f>
        <v>Dry Seal Centrifugal Compr</v>
      </c>
      <c r="F105" t="str">
        <f>fac_affected!E105</f>
        <v>G&amp;B DS Centrifugal Comp</v>
      </c>
      <c r="G105" t="n">
        <f>fac_affected!F105</f>
        <v>477.350144957287</v>
      </c>
    </row>
    <row r="106">
      <c r="B106" t="str">
        <f>fac_affected!B106</f>
        <v>2026</v>
      </c>
      <c r="C106" t="str">
        <f>fac_affected!C106</f>
        <v>compressors</v>
      </c>
      <c r="E106" t="str">
        <f>fac_affected!D106</f>
        <v>Dry Seal Centrifugal Compr</v>
      </c>
      <c r="F106" t="str">
        <f>fac_affected!E106</f>
        <v>Proc DS Centrifugal Comp</v>
      </c>
      <c r="G106" t="n">
        <f>fac_affected!F106</f>
        <v>396.85359991419398</v>
      </c>
    </row>
    <row r="107">
      <c r="B107" t="str">
        <f>fac_affected!B107</f>
        <v>2026</v>
      </c>
      <c r="C107" t="str">
        <f>fac_affected!C107</f>
        <v>compressors</v>
      </c>
      <c r="E107" t="str">
        <f>fac_affected!D107</f>
        <v>Dry Seal Centrifugal Compr</v>
      </c>
      <c r="F107" t="str">
        <f>fac_affected!E107</f>
        <v>T&amp;S DS Centrifugal Comp</v>
      </c>
      <c r="G107" t="n">
        <f>fac_affected!F107</f>
        <v>2544.8884616544601</v>
      </c>
    </row>
    <row r="108">
      <c r="B108" t="str">
        <f>fac_affected!B108</f>
        <v>2026</v>
      </c>
      <c r="C108" t="str">
        <f>fac_affected!C108</f>
        <v>liquids_unloading</v>
      </c>
      <c r="E108" t="n">
        <f>fac_affected!D108</f>
        <v>0</v>
      </c>
      <c r="F108" t="n">
        <f>fac_affected!E108</f>
        <v>0</v>
      </c>
      <c r="G108" t="n">
        <f>fac_affected!F108</f>
        <v>262041.57943175401</v>
      </c>
    </row>
    <row r="109">
      <c r="B109" t="str">
        <f>fac_affected!B109</f>
        <v>2026</v>
      </c>
      <c r="C109" t="str">
        <f>fac_affected!C109</f>
        <v>pneucontr</v>
      </c>
      <c r="E109" t="str">
        <f>fac_affected!D109</f>
        <v>G&amp;B Pneumatic Controllers</v>
      </c>
      <c r="F109" t="n">
        <f>fac_affected!E109</f>
        <v>0</v>
      </c>
      <c r="G109" t="n">
        <f>fac_affected!F109</f>
        <v>3870.5623775232798</v>
      </c>
    </row>
    <row r="110">
      <c r="B110" t="str">
        <f>fac_affected!B110</f>
        <v>2026</v>
      </c>
      <c r="C110" t="str">
        <f>fac_affected!C110</f>
        <v>pneucontr</v>
      </c>
      <c r="E110" t="str">
        <f>fac_affected!D110</f>
        <v>T&amp;S Pneumatic Controllers</v>
      </c>
      <c r="F110" t="n">
        <f>fac_affected!E110</f>
        <v>0</v>
      </c>
      <c r="G110" t="n">
        <f>fac_affected!F110</f>
        <v>37263.495552066997</v>
      </c>
    </row>
    <row r="111">
      <c r="B111" t="str">
        <f>fac_affected!B111</f>
        <v>2026</v>
      </c>
      <c r="C111" t="str">
        <f>fac_affected!C111</f>
        <v>pneucontr</v>
      </c>
      <c r="E111" t="str">
        <f>fac_affected!D111</f>
        <v>Well Pad Pneumatic Controllers</v>
      </c>
      <c r="F111" t="n">
        <f>fac_affected!E111</f>
        <v>0</v>
      </c>
      <c r="G111" t="n">
        <f>fac_affected!F111</f>
        <v>1307863.9611482299</v>
      </c>
    </row>
    <row r="112">
      <c r="B112" t="str">
        <f>fac_affected!B112</f>
        <v>2026</v>
      </c>
      <c r="C112" t="str">
        <f>fac_affected!C112</f>
        <v>pumps</v>
      </c>
      <c r="E112" t="str">
        <f>fac_affected!D112</f>
        <v>G&amp;B Pneumatic Pumps</v>
      </c>
      <c r="F112" t="n">
        <f>fac_affected!E112</f>
        <v>0</v>
      </c>
      <c r="G112" t="n">
        <f>fac_affected!F112</f>
        <v>414.602702974892</v>
      </c>
    </row>
    <row r="113">
      <c r="B113" t="str">
        <f>fac_affected!B113</f>
        <v>2026</v>
      </c>
      <c r="C113" t="str">
        <f>fac_affected!C113</f>
        <v>pumps</v>
      </c>
      <c r="E113" t="str">
        <f>fac_affected!D113</f>
        <v>Well Pad Pumps</v>
      </c>
      <c r="F113" t="n">
        <f>fac_affected!E113</f>
        <v>0</v>
      </c>
      <c r="G113" t="n">
        <f>fac_affected!F113</f>
        <v>102780.948563408</v>
      </c>
    </row>
    <row r="114">
      <c r="B114" t="str">
        <f>fac_affected!B114</f>
        <v>2026</v>
      </c>
      <c r="C114" t="str">
        <f>fac_affected!C114</f>
        <v>Storage vessels</v>
      </c>
      <c r="E114" t="n">
        <f>fac_affected!D114</f>
        <v>0</v>
      </c>
      <c r="F114" t="n">
        <f>fac_affected!E114</f>
        <v>0</v>
      </c>
      <c r="G114" t="n">
        <f>fac_affected!F114</f>
        <v>5767.0937995410504</v>
      </c>
    </row>
    <row r="115">
      <c r="B115" t="str">
        <f>fac_affected!B115</f>
        <v>2027</v>
      </c>
      <c r="C115" t="str">
        <f>fac_affected!C115</f>
        <v>fugitives</v>
      </c>
      <c r="E115" t="str">
        <f>fac_affected!D115</f>
        <v>G&amp;B Stations</v>
      </c>
      <c r="F115" t="n">
        <f>fac_affected!E115</f>
        <v>0</v>
      </c>
      <c r="G115" t="n">
        <f>fac_affected!F115</f>
        <v>5205.2294633003403</v>
      </c>
    </row>
    <row r="116">
      <c r="B116" t="str">
        <f>fac_affected!B116</f>
        <v>2027</v>
      </c>
      <c r="C116" t="str">
        <f>fac_affected!C116</f>
        <v>fugitives</v>
      </c>
      <c r="E116" t="str">
        <f>fac_affected!D116</f>
        <v>Processing Plants</v>
      </c>
      <c r="F116" t="str">
        <f>fac_affected!E116</f>
        <v>Large Plants</v>
      </c>
      <c r="G116" t="n">
        <f>fac_affected!F116</f>
        <v>228.672114680428</v>
      </c>
    </row>
    <row r="117">
      <c r="B117" t="str">
        <f>fac_affected!B117</f>
        <v>2027</v>
      </c>
      <c r="C117" t="str">
        <f>fac_affected!C117</f>
        <v>fugitives</v>
      </c>
      <c r="E117" t="str">
        <f>fac_affected!D117</f>
        <v>Processing Plants</v>
      </c>
      <c r="F117" t="str">
        <f>fac_affected!E117</f>
        <v>Small Plants</v>
      </c>
      <c r="G117" t="n">
        <f>fac_affected!F117</f>
        <v>949.09045827540297</v>
      </c>
    </row>
    <row r="118">
      <c r="B118" t="str">
        <f>fac_affected!B118</f>
        <v>2027</v>
      </c>
      <c r="C118" t="str">
        <f>fac_affected!C118</f>
        <v>fugitives</v>
      </c>
      <c r="E118" t="str">
        <f>fac_affected!D118</f>
        <v>T&amp;S Compressor Stations</v>
      </c>
      <c r="F118" t="str">
        <f>fac_affected!E118</f>
        <v>Compressor Stations (Transmission)</v>
      </c>
      <c r="G118" t="n">
        <f>fac_affected!F118</f>
        <v>1600.9032213984499</v>
      </c>
    </row>
    <row r="119">
      <c r="B119" t="str">
        <f>fac_affected!B119</f>
        <v>2027</v>
      </c>
      <c r="C119" t="str">
        <f>fac_affected!C119</f>
        <v>fugitives</v>
      </c>
      <c r="E119" t="str">
        <f>fac_affected!D119</f>
        <v>T&amp;S Compressor Stations</v>
      </c>
      <c r="F119" t="str">
        <f>fac_affected!E119</f>
        <v>Compressor Stations (Storage)</v>
      </c>
      <c r="G119" t="n">
        <f>fac_affected!F119</f>
        <v>292.72140387058897</v>
      </c>
    </row>
    <row r="120">
      <c r="B120" t="str">
        <f>fac_affected!B120</f>
        <v>2027</v>
      </c>
      <c r="C120" t="str">
        <f>fac_affected!C120</f>
        <v>fugitives</v>
      </c>
      <c r="E120" t="str">
        <f>fac_affected!D120</f>
        <v>Wellpad Fugitives</v>
      </c>
      <c r="F120" t="str">
        <f>fac_affected!E120</f>
        <v>1: No equipment, no tanks</v>
      </c>
      <c r="G120" t="n">
        <f>fac_affected!F120</f>
        <v>210232.05698513699</v>
      </c>
    </row>
    <row r="121">
      <c r="B121" t="str">
        <f>fac_affected!B121</f>
        <v>2027</v>
      </c>
      <c r="C121" t="str">
        <f>fac_affected!C121</f>
        <v>fugitives</v>
      </c>
      <c r="E121" t="str">
        <f>fac_affected!D121</f>
        <v>Wellpad Fugitives</v>
      </c>
      <c r="F121" t="str">
        <f>fac_affected!E121</f>
        <v>2: Tanks, no equipment</v>
      </c>
      <c r="G121" t="n">
        <f>fac_affected!F121</f>
        <v>33511.694521037403</v>
      </c>
    </row>
    <row r="122">
      <c r="B122" t="str">
        <f>fac_affected!B122</f>
        <v>2027</v>
      </c>
      <c r="C122" t="str">
        <f>fac_affected!C122</f>
        <v>fugitives</v>
      </c>
      <c r="E122" t="str">
        <f>fac_affected!D122</f>
        <v>Wellpad Fugitives</v>
      </c>
      <c r="F122" t="str">
        <f>fac_affected!E122</f>
        <v>3: Equipment = 1, no tanks</v>
      </c>
      <c r="G122" t="n">
        <f>fac_affected!F122</f>
        <v>27552.587077000499</v>
      </c>
    </row>
    <row r="123">
      <c r="B123" t="str">
        <f>fac_affected!B123</f>
        <v>2027</v>
      </c>
      <c r="C123" t="str">
        <f>fac_affected!C123</f>
        <v>fugitives</v>
      </c>
      <c r="E123" t="str">
        <f>fac_affected!D123</f>
        <v>Wellpad Fugitives</v>
      </c>
      <c r="F123" t="str">
        <f>fac_affected!E123</f>
        <v>4: Equipment &gt; 1, no tanks</v>
      </c>
      <c r="G123" t="n">
        <f>fac_affected!F123</f>
        <v>34312.881017362401</v>
      </c>
    </row>
    <row r="124">
      <c r="B124" t="str">
        <f>fac_affected!B124</f>
        <v>2027</v>
      </c>
      <c r="C124" t="str">
        <f>fac_affected!C124</f>
        <v>fugitives</v>
      </c>
      <c r="E124" t="str">
        <f>fac_affected!D124</f>
        <v>Wellpad Fugitives</v>
      </c>
      <c r="F124" t="str">
        <f>fac_affected!E124</f>
        <v>5: Equipment = 1 and tanks</v>
      </c>
      <c r="G124" t="n">
        <f>fac_affected!F124</f>
        <v>61098.463802681101</v>
      </c>
    </row>
    <row r="125">
      <c r="B125" t="str">
        <f>fac_affected!B125</f>
        <v>2027</v>
      </c>
      <c r="C125" t="str">
        <f>fac_affected!C125</f>
        <v>fugitives</v>
      </c>
      <c r="E125" t="str">
        <f>fac_affected!D125</f>
        <v>Wellpad Fugitives</v>
      </c>
      <c r="F125" t="str">
        <f>fac_affected!E125</f>
        <v>6: Equipment &gt; 1 and tanks</v>
      </c>
      <c r="G125" t="n">
        <f>fac_affected!F125</f>
        <v>145579.66634233299</v>
      </c>
    </row>
    <row r="126">
      <c r="B126" t="str">
        <f>fac_affected!B126</f>
        <v>2027</v>
      </c>
      <c r="C126" t="str">
        <f>fac_affected!C126</f>
        <v>compressors</v>
      </c>
      <c r="E126" t="str">
        <f>fac_affected!D126</f>
        <v>G&amp;B Station Recip Comp</v>
      </c>
      <c r="F126" t="n">
        <f>fac_affected!E126</f>
        <v>0</v>
      </c>
      <c r="G126" t="n">
        <f>fac_affected!F126</f>
        <v>23974.011973250799</v>
      </c>
    </row>
    <row r="127">
      <c r="B127" t="str">
        <f>fac_affected!B127</f>
        <v>2027</v>
      </c>
      <c r="C127" t="str">
        <f>fac_affected!C127</f>
        <v>compressors</v>
      </c>
      <c r="E127" t="str">
        <f>fac_affected!D127</f>
        <v>Proc Recip Comp</v>
      </c>
      <c r="F127" t="n">
        <f>fac_affected!E127</f>
        <v>0</v>
      </c>
      <c r="G127" t="n">
        <f>fac_affected!F127</f>
        <v>4067.4254790457398</v>
      </c>
    </row>
    <row r="128">
      <c r="B128" t="str">
        <f>fac_affected!B128</f>
        <v>2027</v>
      </c>
      <c r="C128" t="str">
        <f>fac_affected!C128</f>
        <v>compressors</v>
      </c>
      <c r="E128" t="str">
        <f>fac_affected!D128</f>
        <v>T&amp;S Recip Comp</v>
      </c>
      <c r="F128" t="str">
        <f>fac_affected!E128</f>
        <v>Reciprocating Compressors (Transmission)</v>
      </c>
      <c r="G128" t="n">
        <f>fac_affected!F128</f>
        <v>8155.5728825088499</v>
      </c>
    </row>
    <row r="129">
      <c r="B129" t="str">
        <f>fac_affected!B129</f>
        <v>2027</v>
      </c>
      <c r="C129" t="str">
        <f>fac_affected!C129</f>
        <v>compressors</v>
      </c>
      <c r="E129" t="str">
        <f>fac_affected!D129</f>
        <v>T&amp;S Recip Comp</v>
      </c>
      <c r="F129" t="str">
        <f>fac_affected!E129</f>
        <v>Reciprocating Compressors (Storage)</v>
      </c>
      <c r="G129" t="n">
        <f>fac_affected!F129</f>
        <v>1405.6701901807401</v>
      </c>
    </row>
    <row r="130">
      <c r="B130" t="str">
        <f>fac_affected!B130</f>
        <v>2027</v>
      </c>
      <c r="C130" t="str">
        <f>fac_affected!C130</f>
        <v>compressors</v>
      </c>
      <c r="E130" t="str">
        <f>fac_affected!D130</f>
        <v>Wet Seal Centrifugal Compr</v>
      </c>
      <c r="F130" t="str">
        <f>fac_affected!E130</f>
        <v>G&amp;B WS Centrifugal Comp</v>
      </c>
      <c r="G130" t="n">
        <f>fac_affected!F130</f>
        <v>319.09111461434202</v>
      </c>
    </row>
    <row r="131">
      <c r="B131" t="str">
        <f>fac_affected!B131</f>
        <v>2027</v>
      </c>
      <c r="C131" t="str">
        <f>fac_affected!C131</f>
        <v>compressors</v>
      </c>
      <c r="E131" t="str">
        <f>fac_affected!D131</f>
        <v>Wet Seal Centrifugal Compr</v>
      </c>
      <c r="F131" t="str">
        <f>fac_affected!E131</f>
        <v>Proc WS Centrifugal Comp</v>
      </c>
      <c r="G131" t="n">
        <f>fac_affected!F131</f>
        <v>286.90745206948498</v>
      </c>
    </row>
    <row r="132">
      <c r="B132" t="str">
        <f>fac_affected!B132</f>
        <v>2027</v>
      </c>
      <c r="C132" t="str">
        <f>fac_affected!C132</f>
        <v>compressors</v>
      </c>
      <c r="E132" t="str">
        <f>fac_affected!D132</f>
        <v>Wet Seal Centrifugal Compr</v>
      </c>
      <c r="F132" t="str">
        <f>fac_affected!E132</f>
        <v>T&amp;S WS Centrifugal Comp</v>
      </c>
      <c r="G132" t="n">
        <f>fac_affected!F132</f>
        <v>775.67321620924997</v>
      </c>
    </row>
    <row r="133">
      <c r="B133" t="str">
        <f>fac_affected!B133</f>
        <v>2027</v>
      </c>
      <c r="C133" t="str">
        <f>fac_affected!C133</f>
        <v>compressors</v>
      </c>
      <c r="E133" t="str">
        <f>fac_affected!D133</f>
        <v>Dry Seal Centrifugal Compr</v>
      </c>
      <c r="F133" t="str">
        <f>fac_affected!E133</f>
        <v>G&amp;B DS Centrifugal Comp</v>
      </c>
      <c r="G133" t="n">
        <f>fac_affected!F133</f>
        <v>495.83065001358301</v>
      </c>
    </row>
    <row r="134">
      <c r="B134" t="str">
        <f>fac_affected!B134</f>
        <v>2027</v>
      </c>
      <c r="C134" t="str">
        <f>fac_affected!C134</f>
        <v>compressors</v>
      </c>
      <c r="E134" t="str">
        <f>fac_affected!D134</f>
        <v>Dry Seal Centrifugal Compr</v>
      </c>
      <c r="F134" t="str">
        <f>fac_affected!E134</f>
        <v>Proc DS Centrifugal Comp</v>
      </c>
      <c r="G134" t="n">
        <f>fac_affected!F134</f>
        <v>401.59067058858602</v>
      </c>
    </row>
    <row r="135">
      <c r="B135" t="str">
        <f>fac_affected!B135</f>
        <v>2027</v>
      </c>
      <c r="C135" t="str">
        <f>fac_affected!C135</f>
        <v>compressors</v>
      </c>
      <c r="E135" t="str">
        <f>fac_affected!D135</f>
        <v>Dry Seal Centrifugal Compr</v>
      </c>
      <c r="F135" t="str">
        <f>fac_affected!E135</f>
        <v>T&amp;S DS Centrifugal Comp</v>
      </c>
      <c r="G135" t="n">
        <f>fac_affected!F135</f>
        <v>2656.6109426810099</v>
      </c>
    </row>
    <row r="136">
      <c r="B136" t="str">
        <f>fac_affected!B136</f>
        <v>2027</v>
      </c>
      <c r="C136" t="str">
        <f>fac_affected!C136</f>
        <v>liquids_unloading</v>
      </c>
      <c r="E136" t="n">
        <f>fac_affected!D136</f>
        <v>0</v>
      </c>
      <c r="F136" t="n">
        <f>fac_affected!E136</f>
        <v>0</v>
      </c>
      <c r="G136" t="n">
        <f>fac_affected!F136</f>
        <v>259482.74391989</v>
      </c>
    </row>
    <row r="137">
      <c r="B137" t="str">
        <f>fac_affected!B137</f>
        <v>2027</v>
      </c>
      <c r="C137" t="str">
        <f>fac_affected!C137</f>
        <v>pneucontr</v>
      </c>
      <c r="E137" t="str">
        <f>fac_affected!D137</f>
        <v>G&amp;B Pneumatic Controllers</v>
      </c>
      <c r="F137" t="n">
        <f>fac_affected!E137</f>
        <v>0</v>
      </c>
      <c r="G137" t="n">
        <f>fac_affected!F137</f>
        <v>4257.61861527561</v>
      </c>
    </row>
    <row r="138">
      <c r="B138" t="str">
        <f>fac_affected!B138</f>
        <v>2027</v>
      </c>
      <c r="C138" t="str">
        <f>fac_affected!C138</f>
        <v>pneucontr</v>
      </c>
      <c r="E138" t="str">
        <f>fac_affected!D138</f>
        <v>T&amp;S Pneumatic Controllers</v>
      </c>
      <c r="F138" t="n">
        <f>fac_affected!E138</f>
        <v>0</v>
      </c>
      <c r="G138" t="n">
        <f>fac_affected!F138</f>
        <v>40989.845107273701</v>
      </c>
    </row>
    <row r="139">
      <c r="B139" t="str">
        <f>fac_affected!B139</f>
        <v>2027</v>
      </c>
      <c r="C139" t="str">
        <f>fac_affected!C139</f>
        <v>pneucontr</v>
      </c>
      <c r="E139" t="str">
        <f>fac_affected!D139</f>
        <v>Well Pad Pneumatic Controllers</v>
      </c>
      <c r="F139" t="n">
        <f>fac_affected!E139</f>
        <v>0</v>
      </c>
      <c r="G139" t="n">
        <f>fac_affected!F139</f>
        <v>1309158.06089255</v>
      </c>
    </row>
    <row r="140">
      <c r="B140" t="str">
        <f>fac_affected!B140</f>
        <v>2027</v>
      </c>
      <c r="C140" t="str">
        <f>fac_affected!C140</f>
        <v>pumps</v>
      </c>
      <c r="E140" t="str">
        <f>fac_affected!D140</f>
        <v>G&amp;B Pneumatic Pumps</v>
      </c>
      <c r="F140" t="n">
        <f>fac_affected!E140</f>
        <v>0</v>
      </c>
      <c r="G140" t="n">
        <f>fac_affected!F140</f>
        <v>456.06297327238099</v>
      </c>
    </row>
    <row r="141">
      <c r="B141" t="str">
        <f>fac_affected!B141</f>
        <v>2027</v>
      </c>
      <c r="C141" t="str">
        <f>fac_affected!C141</f>
        <v>pumps</v>
      </c>
      <c r="E141" t="str">
        <f>fac_affected!D141</f>
        <v>Well Pad Pumps</v>
      </c>
      <c r="F141" t="n">
        <f>fac_affected!E141</f>
        <v>0</v>
      </c>
      <c r="G141" t="n">
        <f>fac_affected!F141</f>
        <v>101690.098879379</v>
      </c>
    </row>
    <row r="142">
      <c r="B142" t="str">
        <f>fac_affected!B142</f>
        <v>2027</v>
      </c>
      <c r="C142" t="str">
        <f>fac_affected!C142</f>
        <v>Storage vessels</v>
      </c>
      <c r="E142" t="n">
        <f>fac_affected!D142</f>
        <v>0</v>
      </c>
      <c r="F142" t="n">
        <f>fac_affected!E142</f>
        <v>0</v>
      </c>
      <c r="G142" t="n">
        <f>fac_affected!F142</f>
        <v>7028.6037374153102</v>
      </c>
    </row>
    <row r="143">
      <c r="B143" t="str">
        <f>fac_affected!B143</f>
        <v>2028</v>
      </c>
      <c r="C143" t="str">
        <f>fac_affected!C143</f>
        <v>fugitives</v>
      </c>
      <c r="E143" t="str">
        <f>fac_affected!D143</f>
        <v>G&amp;B Stations</v>
      </c>
      <c r="F143" t="n">
        <f>fac_affected!E143</f>
        <v>0</v>
      </c>
      <c r="G143" t="n">
        <f>fac_affected!F143</f>
        <v>5164.9572199701797</v>
      </c>
    </row>
    <row r="144">
      <c r="B144" t="str">
        <f>fac_affected!B144</f>
        <v>2028</v>
      </c>
      <c r="C144" t="str">
        <f>fac_affected!C144</f>
        <v>fugitives</v>
      </c>
      <c r="E144" t="str">
        <f>fac_affected!D144</f>
        <v>Processing Plants</v>
      </c>
      <c r="F144" t="str">
        <f>fac_affected!E144</f>
        <v>Large Plants</v>
      </c>
      <c r="G144" t="n">
        <f>fac_affected!F144</f>
        <v>229.12549962060299</v>
      </c>
    </row>
    <row r="145">
      <c r="B145" t="str">
        <f>fac_affected!B145</f>
        <v>2028</v>
      </c>
      <c r="C145" t="str">
        <f>fac_affected!C145</f>
        <v>fugitives</v>
      </c>
      <c r="E145" t="str">
        <f>fac_affected!D145</f>
        <v>Processing Plants</v>
      </c>
      <c r="F145" t="str">
        <f>fac_affected!E145</f>
        <v>Small Plants</v>
      </c>
      <c r="G145" t="n">
        <f>fac_affected!F145</f>
        <v>950.97220638993497</v>
      </c>
    </row>
    <row r="146">
      <c r="B146" t="str">
        <f>fac_affected!B146</f>
        <v>2028</v>
      </c>
      <c r="C146" t="str">
        <f>fac_affected!C146</f>
        <v>fugitives</v>
      </c>
      <c r="E146" t="str">
        <f>fac_affected!D146</f>
        <v>T&amp;S Compressor Stations</v>
      </c>
      <c r="F146" t="str">
        <f>fac_affected!E146</f>
        <v>Compressor Stations (Transmission)</v>
      </c>
      <c r="G146" t="n">
        <f>fac_affected!F146</f>
        <v>1588.89898828848</v>
      </c>
    </row>
    <row r="147">
      <c r="B147" t="str">
        <f>fac_affected!B147</f>
        <v>2028</v>
      </c>
      <c r="C147" t="str">
        <f>fac_affected!C147</f>
        <v>fugitives</v>
      </c>
      <c r="E147" t="str">
        <f>fac_affected!D147</f>
        <v>T&amp;S Compressor Stations</v>
      </c>
      <c r="F147" t="str">
        <f>fac_affected!E147</f>
        <v>Compressor Stations (Storage)</v>
      </c>
      <c r="G147" t="n">
        <f>fac_affected!F147</f>
        <v>289.875505389122</v>
      </c>
    </row>
    <row r="148">
      <c r="B148" t="str">
        <f>fac_affected!B148</f>
        <v>2028</v>
      </c>
      <c r="C148" t="str">
        <f>fac_affected!C148</f>
        <v>fugitives</v>
      </c>
      <c r="E148" t="str">
        <f>fac_affected!D148</f>
        <v>Wellpad Fugitives</v>
      </c>
      <c r="F148" t="str">
        <f>fac_affected!E148</f>
        <v>1: No equipment, no tanks</v>
      </c>
      <c r="G148" t="n">
        <f>fac_affected!F148</f>
        <v>203747.71458556101</v>
      </c>
    </row>
    <row r="149">
      <c r="B149" t="str">
        <f>fac_affected!B149</f>
        <v>2028</v>
      </c>
      <c r="C149" t="str">
        <f>fac_affected!C149</f>
        <v>fugitives</v>
      </c>
      <c r="E149" t="str">
        <f>fac_affected!D149</f>
        <v>Wellpad Fugitives</v>
      </c>
      <c r="F149" t="str">
        <f>fac_affected!E149</f>
        <v>2: Tanks, no equipment</v>
      </c>
      <c r="G149" t="n">
        <f>fac_affected!F149</f>
        <v>32489.595383740099</v>
      </c>
    </row>
    <row r="150">
      <c r="B150" t="str">
        <f>fac_affected!B150</f>
        <v>2028</v>
      </c>
      <c r="C150" t="str">
        <f>fac_affected!C150</f>
        <v>fugitives</v>
      </c>
      <c r="E150" t="str">
        <f>fac_affected!D150</f>
        <v>Wellpad Fugitives</v>
      </c>
      <c r="F150" t="str">
        <f>fac_affected!E150</f>
        <v>3: Equipment = 1, no tanks</v>
      </c>
      <c r="G150" t="n">
        <f>fac_affected!F150</f>
        <v>26764.010731801402</v>
      </c>
    </row>
    <row r="151">
      <c r="B151" t="str">
        <f>fac_affected!B151</f>
        <v>2028</v>
      </c>
      <c r="C151" t="str">
        <f>fac_affected!C151</f>
        <v>fugitives</v>
      </c>
      <c r="E151" t="str">
        <f>fac_affected!D151</f>
        <v>Wellpad Fugitives</v>
      </c>
      <c r="F151" t="str">
        <f>fac_affected!E151</f>
        <v>4: Equipment &gt; 1, no tanks</v>
      </c>
      <c r="G151" t="n">
        <f>fac_affected!F151</f>
        <v>34195.098011694601</v>
      </c>
    </row>
    <row r="152">
      <c r="B152" t="str">
        <f>fac_affected!B152</f>
        <v>2028</v>
      </c>
      <c r="C152" t="str">
        <f>fac_affected!C152</f>
        <v>fugitives</v>
      </c>
      <c r="E152" t="str">
        <f>fac_affected!D152</f>
        <v>Wellpad Fugitives</v>
      </c>
      <c r="F152" t="str">
        <f>fac_affected!E152</f>
        <v>5: Equipment = 1 and tanks</v>
      </c>
      <c r="G152" t="n">
        <f>fac_affected!F152</f>
        <v>59437.459431183197</v>
      </c>
    </row>
    <row r="153">
      <c r="B153" t="str">
        <f>fac_affected!B153</f>
        <v>2028</v>
      </c>
      <c r="C153" t="str">
        <f>fac_affected!C153</f>
        <v>fugitives</v>
      </c>
      <c r="E153" t="str">
        <f>fac_affected!D153</f>
        <v>Wellpad Fugitives</v>
      </c>
      <c r="F153" t="str">
        <f>fac_affected!E153</f>
        <v>6: Equipment &gt; 1 and tanks</v>
      </c>
      <c r="G153" t="n">
        <f>fac_affected!F153</f>
        <v>145741.147988226</v>
      </c>
    </row>
    <row r="154">
      <c r="B154" t="str">
        <f>fac_affected!B154</f>
        <v>2028</v>
      </c>
      <c r="C154" t="str">
        <f>fac_affected!C154</f>
        <v>compressors</v>
      </c>
      <c r="E154" t="str">
        <f>fac_affected!D154</f>
        <v>G&amp;B Station Recip Comp</v>
      </c>
      <c r="F154" t="n">
        <f>fac_affected!E154</f>
        <v>0</v>
      </c>
      <c r="G154" t="n">
        <f>fac_affected!F154</f>
        <v>24883.3572950462</v>
      </c>
    </row>
    <row r="155">
      <c r="B155" t="str">
        <f>fac_affected!B155</f>
        <v>2028</v>
      </c>
      <c r="C155" t="str">
        <f>fac_affected!C155</f>
        <v>compressors</v>
      </c>
      <c r="E155" t="str">
        <f>fac_affected!D155</f>
        <v>Proc Recip Comp</v>
      </c>
      <c r="F155" t="n">
        <f>fac_affected!E155</f>
        <v>0</v>
      </c>
      <c r="G155" t="n">
        <f>fac_affected!F155</f>
        <v>4079.27694029647</v>
      </c>
    </row>
    <row r="156">
      <c r="B156" t="str">
        <f>fac_affected!B156</f>
        <v>2028</v>
      </c>
      <c r="C156" t="str">
        <f>fac_affected!C156</f>
        <v>compressors</v>
      </c>
      <c r="E156" t="str">
        <f>fac_affected!D156</f>
        <v>T&amp;S Recip Comp</v>
      </c>
      <c r="F156" t="str">
        <f>fac_affected!E156</f>
        <v>Reciprocating Compressors (Transmission)</v>
      </c>
      <c r="G156" t="n">
        <f>fac_affected!F156</f>
        <v>8406.3967345460405</v>
      </c>
    </row>
    <row r="157">
      <c r="B157" t="str">
        <f>fac_affected!B157</f>
        <v>2028</v>
      </c>
      <c r="C157" t="str">
        <f>fac_affected!C157</f>
        <v>compressors</v>
      </c>
      <c r="E157" t="str">
        <f>fac_affected!D157</f>
        <v>T&amp;S Recip Comp</v>
      </c>
      <c r="F157" t="str">
        <f>fac_affected!E157</f>
        <v>Reciprocating Compressors (Storage)</v>
      </c>
      <c r="G157" t="n">
        <f>fac_affected!F157</f>
        <v>1403.37772758354</v>
      </c>
    </row>
    <row r="158">
      <c r="B158" t="str">
        <f>fac_affected!B158</f>
        <v>2028</v>
      </c>
      <c r="C158" t="str">
        <f>fac_affected!C158</f>
        <v>compressors</v>
      </c>
      <c r="E158" t="str">
        <f>fac_affected!D158</f>
        <v>Wet Seal Centrifugal Compr</v>
      </c>
      <c r="F158" t="str">
        <f>fac_affected!E158</f>
        <v>G&amp;B WS Centrifugal Comp</v>
      </c>
      <c r="G158" t="n">
        <f>fac_affected!F158</f>
        <v>331.19438763451001</v>
      </c>
    </row>
    <row r="159">
      <c r="B159" t="str">
        <f>fac_affected!B159</f>
        <v>2028</v>
      </c>
      <c r="C159" t="str">
        <f>fac_affected!C159</f>
        <v>compressors</v>
      </c>
      <c r="E159" t="str">
        <f>fac_affected!D159</f>
        <v>Wet Seal Centrifugal Compr</v>
      </c>
      <c r="F159" t="str">
        <f>fac_affected!E159</f>
        <v>Proc WS Centrifugal Comp</v>
      </c>
      <c r="G159" t="n">
        <f>fac_affected!F159</f>
        <v>284.03837754878998</v>
      </c>
    </row>
    <row r="160">
      <c r="B160" t="str">
        <f>fac_affected!B160</f>
        <v>2028</v>
      </c>
      <c r="C160" t="str">
        <f>fac_affected!C160</f>
        <v>compressors</v>
      </c>
      <c r="E160" t="str">
        <f>fac_affected!D160</f>
        <v>Wet Seal Centrifugal Compr</v>
      </c>
      <c r="F160" t="str">
        <f>fac_affected!E160</f>
        <v>T&amp;S WS Centrifugal Comp</v>
      </c>
      <c r="G160" t="n">
        <f>fac_affected!F160</f>
        <v>769.85689828316902</v>
      </c>
    </row>
    <row r="161">
      <c r="B161" t="str">
        <f>fac_affected!B161</f>
        <v>2028</v>
      </c>
      <c r="C161" t="str">
        <f>fac_affected!C161</f>
        <v>compressors</v>
      </c>
      <c r="E161" t="str">
        <f>fac_affected!D161</f>
        <v>Dry Seal Centrifugal Compr</v>
      </c>
      <c r="F161" t="str">
        <f>fac_affected!E161</f>
        <v>G&amp;B DS Centrifugal Comp</v>
      </c>
      <c r="G161" t="n">
        <f>fac_affected!F161</f>
        <v>514.33073691200605</v>
      </c>
    </row>
    <row r="162">
      <c r="B162" t="str">
        <f>fac_affected!B162</f>
        <v>2028</v>
      </c>
      <c r="C162" t="str">
        <f>fac_affected!C162</f>
        <v>compressors</v>
      </c>
      <c r="E162" t="str">
        <f>fac_affected!D162</f>
        <v>Dry Seal Centrifugal Compr</v>
      </c>
      <c r="F162" t="str">
        <f>fac_affected!E162</f>
        <v>Proc DS Centrifugal Comp</v>
      </c>
      <c r="G162" t="n">
        <f>fac_affected!F162</f>
        <v>406.35055083164502</v>
      </c>
    </row>
    <row r="163">
      <c r="B163" t="str">
        <f>fac_affected!B163</f>
        <v>2028</v>
      </c>
      <c r="C163" t="str">
        <f>fac_affected!C163</f>
        <v>compressors</v>
      </c>
      <c r="E163" t="str">
        <f>fac_affected!D163</f>
        <v>Dry Seal Centrifugal Compr</v>
      </c>
      <c r="F163" t="str">
        <f>fac_affected!E163</f>
        <v>T&amp;S DS Centrifugal Comp</v>
      </c>
      <c r="G163" t="n">
        <f>fac_affected!F163</f>
        <v>2768.4247907822401</v>
      </c>
    </row>
    <row r="164">
      <c r="B164" t="str">
        <f>fac_affected!B164</f>
        <v>2028</v>
      </c>
      <c r="C164" t="str">
        <f>fac_affected!C164</f>
        <v>liquids_unloading</v>
      </c>
      <c r="E164" t="n">
        <f>fac_affected!D164</f>
        <v>0</v>
      </c>
      <c r="F164" t="n">
        <f>fac_affected!E164</f>
        <v>0</v>
      </c>
      <c r="G164" t="n">
        <f>fac_affected!F164</f>
        <v>257086.55335090499</v>
      </c>
    </row>
    <row r="165">
      <c r="B165" t="str">
        <f>fac_affected!B165</f>
        <v>2028</v>
      </c>
      <c r="C165" t="str">
        <f>fac_affected!C165</f>
        <v>pneucontr</v>
      </c>
      <c r="E165" t="str">
        <f>fac_affected!D165</f>
        <v>G&amp;B Pneumatic Controllers</v>
      </c>
      <c r="F165" t="n">
        <f>fac_affected!E165</f>
        <v>0</v>
      </c>
      <c r="G165" t="n">
        <f>fac_affected!F165</f>
        <v>4644.6748530279401</v>
      </c>
    </row>
    <row r="166">
      <c r="B166" t="str">
        <f>fac_affected!B166</f>
        <v>2028</v>
      </c>
      <c r="C166" t="str">
        <f>fac_affected!C166</f>
        <v>pneucontr</v>
      </c>
      <c r="E166" t="str">
        <f>fac_affected!D166</f>
        <v>T&amp;S Pneumatic Controllers</v>
      </c>
      <c r="F166" t="n">
        <f>fac_affected!E166</f>
        <v>0</v>
      </c>
      <c r="G166" t="n">
        <f>fac_affected!F166</f>
        <v>44716.194662480397</v>
      </c>
    </row>
    <row r="167">
      <c r="B167" t="str">
        <f>fac_affected!B167</f>
        <v>2028</v>
      </c>
      <c r="C167" t="str">
        <f>fac_affected!C167</f>
        <v>pneucontr</v>
      </c>
      <c r="E167" t="str">
        <f>fac_affected!D167</f>
        <v>Well Pad Pneumatic Controllers</v>
      </c>
      <c r="F167" t="n">
        <f>fac_affected!E167</f>
        <v>0</v>
      </c>
      <c r="G167" t="n">
        <f>fac_affected!F167</f>
        <v>1312387.18379639</v>
      </c>
    </row>
    <row r="168">
      <c r="B168" t="str">
        <f>fac_affected!B168</f>
        <v>2028</v>
      </c>
      <c r="C168" t="str">
        <f>fac_affected!C168</f>
        <v>pumps</v>
      </c>
      <c r="E168" t="str">
        <f>fac_affected!D168</f>
        <v>G&amp;B Pneumatic Pumps</v>
      </c>
      <c r="F168" t="n">
        <f>fac_affected!E168</f>
        <v>0</v>
      </c>
      <c r="G168" t="n">
        <f>fac_affected!F168</f>
        <v>497.52324356986998</v>
      </c>
    </row>
    <row r="169">
      <c r="B169" t="str">
        <f>fac_affected!B169</f>
        <v>2028</v>
      </c>
      <c r="C169" t="str">
        <f>fac_affected!C169</f>
        <v>pumps</v>
      </c>
      <c r="E169" t="str">
        <f>fac_affected!D169</f>
        <v>Well Pad Pumps</v>
      </c>
      <c r="F169" t="n">
        <f>fac_affected!E169</f>
        <v>0</v>
      </c>
      <c r="G169" t="n">
        <f>fac_affected!F169</f>
        <v>100703.47223278601</v>
      </c>
    </row>
    <row r="170">
      <c r="B170" t="str">
        <f>fac_affected!B170</f>
        <v>2028</v>
      </c>
      <c r="C170" t="str">
        <f>fac_affected!C170</f>
        <v>Storage vessels</v>
      </c>
      <c r="E170" t="n">
        <f>fac_affected!D170</f>
        <v>0</v>
      </c>
      <c r="F170" t="n">
        <f>fac_affected!E170</f>
        <v>0</v>
      </c>
      <c r="G170" t="n">
        <f>fac_affected!F170</f>
        <v>8307.5856389645596</v>
      </c>
    </row>
    <row r="171">
      <c r="B171" t="str">
        <f>fac_affected!B171</f>
        <v>2029</v>
      </c>
      <c r="C171" t="str">
        <f>fac_affected!C171</f>
        <v>fugitives</v>
      </c>
      <c r="E171" t="str">
        <f>fac_affected!D171</f>
        <v>G&amp;B Stations</v>
      </c>
      <c r="F171" t="n">
        <f>fac_affected!E171</f>
        <v>0</v>
      </c>
      <c r="G171" t="n">
        <f>fac_affected!F171</f>
        <v>5125.0876990733304</v>
      </c>
    </row>
    <row r="172">
      <c r="B172" t="str">
        <f>fac_affected!B172</f>
        <v>2029</v>
      </c>
      <c r="C172" t="str">
        <f>fac_affected!C172</f>
        <v>fugitives</v>
      </c>
      <c r="E172" t="str">
        <f>fac_affected!D172</f>
        <v>Processing Plants</v>
      </c>
      <c r="F172" t="str">
        <f>fac_affected!E172</f>
        <v>Large Plants</v>
      </c>
      <c r="G172" t="n">
        <f>fac_affected!F172</f>
        <v>229.59626343566501</v>
      </c>
    </row>
    <row r="173">
      <c r="B173" t="str">
        <f>fac_affected!B173</f>
        <v>2029</v>
      </c>
      <c r="C173" t="str">
        <f>fac_affected!C173</f>
        <v>fugitives</v>
      </c>
      <c r="E173" t="str">
        <f>fac_affected!D173</f>
        <v>Processing Plants</v>
      </c>
      <c r="F173" t="str">
        <f>fac_affected!E173</f>
        <v>Small Plants</v>
      </c>
      <c r="G173" t="n">
        <f>fac_affected!F173</f>
        <v>952.92608452501804</v>
      </c>
    </row>
    <row r="174">
      <c r="B174" t="str">
        <f>fac_affected!B174</f>
        <v>2029</v>
      </c>
      <c r="C174" t="str">
        <f>fac_affected!C174</f>
        <v>fugitives</v>
      </c>
      <c r="E174" t="str">
        <f>fac_affected!D174</f>
        <v>T&amp;S Compressor Stations</v>
      </c>
      <c r="F174" t="str">
        <f>fac_affected!E174</f>
        <v>Compressor Stations (Transmission)</v>
      </c>
      <c r="G174" t="n">
        <f>fac_affected!F174</f>
        <v>1577.0147975095999</v>
      </c>
    </row>
    <row r="175">
      <c r="B175" t="str">
        <f>fac_affected!B175</f>
        <v>2029</v>
      </c>
      <c r="C175" t="str">
        <f>fac_affected!C175</f>
        <v>fugitives</v>
      </c>
      <c r="E175" t="str">
        <f>fac_affected!D175</f>
        <v>T&amp;S Compressor Stations</v>
      </c>
      <c r="F175" t="str">
        <f>fac_affected!E175</f>
        <v>Compressor Stations (Storage)</v>
      </c>
      <c r="G175" t="n">
        <f>fac_affected!F175</f>
        <v>287.05806589246998</v>
      </c>
    </row>
    <row r="176">
      <c r="B176" t="str">
        <f>fac_affected!B176</f>
        <v>2029</v>
      </c>
      <c r="C176" t="str">
        <f>fac_affected!C176</f>
        <v>fugitives</v>
      </c>
      <c r="E176" t="str">
        <f>fac_affected!D176</f>
        <v>Wellpad Fugitives</v>
      </c>
      <c r="F176" t="str">
        <f>fac_affected!E176</f>
        <v>1: No equipment, no tanks</v>
      </c>
      <c r="G176" t="n">
        <f>fac_affected!F176</f>
        <v>197502.606539297</v>
      </c>
    </row>
    <row r="177">
      <c r="B177" t="str">
        <f>fac_affected!B177</f>
        <v>2029</v>
      </c>
      <c r="C177" t="str">
        <f>fac_affected!C177</f>
        <v>fugitives</v>
      </c>
      <c r="E177" t="str">
        <f>fac_affected!D177</f>
        <v>Wellpad Fugitives</v>
      </c>
      <c r="F177" t="str">
        <f>fac_affected!E177</f>
        <v>2: Tanks, no equipment</v>
      </c>
      <c r="G177" t="n">
        <f>fac_affected!F177</f>
        <v>31508.064553603701</v>
      </c>
    </row>
    <row r="178">
      <c r="B178" t="str">
        <f>fac_affected!B178</f>
        <v>2029</v>
      </c>
      <c r="C178" t="str">
        <f>fac_affected!C178</f>
        <v>fugitives</v>
      </c>
      <c r="E178" t="str">
        <f>fac_affected!D178</f>
        <v>Wellpad Fugitives</v>
      </c>
      <c r="F178" t="str">
        <f>fac_affected!E178</f>
        <v>3: Equipment = 1, no tanks</v>
      </c>
      <c r="G178" t="n">
        <f>fac_affected!F178</f>
        <v>25993.430193813601</v>
      </c>
    </row>
    <row r="179">
      <c r="B179" t="str">
        <f>fac_affected!B179</f>
        <v>2029</v>
      </c>
      <c r="C179" t="str">
        <f>fac_affected!C179</f>
        <v>fugitives</v>
      </c>
      <c r="E179" t="str">
        <f>fac_affected!D179</f>
        <v>Wellpad Fugitives</v>
      </c>
      <c r="F179" t="str">
        <f>fac_affected!E179</f>
        <v>4: Equipment &gt; 1, no tanks</v>
      </c>
      <c r="G179" t="n">
        <f>fac_affected!F179</f>
        <v>34093.704671268199</v>
      </c>
    </row>
    <row r="180">
      <c r="B180" t="str">
        <f>fac_affected!B180</f>
        <v>2029</v>
      </c>
      <c r="C180" t="str">
        <f>fac_affected!C180</f>
        <v>fugitives</v>
      </c>
      <c r="E180" t="str">
        <f>fac_affected!D180</f>
        <v>Wellpad Fugitives</v>
      </c>
      <c r="F180" t="str">
        <f>fac_affected!E180</f>
        <v>5: Equipment = 1 and tanks</v>
      </c>
      <c r="G180" t="n">
        <f>fac_affected!F180</f>
        <v>57826.3379205971</v>
      </c>
    </row>
    <row r="181">
      <c r="B181" t="str">
        <f>fac_affected!B181</f>
        <v>2029</v>
      </c>
      <c r="C181" t="str">
        <f>fac_affected!C181</f>
        <v>fugitives</v>
      </c>
      <c r="E181" t="str">
        <f>fac_affected!D181</f>
        <v>Wellpad Fugitives</v>
      </c>
      <c r="F181" t="str">
        <f>fac_affected!E181</f>
        <v>6: Equipment &gt; 1 and tanks</v>
      </c>
      <c r="G181" t="n">
        <f>fac_affected!F181</f>
        <v>145991.47985398499</v>
      </c>
    </row>
    <row r="182">
      <c r="B182" t="str">
        <f>fac_affected!B182</f>
        <v>2029</v>
      </c>
      <c r="C182" t="str">
        <f>fac_affected!C182</f>
        <v>compressors</v>
      </c>
      <c r="E182" t="str">
        <f>fac_affected!D182</f>
        <v>G&amp;B Station Recip Comp</v>
      </c>
      <c r="F182" t="n">
        <f>fac_affected!E182</f>
        <v>0</v>
      </c>
      <c r="G182" t="n">
        <f>fac_affected!F182</f>
        <v>25793.620846812599</v>
      </c>
    </row>
    <row r="183">
      <c r="B183" t="str">
        <f>fac_affected!B183</f>
        <v>2029</v>
      </c>
      <c r="C183" t="str">
        <f>fac_affected!C183</f>
        <v>compressors</v>
      </c>
      <c r="E183" t="str">
        <f>fac_affected!D183</f>
        <v>Proc Recip Comp</v>
      </c>
      <c r="F183" t="n">
        <f>fac_affected!E183</f>
        <v>0</v>
      </c>
      <c r="G183" t="n">
        <f>fac_affected!F183</f>
        <v>4091.42993692444</v>
      </c>
    </row>
    <row r="184">
      <c r="B184" t="str">
        <f>fac_affected!B184</f>
        <v>2029</v>
      </c>
      <c r="C184" t="str">
        <f>fac_affected!C184</f>
        <v>compressors</v>
      </c>
      <c r="E184" t="str">
        <f>fac_affected!D184</f>
        <v>T&amp;S Recip Comp</v>
      </c>
      <c r="F184" t="str">
        <f>fac_affected!E184</f>
        <v>Reciprocating Compressors (Transmission)</v>
      </c>
      <c r="G184" t="n">
        <f>fac_affected!F184</f>
        <v>8657.5745788460008</v>
      </c>
    </row>
    <row r="185">
      <c r="B185" t="str">
        <f>fac_affected!B185</f>
        <v>2029</v>
      </c>
      <c r="C185" t="str">
        <f>fac_affected!C185</f>
        <v>compressors</v>
      </c>
      <c r="E185" t="str">
        <f>fac_affected!D185</f>
        <v>T&amp;S Recip Comp</v>
      </c>
      <c r="F185" t="str">
        <f>fac_affected!E185</f>
        <v>Reciprocating Compressors (Storage)</v>
      </c>
      <c r="G185" t="n">
        <f>fac_affected!F185</f>
        <v>1401.2100441578</v>
      </c>
    </row>
    <row r="186">
      <c r="B186" t="str">
        <f>fac_affected!B186</f>
        <v>2029</v>
      </c>
      <c r="C186" t="str">
        <f>fac_affected!C186</f>
        <v>compressors</v>
      </c>
      <c r="E186" t="str">
        <f>fac_affected!D186</f>
        <v>Wet Seal Centrifugal Compr</v>
      </c>
      <c r="F186" t="str">
        <f>fac_affected!E186</f>
        <v>G&amp;B WS Centrifugal Comp</v>
      </c>
      <c r="G186" t="n">
        <f>fac_affected!F186</f>
        <v>343.309882181273</v>
      </c>
    </row>
    <row r="187">
      <c r="B187" t="str">
        <f>fac_affected!B187</f>
        <v>2029</v>
      </c>
      <c r="C187" t="str">
        <f>fac_affected!C187</f>
        <v>compressors</v>
      </c>
      <c r="E187" t="str">
        <f>fac_affected!D187</f>
        <v>Wet Seal Centrifugal Compr</v>
      </c>
      <c r="F187" t="str">
        <f>fac_affected!E187</f>
        <v>Proc WS Centrifugal Comp</v>
      </c>
      <c r="G187" t="n">
        <f>fac_affected!F187</f>
        <v>281.19799377330202</v>
      </c>
    </row>
    <row r="188">
      <c r="B188" t="str">
        <f>fac_affected!B188</f>
        <v>2029</v>
      </c>
      <c r="C188" t="str">
        <f>fac_affected!C188</f>
        <v>compressors</v>
      </c>
      <c r="E188" t="str">
        <f>fac_affected!D188</f>
        <v>Wet Seal Centrifugal Compr</v>
      </c>
      <c r="F188" t="str">
        <f>fac_affected!E188</f>
        <v>T&amp;S WS Centrifugal Comp</v>
      </c>
      <c r="G188" t="n">
        <f>fac_affected!F188</f>
        <v>764.09874353634802</v>
      </c>
    </row>
    <row r="189">
      <c r="B189" t="str">
        <f>fac_affected!B189</f>
        <v>2029</v>
      </c>
      <c r="C189" t="str">
        <f>fac_affected!C189</f>
        <v>compressors</v>
      </c>
      <c r="E189" t="str">
        <f>fac_affected!D189</f>
        <v>Dry Seal Centrifugal Compr</v>
      </c>
      <c r="F189" t="str">
        <f>fac_affected!E189</f>
        <v>G&amp;B DS Centrifugal Comp</v>
      </c>
      <c r="G189" t="n">
        <f>fac_affected!F189</f>
        <v>532.85020983413494</v>
      </c>
    </row>
    <row r="190">
      <c r="B190" t="str">
        <f>fac_affected!B190</f>
        <v>2029</v>
      </c>
      <c r="C190" t="str">
        <f>fac_affected!C190</f>
        <v>compressors</v>
      </c>
      <c r="E190" t="str">
        <f>fac_affected!D190</f>
        <v>Dry Seal Centrifugal Compr</v>
      </c>
      <c r="F190" t="str">
        <f>fac_affected!E190</f>
        <v>Proc DS Centrifugal Comp</v>
      </c>
      <c r="G190" t="n">
        <f>fac_affected!F190</f>
        <v>411.13301254768299</v>
      </c>
    </row>
    <row r="191">
      <c r="B191" t="str">
        <f>fac_affected!B191</f>
        <v>2029</v>
      </c>
      <c r="C191" t="str">
        <f>fac_affected!C191</f>
        <v>compressors</v>
      </c>
      <c r="E191" t="str">
        <f>fac_affected!D191</f>
        <v>Dry Seal Centrifugal Compr</v>
      </c>
      <c r="F191" t="str">
        <f>fac_affected!E191</f>
        <v>T&amp;S DS Centrifugal Comp</v>
      </c>
      <c r="G191" t="n">
        <f>fac_affected!F191</f>
        <v>2880.3290922873898</v>
      </c>
    </row>
    <row r="192">
      <c r="B192" t="str">
        <f>fac_affected!B192</f>
        <v>2029</v>
      </c>
      <c r="C192" t="str">
        <f>fac_affected!C192</f>
        <v>liquids_unloading</v>
      </c>
      <c r="E192" t="n">
        <f>fac_affected!D192</f>
        <v>0</v>
      </c>
      <c r="F192" t="n">
        <f>fac_affected!E192</f>
        <v>0</v>
      </c>
      <c r="G192" t="n">
        <f>fac_affected!F192</f>
        <v>254801.06183254599</v>
      </c>
    </row>
    <row r="193">
      <c r="B193" t="str">
        <f>fac_affected!B193</f>
        <v>2029</v>
      </c>
      <c r="C193" t="str">
        <f>fac_affected!C193</f>
        <v>pneucontr</v>
      </c>
      <c r="E193" t="str">
        <f>fac_affected!D193</f>
        <v>G&amp;B Pneumatic Controllers</v>
      </c>
      <c r="F193" t="n">
        <f>fac_affected!E193</f>
        <v>0</v>
      </c>
      <c r="G193" t="n">
        <f>fac_affected!F193</f>
        <v>5031.7310907802703</v>
      </c>
    </row>
    <row r="194">
      <c r="B194" t="str">
        <f>fac_affected!B194</f>
        <v>2029</v>
      </c>
      <c r="C194" t="str">
        <f>fac_affected!C194</f>
        <v>pneucontr</v>
      </c>
      <c r="E194" t="str">
        <f>fac_affected!D194</f>
        <v>T&amp;S Pneumatic Controllers</v>
      </c>
      <c r="F194" t="n">
        <f>fac_affected!E194</f>
        <v>0</v>
      </c>
      <c r="G194" t="n">
        <f>fac_affected!F194</f>
        <v>48442.5442176871</v>
      </c>
    </row>
    <row r="195">
      <c r="B195" t="str">
        <f>fac_affected!B195</f>
        <v>2029</v>
      </c>
      <c r="C195" t="str">
        <f>fac_affected!C195</f>
        <v>pneucontr</v>
      </c>
      <c r="E195" t="str">
        <f>fac_affected!D195</f>
        <v>Well Pad Pneumatic Controllers</v>
      </c>
      <c r="F195" t="n">
        <f>fac_affected!E195</f>
        <v>0</v>
      </c>
      <c r="G195" t="n">
        <f>fac_affected!F195</f>
        <v>1314968.98250504</v>
      </c>
    </row>
    <row r="196">
      <c r="B196" t="str">
        <f>fac_affected!B196</f>
        <v>2029</v>
      </c>
      <c r="C196" t="str">
        <f>fac_affected!C196</f>
        <v>pumps</v>
      </c>
      <c r="E196" t="str">
        <f>fac_affected!D196</f>
        <v>G&amp;B Pneumatic Pumps</v>
      </c>
      <c r="F196" t="n">
        <f>fac_affected!E196</f>
        <v>0</v>
      </c>
      <c r="G196" t="n">
        <f>fac_affected!F196</f>
        <v>538.98351386735999</v>
      </c>
    </row>
    <row r="197">
      <c r="B197" t="str">
        <f>fac_affected!B197</f>
        <v>2029</v>
      </c>
      <c r="C197" t="str">
        <f>fac_affected!C197</f>
        <v>pumps</v>
      </c>
      <c r="E197" t="str">
        <f>fac_affected!D197</f>
        <v>Well Pad Pumps</v>
      </c>
      <c r="F197" t="n">
        <f>fac_affected!E197</f>
        <v>0</v>
      </c>
      <c r="G197" t="n">
        <f>fac_affected!F197</f>
        <v>99769.781818884599</v>
      </c>
    </row>
    <row r="198">
      <c r="B198" t="str">
        <f>fac_affected!B198</f>
        <v>2029</v>
      </c>
      <c r="C198" t="str">
        <f>fac_affected!C198</f>
        <v>Storage vessels</v>
      </c>
      <c r="E198" t="n">
        <f>fac_affected!D198</f>
        <v>0</v>
      </c>
      <c r="F198" t="n">
        <f>fac_affected!E198</f>
        <v>0</v>
      </c>
      <c r="G198" t="n">
        <f>fac_affected!F198</f>
        <v>9575.6026385212208</v>
      </c>
    </row>
    <row r="199">
      <c r="B199" t="str">
        <f>fac_affected!B199</f>
        <v>2030</v>
      </c>
      <c r="C199" t="str">
        <f>fac_affected!C199</f>
        <v>fugitives</v>
      </c>
      <c r="E199" t="str">
        <f>fac_affected!D199</f>
        <v>G&amp;B Stations</v>
      </c>
      <c r="F199" t="n">
        <f>fac_affected!E199</f>
        <v>0</v>
      </c>
      <c r="G199" t="n">
        <f>fac_affected!F199</f>
        <v>5085.6168733854402</v>
      </c>
    </row>
    <row r="200">
      <c r="B200" t="str">
        <f>fac_affected!B200</f>
        <v>2030</v>
      </c>
      <c r="C200" t="str">
        <f>fac_affected!C200</f>
        <v>fugitives</v>
      </c>
      <c r="E200" t="str">
        <f>fac_affected!D200</f>
        <v>Processing Plants</v>
      </c>
      <c r="F200" t="str">
        <f>fac_affected!E200</f>
        <v>Large Plants</v>
      </c>
      <c r="G200" t="n">
        <f>fac_affected!F200</f>
        <v>230.08423233686699</v>
      </c>
    </row>
    <row r="201">
      <c r="B201" t="str">
        <f>fac_affected!B201</f>
        <v>2030</v>
      </c>
      <c r="C201" t="str">
        <f>fac_affected!C201</f>
        <v>fugitives</v>
      </c>
      <c r="E201" t="str">
        <f>fac_affected!D201</f>
        <v>Processing Plants</v>
      </c>
      <c r="F201" t="str">
        <f>fac_affected!E201</f>
        <v>Small Plants</v>
      </c>
      <c r="G201" t="n">
        <f>fac_affected!F201</f>
        <v>954.95137138045004</v>
      </c>
    </row>
    <row r="202">
      <c r="B202" t="str">
        <f>fac_affected!B202</f>
        <v>2030</v>
      </c>
      <c r="C202" t="str">
        <f>fac_affected!C202</f>
        <v>fugitives</v>
      </c>
      <c r="E202" t="str">
        <f>fac_affected!D202</f>
        <v>T&amp;S Compressor Stations</v>
      </c>
      <c r="F202" t="str">
        <f>fac_affected!E202</f>
        <v>Compressor Stations (Transmission)</v>
      </c>
      <c r="G202" t="n">
        <f>fac_affected!F202</f>
        <v>1565.2494486385101</v>
      </c>
    </row>
    <row r="203">
      <c r="B203" t="str">
        <f>fac_affected!B203</f>
        <v>2030</v>
      </c>
      <c r="C203" t="str">
        <f>fac_affected!C203</f>
        <v>fugitives</v>
      </c>
      <c r="E203" t="str">
        <f>fac_affected!D203</f>
        <v>T&amp;S Compressor Stations</v>
      </c>
      <c r="F203" t="str">
        <f>fac_affected!E203</f>
        <v>Compressor Stations (Storage)</v>
      </c>
      <c r="G203" t="n">
        <f>fac_affected!F203</f>
        <v>284.26880079078398</v>
      </c>
    </row>
    <row r="204">
      <c r="B204" t="str">
        <f>fac_affected!B204</f>
        <v>2030</v>
      </c>
      <c r="C204" t="str">
        <f>fac_affected!C204</f>
        <v>fugitives</v>
      </c>
      <c r="E204" t="str">
        <f>fac_affected!D204</f>
        <v>Wellpad Fugitives</v>
      </c>
      <c r="F204" t="str">
        <f>fac_affected!E204</f>
        <v>1: No equipment, no tanks</v>
      </c>
      <c r="G204" t="n">
        <f>fac_affected!F204</f>
        <v>191476.995402061</v>
      </c>
    </row>
    <row r="205">
      <c r="B205" t="str">
        <f>fac_affected!B205</f>
        <v>2030</v>
      </c>
      <c r="C205" t="str">
        <f>fac_affected!C205</f>
        <v>fugitives</v>
      </c>
      <c r="E205" t="str">
        <f>fac_affected!D205</f>
        <v>Wellpad Fugitives</v>
      </c>
      <c r="F205" t="str">
        <f>fac_affected!E205</f>
        <v>2: Tanks, no equipment</v>
      </c>
      <c r="G205" t="n">
        <f>fac_affected!F205</f>
        <v>30563.614544691802</v>
      </c>
    </row>
    <row r="206">
      <c r="B206" t="str">
        <f>fac_affected!B206</f>
        <v>2030</v>
      </c>
      <c r="C206" t="str">
        <f>fac_affected!C206</f>
        <v>fugitives</v>
      </c>
      <c r="E206" t="str">
        <f>fac_affected!D206</f>
        <v>Wellpad Fugitives</v>
      </c>
      <c r="F206" t="str">
        <f>fac_affected!E206</f>
        <v>3: Equipment = 1, no tanks</v>
      </c>
      <c r="G206" t="n">
        <f>fac_affected!F206</f>
        <v>25240.522330395601</v>
      </c>
    </row>
    <row r="207">
      <c r="B207" t="str">
        <f>fac_affected!B207</f>
        <v>2030</v>
      </c>
      <c r="C207" t="str">
        <f>fac_affected!C207</f>
        <v>fugitives</v>
      </c>
      <c r="E207" t="str">
        <f>fac_affected!D207</f>
        <v>Wellpad Fugitives</v>
      </c>
      <c r="F207" t="str">
        <f>fac_affected!E207</f>
        <v>4: Equipment &gt; 1, no tanks</v>
      </c>
      <c r="G207" t="n">
        <f>fac_affected!F207</f>
        <v>34003.367880530699</v>
      </c>
    </row>
    <row r="208">
      <c r="B208" t="str">
        <f>fac_affected!B208</f>
        <v>2030</v>
      </c>
      <c r="C208" t="str">
        <f>fac_affected!C208</f>
        <v>fugitives</v>
      </c>
      <c r="E208" t="str">
        <f>fac_affected!D208</f>
        <v>Wellpad Fugitives</v>
      </c>
      <c r="F208" t="str">
        <f>fac_affected!E208</f>
        <v>5: Equipment = 1 and tanks</v>
      </c>
      <c r="G208" t="n">
        <f>fac_affected!F208</f>
        <v>56261.737479469499</v>
      </c>
    </row>
    <row r="209">
      <c r="B209" t="str">
        <f>fac_affected!B209</f>
        <v>2030</v>
      </c>
      <c r="C209" t="str">
        <f>fac_affected!C209</f>
        <v>fugitives</v>
      </c>
      <c r="E209" t="str">
        <f>fac_affected!D209</f>
        <v>Wellpad Fugitives</v>
      </c>
      <c r="F209" t="str">
        <f>fac_affected!E209</f>
        <v>6: Equipment &gt; 1 and tanks</v>
      </c>
      <c r="G209" t="n">
        <f>fac_affected!F209</f>
        <v>146299.049249559</v>
      </c>
    </row>
    <row r="210">
      <c r="B210" t="str">
        <f>fac_affected!B210</f>
        <v>2030</v>
      </c>
      <c r="C210" t="str">
        <f>fac_affected!C210</f>
        <v>compressors</v>
      </c>
      <c r="E210" t="str">
        <f>fac_affected!D210</f>
        <v>G&amp;B Station Recip Comp</v>
      </c>
      <c r="F210" t="n">
        <f>fac_affected!E210</f>
        <v>0</v>
      </c>
      <c r="G210" t="n">
        <f>fac_affected!F210</f>
        <v>26704.7934462503</v>
      </c>
    </row>
    <row r="211">
      <c r="B211" t="str">
        <f>fac_affected!B211</f>
        <v>2030</v>
      </c>
      <c r="C211" t="str">
        <f>fac_affected!C211</f>
        <v>compressors</v>
      </c>
      <c r="E211" t="str">
        <f>fac_affected!D211</f>
        <v>Proc Recip Comp</v>
      </c>
      <c r="F211" t="n">
        <f>fac_affected!E211</f>
        <v>0</v>
      </c>
      <c r="G211" t="n">
        <f>fac_affected!F211</f>
        <v>4103.8814535758702</v>
      </c>
    </row>
    <row r="212">
      <c r="B212" t="str">
        <f>fac_affected!B212</f>
        <v>2030</v>
      </c>
      <c r="C212" t="str">
        <f>fac_affected!C212</f>
        <v>compressors</v>
      </c>
      <c r="E212" t="str">
        <f>fac_affected!D212</f>
        <v>T&amp;S Recip Comp</v>
      </c>
      <c r="F212" t="str">
        <f>fac_affected!E212</f>
        <v>Reciprocating Compressors (Transmission)</v>
      </c>
      <c r="G212" t="n">
        <f>fac_affected!F212</f>
        <v>8909.1028754861309</v>
      </c>
    </row>
    <row r="213">
      <c r="B213" t="str">
        <f>fac_affected!B213</f>
        <v>2030</v>
      </c>
      <c r="C213" t="str">
        <f>fac_affected!C213</f>
        <v>compressors</v>
      </c>
      <c r="E213" t="str">
        <f>fac_affected!D213</f>
        <v>T&amp;S Recip Comp</v>
      </c>
      <c r="F213" t="str">
        <f>fac_affected!E213</f>
        <v>Reciprocating Compressors (Storage)</v>
      </c>
      <c r="G213" t="n">
        <f>fac_affected!F213</f>
        <v>1399.1658921117901</v>
      </c>
    </row>
    <row r="214">
      <c r="B214" t="str">
        <f>fac_affected!B214</f>
        <v>2030</v>
      </c>
      <c r="C214" t="str">
        <f>fac_affected!C214</f>
        <v>compressors</v>
      </c>
      <c r="E214" t="str">
        <f>fac_affected!D214</f>
        <v>Wet Seal Centrifugal Compr</v>
      </c>
      <c r="F214" t="str">
        <f>fac_affected!E214</f>
        <v>G&amp;B WS Centrifugal Comp</v>
      </c>
      <c r="G214" t="n">
        <f>fac_affected!F214</f>
        <v>355.43747603936498</v>
      </c>
    </row>
    <row r="215">
      <c r="B215" t="str">
        <f>fac_affected!B215</f>
        <v>2030</v>
      </c>
      <c r="C215" t="str">
        <f>fac_affected!C215</f>
        <v>compressors</v>
      </c>
      <c r="E215" t="str">
        <f>fac_affected!D215</f>
        <v>Wet Seal Centrifugal Compr</v>
      </c>
      <c r="F215" t="str">
        <f>fac_affected!E215</f>
        <v>Proc WS Centrifugal Comp</v>
      </c>
      <c r="G215" t="n">
        <f>fac_affected!F215</f>
        <v>278.38601383556897</v>
      </c>
    </row>
    <row r="216">
      <c r="B216" t="str">
        <f>fac_affected!B216</f>
        <v>2030</v>
      </c>
      <c r="C216" t="str">
        <f>fac_affected!C216</f>
        <v>compressors</v>
      </c>
      <c r="E216" t="str">
        <f>fac_affected!D216</f>
        <v>Wet Seal Centrifugal Compr</v>
      </c>
      <c r="F216" t="str">
        <f>fac_affected!E216</f>
        <v>T&amp;S WS Centrifugal Comp</v>
      </c>
      <c r="G216" t="n">
        <f>fac_affected!F216</f>
        <v>758.39817033699603</v>
      </c>
    </row>
    <row r="217">
      <c r="B217" t="str">
        <f>fac_affected!B217</f>
        <v>2030</v>
      </c>
      <c r="C217" t="str">
        <f>fac_affected!C217</f>
        <v>compressors</v>
      </c>
      <c r="E217" t="str">
        <f>fac_affected!D217</f>
        <v>Dry Seal Centrifugal Compr</v>
      </c>
      <c r="F217" t="str">
        <f>fac_affected!E217</f>
        <v>G&amp;B DS Centrifugal Comp</v>
      </c>
      <c r="G217" t="n">
        <f>fac_affected!F217</f>
        <v>551.38887491973196</v>
      </c>
    </row>
    <row r="218">
      <c r="B218" t="str">
        <f>fac_affected!B218</f>
        <v>2030</v>
      </c>
      <c r="C218" t="str">
        <f>fac_affected!C218</f>
        <v>compressors</v>
      </c>
      <c r="E218" t="str">
        <f>fac_affected!D218</f>
        <v>Dry Seal Centrifugal Compr</v>
      </c>
      <c r="F218" t="str">
        <f>fac_affected!E218</f>
        <v>Proc DS Centrifugal Comp</v>
      </c>
      <c r="G218" t="n">
        <f>fac_affected!F218</f>
        <v>415.937829921971</v>
      </c>
    </row>
    <row r="219">
      <c r="B219" t="str">
        <f>fac_affected!B219</f>
        <v>2030</v>
      </c>
      <c r="C219" t="str">
        <f>fac_affected!C219</f>
        <v>compressors</v>
      </c>
      <c r="E219" t="str">
        <f>fac_affected!D219</f>
        <v>Dry Seal Centrifugal Compr</v>
      </c>
      <c r="F219" t="str">
        <f>fac_affected!E219</f>
        <v>T&amp;S DS Centrifugal Comp</v>
      </c>
      <c r="G219" t="n">
        <f>fac_affected!F219</f>
        <v>2992.3229426624198</v>
      </c>
    </row>
    <row r="220">
      <c r="B220" t="str">
        <f>fac_affected!B220</f>
        <v>2030</v>
      </c>
      <c r="C220" t="str">
        <f>fac_affected!C220</f>
        <v>liquids_unloading</v>
      </c>
      <c r="E220" t="n">
        <f>fac_affected!D220</f>
        <v>0</v>
      </c>
      <c r="F220" t="n">
        <f>fac_affected!E220</f>
        <v>0</v>
      </c>
      <c r="G220" t="n">
        <f>fac_affected!F220</f>
        <v>252603.39344498</v>
      </c>
    </row>
    <row r="221">
      <c r="B221" t="str">
        <f>fac_affected!B221</f>
        <v>2030</v>
      </c>
      <c r="C221" t="str">
        <f>fac_affected!C221</f>
        <v>pneucontr</v>
      </c>
      <c r="E221" t="str">
        <f>fac_affected!D221</f>
        <v>G&amp;B Pneumatic Controllers</v>
      </c>
      <c r="F221" t="n">
        <f>fac_affected!E221</f>
        <v>0</v>
      </c>
      <c r="G221" t="n">
        <f>fac_affected!F221</f>
        <v>5418.7873285325904</v>
      </c>
    </row>
    <row r="222">
      <c r="B222" t="str">
        <f>fac_affected!B222</f>
        <v>2030</v>
      </c>
      <c r="C222" t="str">
        <f>fac_affected!C222</f>
        <v>pneucontr</v>
      </c>
      <c r="E222" t="str">
        <f>fac_affected!D222</f>
        <v>T&amp;S Pneumatic Controllers</v>
      </c>
      <c r="F222" t="n">
        <f>fac_affected!E222</f>
        <v>0</v>
      </c>
      <c r="G222" t="n">
        <f>fac_affected!F222</f>
        <v>52168.893772893804</v>
      </c>
    </row>
    <row r="223">
      <c r="B223" t="str">
        <f>fac_affected!B223</f>
        <v>2030</v>
      </c>
      <c r="C223" t="str">
        <f>fac_affected!C223</f>
        <v>pneucontr</v>
      </c>
      <c r="E223" t="str">
        <f>fac_affected!D223</f>
        <v>Well Pad Pneumatic Controllers</v>
      </c>
      <c r="F223" t="n">
        <f>fac_affected!E223</f>
        <v>0</v>
      </c>
      <c r="G223" t="n">
        <f>fac_affected!F223</f>
        <v>1316892.96440599</v>
      </c>
    </row>
    <row r="224">
      <c r="B224" t="str">
        <f>fac_affected!B224</f>
        <v>2030</v>
      </c>
      <c r="C224" t="str">
        <f>fac_affected!C224</f>
        <v>pumps</v>
      </c>
      <c r="E224" t="str">
        <f>fac_affected!D224</f>
        <v>G&amp;B Pneumatic Pumps</v>
      </c>
      <c r="F224" t="n">
        <f>fac_affected!E224</f>
        <v>0</v>
      </c>
      <c r="G224" t="n">
        <f>fac_affected!F224</f>
        <v>580.44378416484903</v>
      </c>
    </row>
    <row r="225">
      <c r="B225" t="str">
        <f>fac_affected!B225</f>
        <v>2030</v>
      </c>
      <c r="C225" t="str">
        <f>fac_affected!C225</f>
        <v>pumps</v>
      </c>
      <c r="E225" t="str">
        <f>fac_affected!D225</f>
        <v>Well Pad Pumps</v>
      </c>
      <c r="F225" t="n">
        <f>fac_affected!E225</f>
        <v>0</v>
      </c>
      <c r="G225" t="n">
        <f>fac_affected!F225</f>
        <v>98876.577523292406</v>
      </c>
    </row>
    <row r="226">
      <c r="B226" t="str">
        <f>fac_affected!B226</f>
        <v>2030</v>
      </c>
      <c r="C226" t="str">
        <f>fac_affected!C226</f>
        <v>Storage vessels</v>
      </c>
      <c r="E226" t="n">
        <f>fac_affected!D226</f>
        <v>0</v>
      </c>
      <c r="F226" t="n">
        <f>fac_affected!E226</f>
        <v>0</v>
      </c>
      <c r="G226" t="n">
        <f>fac_affected!F226</f>
        <v>10817.798881065401</v>
      </c>
    </row>
    <row r="227">
      <c r="B227" t="str">
        <f>fac_affected!B227</f>
        <v>2031</v>
      </c>
      <c r="C227" t="str">
        <f>fac_affected!C227</f>
        <v>fugitives</v>
      </c>
      <c r="E227" t="str">
        <f>fac_affected!D227</f>
        <v>G&amp;B Stations</v>
      </c>
      <c r="F227" t="n">
        <f>fac_affected!E227</f>
        <v>0</v>
      </c>
      <c r="G227" t="n">
        <f>fac_affected!F227</f>
        <v>5046.5407559544301</v>
      </c>
    </row>
    <row r="228">
      <c r="B228" t="str">
        <f>fac_affected!B228</f>
        <v>2031</v>
      </c>
      <c r="C228" t="str">
        <f>fac_affected!C228</f>
        <v>fugitives</v>
      </c>
      <c r="E228" t="str">
        <f>fac_affected!D228</f>
        <v>Processing Plants</v>
      </c>
      <c r="F228" t="str">
        <f>fac_affected!E228</f>
        <v>Large Plants</v>
      </c>
      <c r="G228" t="n">
        <f>fac_affected!F228</f>
        <v>230.58923427334699</v>
      </c>
    </row>
    <row r="229">
      <c r="B229" t="str">
        <f>fac_affected!B229</f>
        <v>2031</v>
      </c>
      <c r="C229" t="str">
        <f>fac_affected!C229</f>
        <v>fugitives</v>
      </c>
      <c r="E229" t="str">
        <f>fac_affected!D229</f>
        <v>Processing Plants</v>
      </c>
      <c r="F229" t="str">
        <f>fac_affected!E229</f>
        <v>Small Plants</v>
      </c>
      <c r="G229" t="n">
        <f>fac_affected!F229</f>
        <v>957.04735286902405</v>
      </c>
    </row>
    <row r="230">
      <c r="B230" t="str">
        <f>fac_affected!B230</f>
        <v>2031</v>
      </c>
      <c r="C230" t="str">
        <f>fac_affected!C230</f>
        <v>fugitives</v>
      </c>
      <c r="E230" t="str">
        <f>fac_affected!D230</f>
        <v>T&amp;S Compressor Stations</v>
      </c>
      <c r="F230" t="str">
        <f>fac_affected!E230</f>
        <v>Compressor Stations (Transmission)</v>
      </c>
      <c r="G230" t="n">
        <f>fac_affected!F230</f>
        <v>1553.60175325613</v>
      </c>
    </row>
    <row r="231">
      <c r="B231" t="str">
        <f>fac_affected!B231</f>
        <v>2031</v>
      </c>
      <c r="C231" t="str">
        <f>fac_affected!C231</f>
        <v>fugitives</v>
      </c>
      <c r="E231" t="str">
        <f>fac_affected!D231</f>
        <v>T&amp;S Compressor Stations</v>
      </c>
      <c r="F231" t="str">
        <f>fac_affected!E231</f>
        <v>Compressor Stations (Storage)</v>
      </c>
      <c r="G231" t="n">
        <f>fac_affected!F231</f>
        <v>281.50742834011498</v>
      </c>
    </row>
    <row r="232">
      <c r="B232" t="str">
        <f>fac_affected!B232</f>
        <v>2031</v>
      </c>
      <c r="C232" t="str">
        <f>fac_affected!C232</f>
        <v>fugitives</v>
      </c>
      <c r="E232" t="str">
        <f>fac_affected!D232</f>
        <v>Wellpad Fugitives</v>
      </c>
      <c r="F232" t="str">
        <f>fac_affected!E232</f>
        <v>1: No equipment, no tanks</v>
      </c>
      <c r="G232" t="n">
        <f>fac_affected!F232</f>
        <v>185664.23330024301</v>
      </c>
    </row>
    <row r="233">
      <c r="B233" t="str">
        <f>fac_affected!B233</f>
        <v>2031</v>
      </c>
      <c r="C233" t="str">
        <f>fac_affected!C233</f>
        <v>fugitives</v>
      </c>
      <c r="E233" t="str">
        <f>fac_affected!D233</f>
        <v>Wellpad Fugitives</v>
      </c>
      <c r="F233" t="str">
        <f>fac_affected!E233</f>
        <v>2: Tanks, no equipment</v>
      </c>
      <c r="G233" t="n">
        <f>fac_affected!F233</f>
        <v>29654.2373905329</v>
      </c>
    </row>
    <row r="234">
      <c r="B234" t="str">
        <f>fac_affected!B234</f>
        <v>2031</v>
      </c>
      <c r="C234" t="str">
        <f>fac_affected!C234</f>
        <v>fugitives</v>
      </c>
      <c r="E234" t="str">
        <f>fac_affected!D234</f>
        <v>Wellpad Fugitives</v>
      </c>
      <c r="F234" t="str">
        <f>fac_affected!E234</f>
        <v>3: Equipment = 1, no tanks</v>
      </c>
      <c r="G234" t="n">
        <f>fac_affected!F234</f>
        <v>24505.878068135</v>
      </c>
    </row>
    <row r="235">
      <c r="B235" t="str">
        <f>fac_affected!B235</f>
        <v>2031</v>
      </c>
      <c r="C235" t="str">
        <f>fac_affected!C235</f>
        <v>fugitives</v>
      </c>
      <c r="E235" t="str">
        <f>fac_affected!D235</f>
        <v>Wellpad Fugitives</v>
      </c>
      <c r="F235" t="str">
        <f>fac_affected!E235</f>
        <v>4: Equipment &gt; 1, no tanks</v>
      </c>
      <c r="G235" t="n">
        <f>fac_affected!F235</f>
        <v>33922.450003833903</v>
      </c>
    </row>
    <row r="236">
      <c r="B236" t="str">
        <f>fac_affected!B236</f>
        <v>2031</v>
      </c>
      <c r="C236" t="str">
        <f>fac_affected!C236</f>
        <v>fugitives</v>
      </c>
      <c r="E236" t="str">
        <f>fac_affected!D236</f>
        <v>Wellpad Fugitives</v>
      </c>
      <c r="F236" t="str">
        <f>fac_affected!E236</f>
        <v>5: Equipment = 1 and tanks</v>
      </c>
      <c r="G236" t="n">
        <f>fac_affected!F236</f>
        <v>54743.282347177701</v>
      </c>
    </row>
    <row r="237">
      <c r="B237" t="str">
        <f>fac_affected!B237</f>
        <v>2031</v>
      </c>
      <c r="C237" t="str">
        <f>fac_affected!C237</f>
        <v>fugitives</v>
      </c>
      <c r="E237" t="str">
        <f>fac_affected!D237</f>
        <v>Wellpad Fugitives</v>
      </c>
      <c r="F237" t="str">
        <f>fac_affected!E237</f>
        <v>6: Equipment &gt; 1 and tanks</v>
      </c>
      <c r="G237" t="n">
        <f>fac_affected!F237</f>
        <v>146653.06314860701</v>
      </c>
    </row>
    <row r="238">
      <c r="B238" t="str">
        <f>fac_affected!B238</f>
        <v>2031</v>
      </c>
      <c r="C238" t="str">
        <f>fac_affected!C238</f>
        <v>compressors</v>
      </c>
      <c r="E238" t="str">
        <f>fac_affected!D238</f>
        <v>G&amp;B Station Recip Comp</v>
      </c>
      <c r="F238" t="n">
        <f>fac_affected!E238</f>
        <v>0</v>
      </c>
      <c r="G238" t="n">
        <f>fac_affected!F238</f>
        <v>27616.866002882602</v>
      </c>
    </row>
    <row r="239">
      <c r="B239" t="str">
        <f>fac_affected!B239</f>
        <v>2031</v>
      </c>
      <c r="C239" t="str">
        <f>fac_affected!C239</f>
        <v>compressors</v>
      </c>
      <c r="E239" t="str">
        <f>fac_affected!D239</f>
        <v>Proc Recip Comp</v>
      </c>
      <c r="F239" t="n">
        <f>fac_affected!E239</f>
        <v>0</v>
      </c>
      <c r="G239" t="n">
        <f>fac_affected!F239</f>
        <v>4116.6285050505303</v>
      </c>
    </row>
    <row r="240">
      <c r="B240" t="str">
        <f>fac_affected!B240</f>
        <v>2031</v>
      </c>
      <c r="C240" t="str">
        <f>fac_affected!C240</f>
        <v>compressors</v>
      </c>
      <c r="E240" t="str">
        <f>fac_affected!D240</f>
        <v>T&amp;S Recip Comp</v>
      </c>
      <c r="F240" t="str">
        <f>fac_affected!E240</f>
        <v>Reciprocating Compressors (Transmission)</v>
      </c>
      <c r="G240" t="n">
        <f>fac_affected!F240</f>
        <v>9160.9781199430108</v>
      </c>
    </row>
    <row r="241">
      <c r="B241" t="str">
        <f>fac_affected!B241</f>
        <v>2031</v>
      </c>
      <c r="C241" t="str">
        <f>fac_affected!C241</f>
        <v>compressors</v>
      </c>
      <c r="E241" t="str">
        <f>fac_affected!D241</f>
        <v>T&amp;S Recip Comp</v>
      </c>
      <c r="F241" t="str">
        <f>fac_affected!E241</f>
        <v>Reciprocating Compressors (Storage)</v>
      </c>
      <c r="G241" t="n">
        <f>fac_affected!F241</f>
        <v>1397.2440361317199</v>
      </c>
    </row>
    <row r="242">
      <c r="B242" t="str">
        <f>fac_affected!B242</f>
        <v>2031</v>
      </c>
      <c r="C242" t="str">
        <f>fac_affected!C242</f>
        <v>compressors</v>
      </c>
      <c r="E242" t="str">
        <f>fac_affected!D242</f>
        <v>Wet Seal Centrifugal Compr</v>
      </c>
      <c r="F242" t="str">
        <f>fac_affected!E242</f>
        <v>G&amp;B WS Centrifugal Comp</v>
      </c>
      <c r="G242" t="n">
        <f>fac_affected!F242</f>
        <v>367.57704821567398</v>
      </c>
    </row>
    <row r="243">
      <c r="B243" t="str">
        <f>fac_affected!B243</f>
        <v>2031</v>
      </c>
      <c r="C243" t="str">
        <f>fac_affected!C243</f>
        <v>compressors</v>
      </c>
      <c r="E243" t="str">
        <f>fac_affected!D243</f>
        <v>Wet Seal Centrifugal Compr</v>
      </c>
      <c r="F243" t="str">
        <f>fac_affected!E243</f>
        <v>Proc WS Centrifugal Comp</v>
      </c>
      <c r="G243" t="n">
        <f>fac_affected!F243</f>
        <v>275.602153697213</v>
      </c>
    </row>
    <row r="244">
      <c r="B244" t="str">
        <f>fac_affected!B244</f>
        <v>2031</v>
      </c>
      <c r="C244" t="str">
        <f>fac_affected!C244</f>
        <v>compressors</v>
      </c>
      <c r="E244" t="str">
        <f>fac_affected!D244</f>
        <v>Wet Seal Centrifugal Compr</v>
      </c>
      <c r="F244" t="str">
        <f>fac_affected!E244</f>
        <v>T&amp;S WS Centrifugal Comp</v>
      </c>
      <c r="G244" t="n">
        <f>fac_affected!F244</f>
        <v>752.75460286963698</v>
      </c>
    </row>
    <row r="245">
      <c r="B245" t="str">
        <f>fac_affected!B245</f>
        <v>2031</v>
      </c>
      <c r="C245" t="str">
        <f>fac_affected!C245</f>
        <v>compressors</v>
      </c>
      <c r="E245" t="str">
        <f>fac_affected!D245</f>
        <v>Dry Seal Centrifugal Compr</v>
      </c>
      <c r="F245" t="str">
        <f>fac_affected!E245</f>
        <v>G&amp;B DS Centrifugal Comp</v>
      </c>
      <c r="G245" t="n">
        <f>fac_affected!F245</f>
        <v>569.94654024716203</v>
      </c>
    </row>
    <row r="246">
      <c r="B246" t="str">
        <f>fac_affected!B246</f>
        <v>2031</v>
      </c>
      <c r="C246" t="str">
        <f>fac_affected!C246</f>
        <v>compressors</v>
      </c>
      <c r="E246" t="str">
        <f>fac_affected!D246</f>
        <v>Dry Seal Centrifugal Compr</v>
      </c>
      <c r="F246" t="str">
        <f>fac_affected!E246</f>
        <v>Proc DS Centrifugal Comp</v>
      </c>
      <c r="G246" t="n">
        <f>fac_affected!F246</f>
        <v>420.76477939792602</v>
      </c>
    </row>
    <row r="247">
      <c r="B247" t="str">
        <f>fac_affected!B247</f>
        <v>2031</v>
      </c>
      <c r="C247" t="str">
        <f>fac_affected!C247</f>
        <v>compressors</v>
      </c>
      <c r="E247" t="str">
        <f>fac_affected!D247</f>
        <v>Dry Seal Centrifugal Compr</v>
      </c>
      <c r="F247" t="str">
        <f>fac_affected!E247</f>
        <v>T&amp;S DS Centrifugal Comp</v>
      </c>
      <c r="G247" t="n">
        <f>fac_affected!F247</f>
        <v>3104.4054464186402</v>
      </c>
    </row>
    <row r="248">
      <c r="B248" t="str">
        <f>fac_affected!B248</f>
        <v>2031</v>
      </c>
      <c r="C248" t="str">
        <f>fac_affected!C248</f>
        <v>liquids_unloading</v>
      </c>
      <c r="E248" t="n">
        <f>fac_affected!D248</f>
        <v>0</v>
      </c>
      <c r="F248" t="n">
        <f>fac_affected!E248</f>
        <v>0</v>
      </c>
      <c r="G248" t="n">
        <f>fac_affected!F248</f>
        <v>250488.94618177501</v>
      </c>
    </row>
    <row r="249">
      <c r="B249" t="str">
        <f>fac_affected!B249</f>
        <v>2031</v>
      </c>
      <c r="C249" t="str">
        <f>fac_affected!C249</f>
        <v>pneucontr</v>
      </c>
      <c r="E249" t="str">
        <f>fac_affected!D249</f>
        <v>G&amp;B Pneumatic Controllers</v>
      </c>
      <c r="F249" t="n">
        <f>fac_affected!E249</f>
        <v>0</v>
      </c>
      <c r="G249" t="n">
        <f>fac_affected!F249</f>
        <v>5805.8435662849197</v>
      </c>
    </row>
    <row r="250">
      <c r="B250" t="str">
        <f>fac_affected!B250</f>
        <v>2031</v>
      </c>
      <c r="C250" t="str">
        <f>fac_affected!C250</f>
        <v>pneucontr</v>
      </c>
      <c r="E250" t="str">
        <f>fac_affected!D250</f>
        <v>T&amp;S Pneumatic Controllers</v>
      </c>
      <c r="F250" t="n">
        <f>fac_affected!E250</f>
        <v>0</v>
      </c>
      <c r="G250" t="n">
        <f>fac_affected!F250</f>
        <v>55895.2433281005</v>
      </c>
    </row>
    <row r="251">
      <c r="B251" t="str">
        <f>fac_affected!B251</f>
        <v>2031</v>
      </c>
      <c r="C251" t="str">
        <f>fac_affected!C251</f>
        <v>pneucontr</v>
      </c>
      <c r="E251" t="str">
        <f>fac_affected!D251</f>
        <v>Well Pad Pneumatic Controllers</v>
      </c>
      <c r="F251" t="n">
        <f>fac_affected!E251</f>
        <v>0</v>
      </c>
      <c r="G251" t="n">
        <f>fac_affected!F251</f>
        <v>1318122.26388696</v>
      </c>
    </row>
    <row r="252">
      <c r="B252" t="str">
        <f>fac_affected!B252</f>
        <v>2031</v>
      </c>
      <c r="C252" t="str">
        <f>fac_affected!C252</f>
        <v>pumps</v>
      </c>
      <c r="E252" t="str">
        <f>fac_affected!D252</f>
        <v>G&amp;B Pneumatic Pumps</v>
      </c>
      <c r="F252" t="n">
        <f>fac_affected!E252</f>
        <v>0</v>
      </c>
      <c r="G252" t="n">
        <f>fac_affected!F252</f>
        <v>621.90405446233797</v>
      </c>
    </row>
    <row r="253">
      <c r="B253" t="str">
        <f>fac_affected!B253</f>
        <v>2031</v>
      </c>
      <c r="C253" t="str">
        <f>fac_affected!C253</f>
        <v>pumps</v>
      </c>
      <c r="E253" t="str">
        <f>fac_affected!D253</f>
        <v>Well Pad Pumps</v>
      </c>
      <c r="F253" t="n">
        <f>fac_affected!E253</f>
        <v>0</v>
      </c>
      <c r="G253" t="n">
        <f>fac_affected!F253</f>
        <v>98020.231508122801</v>
      </c>
    </row>
    <row r="254">
      <c r="B254" t="str">
        <f>fac_affected!B254</f>
        <v>2031</v>
      </c>
      <c r="C254" t="str">
        <f>fac_affected!C254</f>
        <v>Storage vessels</v>
      </c>
      <c r="E254" t="n">
        <f>fac_affected!D254</f>
        <v>0</v>
      </c>
      <c r="F254" t="n">
        <f>fac_affected!E254</f>
        <v>0</v>
      </c>
      <c r="G254" t="n">
        <f>fac_affected!F254</f>
        <v>12073.175591807099</v>
      </c>
    </row>
    <row r="255">
      <c r="B255" t="str">
        <f>fac_affected!B255</f>
        <v>2032</v>
      </c>
      <c r="C255" t="str">
        <f>fac_affected!C255</f>
        <v>fugitives</v>
      </c>
      <c r="E255" t="str">
        <f>fac_affected!D255</f>
        <v>G&amp;B Stations</v>
      </c>
      <c r="F255" t="n">
        <f>fac_affected!E255</f>
        <v>0</v>
      </c>
      <c r="G255" t="n">
        <f>fac_affected!F255</f>
        <v>5007.8553996977298</v>
      </c>
    </row>
    <row r="256">
      <c r="B256" t="str">
        <f>fac_affected!B256</f>
        <v>2032</v>
      </c>
      <c r="C256" t="str">
        <f>fac_affected!C256</f>
        <v>fugitives</v>
      </c>
      <c r="E256" t="str">
        <f>fac_affected!D256</f>
        <v>Processing Plants</v>
      </c>
      <c r="F256" t="str">
        <f>fac_affected!E256</f>
        <v>Large Plants</v>
      </c>
      <c r="G256" t="n">
        <f>fac_affected!F256</f>
        <v>231.11109891475201</v>
      </c>
    </row>
    <row r="257">
      <c r="B257" t="str">
        <f>fac_affected!B257</f>
        <v>2032</v>
      </c>
      <c r="C257" t="str">
        <f>fac_affected!C257</f>
        <v>fugitives</v>
      </c>
      <c r="E257" t="str">
        <f>fac_affected!D257</f>
        <v>Processing Plants</v>
      </c>
      <c r="F257" t="str">
        <f>fac_affected!E257</f>
        <v>Small Plants</v>
      </c>
      <c r="G257" t="n">
        <f>fac_affected!F257</f>
        <v>959.21332204441103</v>
      </c>
    </row>
    <row r="258">
      <c r="B258" t="str">
        <f>fac_affected!B258</f>
        <v>2032</v>
      </c>
      <c r="C258" t="str">
        <f>fac_affected!C258</f>
        <v>fugitives</v>
      </c>
      <c r="E258" t="str">
        <f>fac_affected!D258</f>
        <v>T&amp;S Compressor Stations</v>
      </c>
      <c r="F258" t="str">
        <f>fac_affected!E258</f>
        <v>Compressor Stations (Transmission)</v>
      </c>
      <c r="G258" t="n">
        <f>fac_affected!F258</f>
        <v>1542.0705348275801</v>
      </c>
    </row>
    <row r="259">
      <c r="B259" t="str">
        <f>fac_affected!B259</f>
        <v>2032</v>
      </c>
      <c r="C259" t="str">
        <f>fac_affected!C259</f>
        <v>fugitives</v>
      </c>
      <c r="E259" t="str">
        <f>fac_affected!D259</f>
        <v>T&amp;S Compressor Stations</v>
      </c>
      <c r="F259" t="str">
        <f>fac_affected!E259</f>
        <v>Compressor Stations (Storage)</v>
      </c>
      <c r="G259" t="n">
        <f>fac_affected!F259</f>
        <v>278.77366961395199</v>
      </c>
    </row>
    <row r="260">
      <c r="B260" t="str">
        <f>fac_affected!B260</f>
        <v>2032</v>
      </c>
      <c r="C260" t="str">
        <f>fac_affected!C260</f>
        <v>fugitives</v>
      </c>
      <c r="E260" t="str">
        <f>fac_affected!D260</f>
        <v>Wellpad Fugitives</v>
      </c>
      <c r="F260" t="str">
        <f>fac_affected!E260</f>
        <v>1: No equipment, no tanks</v>
      </c>
      <c r="G260" t="n">
        <f>fac_affected!F260</f>
        <v>180104.77896197399</v>
      </c>
    </row>
    <row r="261">
      <c r="B261" t="str">
        <f>fac_affected!B261</f>
        <v>2032</v>
      </c>
      <c r="C261" t="str">
        <f>fac_affected!C261</f>
        <v>fugitives</v>
      </c>
      <c r="E261" t="str">
        <f>fac_affected!D261</f>
        <v>Wellpad Fugitives</v>
      </c>
      <c r="F261" t="str">
        <f>fac_affected!E261</f>
        <v>2: Tanks, no equipment</v>
      </c>
      <c r="G261" t="n">
        <f>fac_affected!F261</f>
        <v>28786.392431549099</v>
      </c>
    </row>
    <row r="262">
      <c r="B262" t="str">
        <f>fac_affected!B262</f>
        <v>2032</v>
      </c>
      <c r="C262" t="str">
        <f>fac_affected!C262</f>
        <v>fugitives</v>
      </c>
      <c r="E262" t="str">
        <f>fac_affected!D262</f>
        <v>Wellpad Fugitives</v>
      </c>
      <c r="F262" t="str">
        <f>fac_affected!E262</f>
        <v>3: Equipment = 1, no tanks</v>
      </c>
      <c r="G262" t="n">
        <f>fac_affected!F262</f>
        <v>23792.921775808099</v>
      </c>
    </row>
    <row r="263">
      <c r="B263" t="str">
        <f>fac_affected!B263</f>
        <v>2032</v>
      </c>
      <c r="C263" t="str">
        <f>fac_affected!C263</f>
        <v>fugitives</v>
      </c>
      <c r="E263" t="str">
        <f>fac_affected!D263</f>
        <v>Wellpad Fugitives</v>
      </c>
      <c r="F263" t="str">
        <f>fac_affected!E263</f>
        <v>4: Equipment &gt; 1, no tanks</v>
      </c>
      <c r="G263" t="n">
        <f>fac_affected!F263</f>
        <v>33865.561587771001</v>
      </c>
    </row>
    <row r="264">
      <c r="B264" t="str">
        <f>fac_affected!B264</f>
        <v>2032</v>
      </c>
      <c r="C264" t="str">
        <f>fac_affected!C264</f>
        <v>fugitives</v>
      </c>
      <c r="E264" t="str">
        <f>fac_affected!D264</f>
        <v>Wellpad Fugitives</v>
      </c>
      <c r="F264" t="str">
        <f>fac_affected!E264</f>
        <v>5: Equipment = 1 and tanks</v>
      </c>
      <c r="G264" t="n">
        <f>fac_affected!F264</f>
        <v>53281.080549165599</v>
      </c>
    </row>
    <row r="265">
      <c r="B265" t="str">
        <f>fac_affected!B265</f>
        <v>2032</v>
      </c>
      <c r="C265" t="str">
        <f>fac_affected!C265</f>
        <v>fugitives</v>
      </c>
      <c r="E265" t="str">
        <f>fac_affected!D265</f>
        <v>Wellpad Fugitives</v>
      </c>
      <c r="F265" t="str">
        <f>fac_affected!E265</f>
        <v>6: Equipment &gt; 1 and tanks</v>
      </c>
      <c r="G265" t="n">
        <f>fac_affected!F265</f>
        <v>147126.06786015799</v>
      </c>
    </row>
    <row r="266">
      <c r="B266" t="str">
        <f>fac_affected!B266</f>
        <v>2032</v>
      </c>
      <c r="C266" t="str">
        <f>fac_affected!C266</f>
        <v>compressors</v>
      </c>
      <c r="E266" t="str">
        <f>fac_affected!D266</f>
        <v>G&amp;B Station Recip Comp</v>
      </c>
      <c r="F266" t="n">
        <f>fac_affected!E266</f>
        <v>0</v>
      </c>
      <c r="G266" t="n">
        <f>fac_affected!F266</f>
        <v>28529.829517137601</v>
      </c>
    </row>
    <row r="267">
      <c r="B267" t="str">
        <f>fac_affected!B267</f>
        <v>2032</v>
      </c>
      <c r="C267" t="str">
        <f>fac_affected!C267</f>
        <v>compressors</v>
      </c>
      <c r="E267" t="str">
        <f>fac_affected!D267</f>
        <v>Proc Recip Comp</v>
      </c>
      <c r="F267" t="n">
        <f>fac_affected!E267</f>
        <v>0</v>
      </c>
      <c r="G267" t="n">
        <f>fac_affected!F267</f>
        <v>4129.6681360001803</v>
      </c>
    </row>
    <row r="268">
      <c r="B268" t="str">
        <f>fac_affected!B268</f>
        <v>2032</v>
      </c>
      <c r="C268" t="str">
        <f>fac_affected!C268</f>
        <v>compressors</v>
      </c>
      <c r="E268" t="str">
        <f>fac_affected!D268</f>
        <v>T&amp;S Recip Comp</v>
      </c>
      <c r="F268" t="str">
        <f>fac_affected!E268</f>
        <v>Reciprocating Compressors (Transmission)</v>
      </c>
      <c r="G268" t="n">
        <f>fac_affected!F268</f>
        <v>9413.19684273848</v>
      </c>
    </row>
    <row r="269">
      <c r="B269" t="str">
        <f>fac_affected!B269</f>
        <v>2032</v>
      </c>
      <c r="C269" t="str">
        <f>fac_affected!C269</f>
        <v>compressors</v>
      </c>
      <c r="E269" t="str">
        <f>fac_affected!D269</f>
        <v>T&amp;S Recip Comp</v>
      </c>
      <c r="F269" t="str">
        <f>fac_affected!E269</f>
        <v>Reciprocating Compressors (Storage)</v>
      </c>
      <c r="G269" t="n">
        <f>fac_affected!F269</f>
        <v>1395.4432532569399</v>
      </c>
    </row>
    <row r="270">
      <c r="B270" t="str">
        <f>fac_affected!B270</f>
        <v>2032</v>
      </c>
      <c r="C270" t="str">
        <f>fac_affected!C270</f>
        <v>compressors</v>
      </c>
      <c r="E270" t="str">
        <f>fac_affected!D270</f>
        <v>Wet Seal Centrifugal Compr</v>
      </c>
      <c r="F270" t="str">
        <f>fac_affected!E270</f>
        <v>G&amp;B WS Centrifugal Comp</v>
      </c>
      <c r="G270" t="n">
        <f>fac_affected!F270</f>
        <v>379.728478927016</v>
      </c>
    </row>
    <row r="271">
      <c r="B271" t="str">
        <f>fac_affected!B271</f>
        <v>2032</v>
      </c>
      <c r="C271" t="str">
        <f>fac_affected!C271</f>
        <v>compressors</v>
      </c>
      <c r="E271" t="str">
        <f>fac_affected!D271</f>
        <v>Wet Seal Centrifugal Compr</v>
      </c>
      <c r="F271" t="str">
        <f>fac_affected!E271</f>
        <v>Proc WS Centrifugal Comp</v>
      </c>
      <c r="G271" t="n">
        <f>fac_affected!F271</f>
        <v>272.84613216024098</v>
      </c>
    </row>
    <row r="272">
      <c r="B272" t="str">
        <f>fac_affected!B272</f>
        <v>2032</v>
      </c>
      <c r="C272" t="str">
        <f>fac_affected!C272</f>
        <v>compressors</v>
      </c>
      <c r="E272" t="str">
        <f>fac_affected!D272</f>
        <v>Wet Seal Centrifugal Compr</v>
      </c>
      <c r="F272" t="str">
        <f>fac_affected!E272</f>
        <v>T&amp;S WS Centrifugal Comp</v>
      </c>
      <c r="G272" t="n">
        <f>fac_affected!F272</f>
        <v>747.16747107695096</v>
      </c>
    </row>
    <row r="273">
      <c r="B273" t="str">
        <f>fac_affected!B273</f>
        <v>2032</v>
      </c>
      <c r="C273" t="str">
        <f>fac_affected!C273</f>
        <v>compressors</v>
      </c>
      <c r="E273" t="str">
        <f>fac_affected!D273</f>
        <v>Dry Seal Centrifugal Compr</v>
      </c>
      <c r="F273" t="str">
        <f>fac_affected!E273</f>
        <v>G&amp;B DS Centrifugal Comp</v>
      </c>
      <c r="G273" t="n">
        <f>fac_affected!F273</f>
        <v>588.52301581400798</v>
      </c>
    </row>
    <row r="274">
      <c r="B274" t="str">
        <f>fac_affected!B274</f>
        <v>2032</v>
      </c>
      <c r="C274" t="str">
        <f>fac_affected!C274</f>
        <v>compressors</v>
      </c>
      <c r="E274" t="str">
        <f>fac_affected!D274</f>
        <v>Dry Seal Centrifugal Compr</v>
      </c>
      <c r="F274" t="str">
        <f>fac_affected!E274</f>
        <v>Proc DS Centrifugal Comp</v>
      </c>
      <c r="G274" t="n">
        <f>fac_affected!F274</f>
        <v>425.61363965453199</v>
      </c>
    </row>
    <row r="275">
      <c r="B275" t="str">
        <f>fac_affected!B275</f>
        <v>2032</v>
      </c>
      <c r="C275" t="str">
        <f>fac_affected!C275</f>
        <v>compressors</v>
      </c>
      <c r="E275" t="str">
        <f>fac_affected!D275</f>
        <v>Dry Seal Centrifugal Compr</v>
      </c>
      <c r="F275" t="str">
        <f>fac_affected!E275</f>
        <v>T&amp;S DS Centrifugal Comp</v>
      </c>
      <c r="G275" t="n">
        <f>fac_affected!F275</f>
        <v>3216.57571702223</v>
      </c>
    </row>
    <row r="276">
      <c r="B276" t="str">
        <f>fac_affected!B276</f>
        <v>2032</v>
      </c>
      <c r="C276" t="str">
        <f>fac_affected!C276</f>
        <v>liquids_unloading</v>
      </c>
      <c r="E276" t="n">
        <f>fac_affected!D276</f>
        <v>0</v>
      </c>
      <c r="F276" t="n">
        <f>fac_affected!E276</f>
        <v>0</v>
      </c>
      <c r="G276" t="n">
        <f>fac_affected!F276</f>
        <v>248540.92286881901</v>
      </c>
    </row>
    <row r="277">
      <c r="B277" t="str">
        <f>fac_affected!B277</f>
        <v>2032</v>
      </c>
      <c r="C277" t="str">
        <f>fac_affected!C277</f>
        <v>pneucontr</v>
      </c>
      <c r="E277" t="str">
        <f>fac_affected!D277</f>
        <v>G&amp;B Pneumatic Controllers</v>
      </c>
      <c r="F277" t="n">
        <f>fac_affected!E277</f>
        <v>0</v>
      </c>
      <c r="G277" t="n">
        <f>fac_affected!F277</f>
        <v>6192.8998040372499</v>
      </c>
    </row>
    <row r="278">
      <c r="B278" t="str">
        <f>fac_affected!B278</f>
        <v>2032</v>
      </c>
      <c r="C278" t="str">
        <f>fac_affected!C278</f>
        <v>pneucontr</v>
      </c>
      <c r="E278" t="str">
        <f>fac_affected!D278</f>
        <v>T&amp;S Pneumatic Controllers</v>
      </c>
      <c r="F278" t="n">
        <f>fac_affected!E278</f>
        <v>0</v>
      </c>
      <c r="G278" t="n">
        <f>fac_affected!F278</f>
        <v>59621.592883307203</v>
      </c>
    </row>
    <row r="279">
      <c r="B279" t="str">
        <f>fac_affected!B279</f>
        <v>2032</v>
      </c>
      <c r="C279" t="str">
        <f>fac_affected!C279</f>
        <v>pneucontr</v>
      </c>
      <c r="E279" t="str">
        <f>fac_affected!D279</f>
        <v>Well Pad Pneumatic Controllers</v>
      </c>
      <c r="F279" t="n">
        <f>fac_affected!E279</f>
        <v>0</v>
      </c>
      <c r="G279" t="n">
        <f>fac_affected!F279</f>
        <v>1319364.6657193401</v>
      </c>
    </row>
    <row r="280">
      <c r="B280" t="str">
        <f>fac_affected!B280</f>
        <v>2032</v>
      </c>
      <c r="C280" t="str">
        <f>fac_affected!C280</f>
        <v>pumps</v>
      </c>
      <c r="E280" t="str">
        <f>fac_affected!D280</f>
        <v>G&amp;B Pneumatic Pumps</v>
      </c>
      <c r="F280" t="n">
        <f>fac_affected!E280</f>
        <v>0</v>
      </c>
      <c r="G280" t="n">
        <f>fac_affected!F280</f>
        <v>663.36432475982701</v>
      </c>
    </row>
    <row r="281">
      <c r="B281" t="str">
        <f>fac_affected!B281</f>
        <v>2032</v>
      </c>
      <c r="C281" t="str">
        <f>fac_affected!C281</f>
        <v>pumps</v>
      </c>
      <c r="E281" t="str">
        <f>fac_affected!D281</f>
        <v>Well Pad Pumps</v>
      </c>
      <c r="F281" t="n">
        <f>fac_affected!E281</f>
        <v>0</v>
      </c>
      <c r="G281" t="n">
        <f>fac_affected!F281</f>
        <v>97236.656827983796</v>
      </c>
    </row>
    <row r="282">
      <c r="B282" t="str">
        <f>fac_affected!B282</f>
        <v>2032</v>
      </c>
      <c r="C282" t="str">
        <f>fac_affected!C282</f>
        <v>Storage vessels</v>
      </c>
      <c r="E282" t="n">
        <f>fac_affected!D282</f>
        <v>0</v>
      </c>
      <c r="F282" t="n">
        <f>fac_affected!E282</f>
        <v>0</v>
      </c>
      <c r="G282" t="n">
        <f>fac_affected!F282</f>
        <v>13277.3711184929</v>
      </c>
    </row>
    <row r="283">
      <c r="B283" t="str">
        <f>fac_affected!B283</f>
        <v>2033</v>
      </c>
      <c r="C283" t="str">
        <f>fac_affected!C283</f>
        <v>fugitives</v>
      </c>
      <c r="E283" t="str">
        <f>fac_affected!D283</f>
        <v>G&amp;B Stations</v>
      </c>
      <c r="F283" t="n">
        <f>fac_affected!E283</f>
        <v>0</v>
      </c>
      <c r="G283" t="n">
        <f>fac_affected!F283</f>
        <v>4969.5568970035902</v>
      </c>
    </row>
    <row r="284">
      <c r="B284" t="str">
        <f>fac_affected!B284</f>
        <v>2033</v>
      </c>
      <c r="C284" t="str">
        <f>fac_affected!C284</f>
        <v>fugitives</v>
      </c>
      <c r="E284" t="str">
        <f>fac_affected!D284</f>
        <v>Processing Plants</v>
      </c>
      <c r="F284" t="str">
        <f>fac_affected!E284</f>
        <v>Large Plants</v>
      </c>
      <c r="G284" t="n">
        <f>fac_affected!F284</f>
        <v>231.649657634032</v>
      </c>
    </row>
    <row r="285">
      <c r="B285" t="str">
        <f>fac_affected!B285</f>
        <v>2033</v>
      </c>
      <c r="C285" t="str">
        <f>fac_affected!C285</f>
        <v>fugitives</v>
      </c>
      <c r="E285" t="str">
        <f>fac_affected!D285</f>
        <v>Processing Plants</v>
      </c>
      <c r="F285" t="str">
        <f>fac_affected!E285</f>
        <v>Small Plants</v>
      </c>
      <c r="G285" t="n">
        <f>fac_affected!F285</f>
        <v>961.44857902974195</v>
      </c>
    </row>
    <row r="286">
      <c r="B286" t="str">
        <f>fac_affected!B286</f>
        <v>2033</v>
      </c>
      <c r="C286" t="str">
        <f>fac_affected!C286</f>
        <v>fugitives</v>
      </c>
      <c r="E286" t="str">
        <f>fac_affected!D286</f>
        <v>T&amp;S Compressor Stations</v>
      </c>
      <c r="F286" t="str">
        <f>fac_affected!E286</f>
        <v>Compressor Stations (Transmission)</v>
      </c>
      <c r="G286" t="n">
        <f>fac_affected!F286</f>
        <v>1530.6546285833099</v>
      </c>
    </row>
    <row r="287">
      <c r="B287" t="str">
        <f>fac_affected!B287</f>
        <v>2033</v>
      </c>
      <c r="C287" t="str">
        <f>fac_affected!C287</f>
        <v>fugitives</v>
      </c>
      <c r="E287" t="str">
        <f>fac_affected!D287</f>
        <v>T&amp;S Compressor Stations</v>
      </c>
      <c r="F287" t="str">
        <f>fac_affected!E287</f>
        <v>Compressor Stations (Storage)</v>
      </c>
      <c r="G287" t="n">
        <f>fac_affected!F287</f>
        <v>276.06724847505097</v>
      </c>
    </row>
    <row r="288">
      <c r="B288" t="str">
        <f>fac_affected!B288</f>
        <v>2033</v>
      </c>
      <c r="C288" t="str">
        <f>fac_affected!C288</f>
        <v>fugitives</v>
      </c>
      <c r="E288" t="str">
        <f>fac_affected!D288</f>
        <v>Wellpad Fugitives</v>
      </c>
      <c r="F288" t="str">
        <f>fac_affected!E288</f>
        <v>1: No equipment, no tanks</v>
      </c>
      <c r="G288" t="n">
        <f>fac_affected!F288</f>
        <v>174779.01617623601</v>
      </c>
    </row>
    <row r="289">
      <c r="B289" t="str">
        <f>fac_affected!B289</f>
        <v>2033</v>
      </c>
      <c r="C289" t="str">
        <f>fac_affected!C289</f>
        <v>fugitives</v>
      </c>
      <c r="E289" t="str">
        <f>fac_affected!D289</f>
        <v>Wellpad Fugitives</v>
      </c>
      <c r="F289" t="str">
        <f>fac_affected!E289</f>
        <v>2: Tanks, no equipment</v>
      </c>
      <c r="G289" t="n">
        <f>fac_affected!F289</f>
        <v>27956.6362130981</v>
      </c>
    </row>
    <row r="290">
      <c r="B290" t="str">
        <f>fac_affected!B290</f>
        <v>2033</v>
      </c>
      <c r="C290" t="str">
        <f>fac_affected!C290</f>
        <v>fugitives</v>
      </c>
      <c r="E290" t="str">
        <f>fac_affected!D290</f>
        <v>Wellpad Fugitives</v>
      </c>
      <c r="F290" t="str">
        <f>fac_affected!E290</f>
        <v>3: Equipment = 1, no tanks</v>
      </c>
      <c r="G290" t="n">
        <f>fac_affected!F290</f>
        <v>23100.555065775901</v>
      </c>
    </row>
    <row r="291">
      <c r="B291" t="str">
        <f>fac_affected!B291</f>
        <v>2033</v>
      </c>
      <c r="C291" t="str">
        <f>fac_affected!C291</f>
        <v>fugitives</v>
      </c>
      <c r="E291" t="str">
        <f>fac_affected!D291</f>
        <v>Wellpad Fugitives</v>
      </c>
      <c r="F291" t="str">
        <f>fac_affected!E291</f>
        <v>4: Equipment &gt; 1, no tanks</v>
      </c>
      <c r="G291" t="n">
        <f>fac_affected!F291</f>
        <v>33825.818256001898</v>
      </c>
    </row>
    <row r="292">
      <c r="B292" t="str">
        <f>fac_affected!B292</f>
        <v>2033</v>
      </c>
      <c r="C292" t="str">
        <f>fac_affected!C292</f>
        <v>fugitives</v>
      </c>
      <c r="E292" t="str">
        <f>fac_affected!D292</f>
        <v>Wellpad Fugitives</v>
      </c>
      <c r="F292" t="str">
        <f>fac_affected!E292</f>
        <v>5: Equipment = 1 and tanks</v>
      </c>
      <c r="G292" t="n">
        <f>fac_affected!F292</f>
        <v>51870.720580804002</v>
      </c>
    </row>
    <row r="293">
      <c r="B293" t="str">
        <f>fac_affected!B293</f>
        <v>2033</v>
      </c>
      <c r="C293" t="str">
        <f>fac_affected!C293</f>
        <v>fugitives</v>
      </c>
      <c r="E293" t="str">
        <f>fac_affected!D293</f>
        <v>Wellpad Fugitives</v>
      </c>
      <c r="F293" t="str">
        <f>fac_affected!E293</f>
        <v>6: Equipment &gt; 1 and tanks</v>
      </c>
      <c r="G293" t="n">
        <f>fac_affected!F293</f>
        <v>147681.85249207501</v>
      </c>
    </row>
    <row r="294">
      <c r="B294" t="str">
        <f>fac_affected!B294</f>
        <v>2033</v>
      </c>
      <c r="C294" t="str">
        <f>fac_affected!C294</f>
        <v>compressors</v>
      </c>
      <c r="E294" t="str">
        <f>fac_affected!D294</f>
        <v>G&amp;B Station Recip Comp</v>
      </c>
      <c r="F294" t="n">
        <f>fac_affected!E294</f>
        <v>0</v>
      </c>
      <c r="G294" t="n">
        <f>fac_affected!F294</f>
        <v>29443.675079438999</v>
      </c>
    </row>
    <row r="295">
      <c r="B295" t="str">
        <f>fac_affected!B295</f>
        <v>2033</v>
      </c>
      <c r="C295" t="str">
        <f>fac_affected!C295</f>
        <v>compressors</v>
      </c>
      <c r="E295" t="str">
        <f>fac_affected!D295</f>
        <v>Proc Recip Comp</v>
      </c>
      <c r="F295" t="n">
        <f>fac_affected!E295</f>
        <v>0</v>
      </c>
      <c r="G295" t="n">
        <f>fac_affected!F295</f>
        <v>4142.9974206300803</v>
      </c>
    </row>
    <row r="296">
      <c r="B296" t="str">
        <f>fac_affected!B296</f>
        <v>2033</v>
      </c>
      <c r="C296" t="str">
        <f>fac_affected!C296</f>
        <v>compressors</v>
      </c>
      <c r="E296" t="str">
        <f>fac_affected!D296</f>
        <v>T&amp;S Recip Comp</v>
      </c>
      <c r="F296" t="str">
        <f>fac_affected!E296</f>
        <v>Reciprocating Compressors (Transmission)</v>
      </c>
      <c r="G296" t="n">
        <f>fac_affected!F296</f>
        <v>9665.7556090891594</v>
      </c>
    </row>
    <row r="297">
      <c r="B297" t="str">
        <f>fac_affected!B297</f>
        <v>2033</v>
      </c>
      <c r="C297" t="str">
        <f>fac_affected!C297</f>
        <v>compressors</v>
      </c>
      <c r="E297" t="str">
        <f>fac_affected!D297</f>
        <v>T&amp;S Recip Comp</v>
      </c>
      <c r="F297" t="str">
        <f>fac_affected!E297</f>
        <v>Reciprocating Compressors (Storage)</v>
      </c>
      <c r="G297" t="n">
        <f>fac_affected!F297</f>
        <v>1393.7623327563799</v>
      </c>
    </row>
    <row r="298">
      <c r="B298" t="str">
        <f>fac_affected!B298</f>
        <v>2033</v>
      </c>
      <c r="C298" t="str">
        <f>fac_affected!C298</f>
        <v>compressors</v>
      </c>
      <c r="E298" t="str">
        <f>fac_affected!D298</f>
        <v>Wet Seal Centrifugal Compr</v>
      </c>
      <c r="F298" t="str">
        <f>fac_affected!E298</f>
        <v>G&amp;B WS Centrifugal Comp</v>
      </c>
      <c r="G298" t="n">
        <f>fac_affected!F298</f>
        <v>391.89164958804201</v>
      </c>
    </row>
    <row r="299">
      <c r="B299" t="str">
        <f>fac_affected!B299</f>
        <v>2033</v>
      </c>
      <c r="C299" t="str">
        <f>fac_affected!C299</f>
        <v>compressors</v>
      </c>
      <c r="E299" t="str">
        <f>fac_affected!D299</f>
        <v>Wet Seal Centrifugal Compr</v>
      </c>
      <c r="F299" t="str">
        <f>fac_affected!E299</f>
        <v>Proc WS Centrifugal Comp</v>
      </c>
      <c r="G299" t="n">
        <f>fac_affected!F299</f>
        <v>270.11767083863901</v>
      </c>
    </row>
    <row r="300">
      <c r="B300" t="str">
        <f>fac_affected!B300</f>
        <v>2033</v>
      </c>
      <c r="C300" t="str">
        <f>fac_affected!C300</f>
        <v>compressors</v>
      </c>
      <c r="E300" t="str">
        <f>fac_affected!D300</f>
        <v>Wet Seal Centrifugal Compr</v>
      </c>
      <c r="F300" t="str">
        <f>fac_affected!E300</f>
        <v>T&amp;S WS Centrifugal Comp</v>
      </c>
      <c r="G300" t="n">
        <f>fac_affected!F300</f>
        <v>741.63621060219305</v>
      </c>
    </row>
    <row r="301">
      <c r="B301" t="str">
        <f>fac_affected!B301</f>
        <v>2033</v>
      </c>
      <c r="C301" t="str">
        <f>fac_affected!C301</f>
        <v>compressors</v>
      </c>
      <c r="E301" t="str">
        <f>fac_affected!D301</f>
        <v>Dry Seal Centrifugal Compr</v>
      </c>
      <c r="F301" t="str">
        <f>fac_affected!E301</f>
        <v>G&amp;B DS Centrifugal Comp</v>
      </c>
      <c r="G301" t="n">
        <f>fac_affected!F301</f>
        <v>607.11811351787605</v>
      </c>
    </row>
    <row r="302">
      <c r="B302" t="str">
        <f>fac_affected!B302</f>
        <v>2033</v>
      </c>
      <c r="C302" t="str">
        <f>fac_affected!C302</f>
        <v>compressors</v>
      </c>
      <c r="E302" t="str">
        <f>fac_affected!D302</f>
        <v>Dry Seal Centrifugal Compr</v>
      </c>
      <c r="F302" t="str">
        <f>fac_affected!E302</f>
        <v>Proc DS Centrifugal Comp</v>
      </c>
      <c r="G302" t="n">
        <f>fac_affected!F302</f>
        <v>430.48419158398201</v>
      </c>
    </row>
    <row r="303">
      <c r="B303" t="str">
        <f>fac_affected!B303</f>
        <v>2033</v>
      </c>
      <c r="C303" t="str">
        <f>fac_affected!C303</f>
        <v>compressors</v>
      </c>
      <c r="E303" t="str">
        <f>fac_affected!D303</f>
        <v>Dry Seal Centrifugal Compr</v>
      </c>
      <c r="F303" t="str">
        <f>fac_affected!E303</f>
        <v>T&amp;S DS Centrifugal Comp</v>
      </c>
      <c r="G303" t="n">
        <f>fac_affected!F303</f>
        <v>3328.8328768047099</v>
      </c>
    </row>
    <row r="304">
      <c r="B304" t="str">
        <f>fac_affected!B304</f>
        <v>2033</v>
      </c>
      <c r="C304" t="str">
        <f>fac_affected!C304</f>
        <v>liquids_unloading</v>
      </c>
      <c r="E304" t="n">
        <f>fac_affected!D304</f>
        <v>0</v>
      </c>
      <c r="F304" t="n">
        <f>fac_affected!E304</f>
        <v>0</v>
      </c>
      <c r="G304" t="n">
        <f>fac_affected!F304</f>
        <v>246718.748413327</v>
      </c>
    </row>
    <row r="305">
      <c r="B305" t="str">
        <f>fac_affected!B305</f>
        <v>2033</v>
      </c>
      <c r="C305" t="str">
        <f>fac_affected!C305</f>
        <v>pneucontr</v>
      </c>
      <c r="E305" t="str">
        <f>fac_affected!D305</f>
        <v>G&amp;B Pneumatic Controllers</v>
      </c>
      <c r="F305" t="n">
        <f>fac_affected!E305</f>
        <v>0</v>
      </c>
      <c r="G305" t="n">
        <f>fac_affected!F305</f>
        <v>6579.95604178958</v>
      </c>
    </row>
    <row r="306">
      <c r="B306" t="str">
        <f>fac_affected!B306</f>
        <v>2033</v>
      </c>
      <c r="C306" t="str">
        <f>fac_affected!C306</f>
        <v>pneucontr</v>
      </c>
      <c r="E306" t="str">
        <f>fac_affected!D306</f>
        <v>T&amp;S Pneumatic Controllers</v>
      </c>
      <c r="F306" t="n">
        <f>fac_affected!E306</f>
        <v>0</v>
      </c>
      <c r="G306" t="n">
        <f>fac_affected!F306</f>
        <v>63347.942438513899</v>
      </c>
    </row>
    <row r="307">
      <c r="B307" t="str">
        <f>fac_affected!B307</f>
        <v>2033</v>
      </c>
      <c r="C307" t="str">
        <f>fac_affected!C307</f>
        <v>pneucontr</v>
      </c>
      <c r="E307" t="str">
        <f>fac_affected!D307</f>
        <v>Well Pad Pneumatic Controllers</v>
      </c>
      <c r="F307" t="n">
        <f>fac_affected!E307</f>
        <v>0</v>
      </c>
      <c r="G307" t="n">
        <f>fac_affected!F307</f>
        <v>1321073.56836405</v>
      </c>
    </row>
    <row r="308">
      <c r="B308" t="str">
        <f>fac_affected!B308</f>
        <v>2033</v>
      </c>
      <c r="C308" t="str">
        <f>fac_affected!C308</f>
        <v>pumps</v>
      </c>
      <c r="E308" t="str">
        <f>fac_affected!D308</f>
        <v>G&amp;B Pneumatic Pumps</v>
      </c>
      <c r="F308" t="n">
        <f>fac_affected!E308</f>
        <v>0</v>
      </c>
      <c r="G308" t="n">
        <f>fac_affected!F308</f>
        <v>704.82459505731595</v>
      </c>
    </row>
    <row r="309">
      <c r="B309" t="str">
        <f>fac_affected!B309</f>
        <v>2033</v>
      </c>
      <c r="C309" t="str">
        <f>fac_affected!C309</f>
        <v>pumps</v>
      </c>
      <c r="E309" t="str">
        <f>fac_affected!D309</f>
        <v>Well Pad Pumps</v>
      </c>
      <c r="F309" t="n">
        <f>fac_affected!E309</f>
        <v>0</v>
      </c>
      <c r="G309" t="n">
        <f>fac_affected!F309</f>
        <v>96516.498228566605</v>
      </c>
    </row>
    <row r="310">
      <c r="B310" t="str">
        <f>fac_affected!B310</f>
        <v>2033</v>
      </c>
      <c r="C310" t="str">
        <f>fac_affected!C310</f>
        <v>Storage vessels</v>
      </c>
      <c r="E310" t="n">
        <f>fac_affected!D310</f>
        <v>0</v>
      </c>
      <c r="F310" t="n">
        <f>fac_affected!E310</f>
        <v>0</v>
      </c>
      <c r="G310" t="n">
        <f>fac_affected!F310</f>
        <v>14544.4336807982</v>
      </c>
    </row>
    <row r="311">
      <c r="B311" t="str">
        <f>fac_affected!B311</f>
        <v>2034</v>
      </c>
      <c r="C311" t="str">
        <f>fac_affected!C311</f>
        <v>fugitives</v>
      </c>
      <c r="E311" t="str">
        <f>fac_affected!D311</f>
        <v>G&amp;B Stations</v>
      </c>
      <c r="F311" t="n">
        <f>fac_affected!E311</f>
        <v>0</v>
      </c>
      <c r="G311" t="n">
        <f>fac_affected!F311</f>
        <v>4931.6413793364</v>
      </c>
    </row>
    <row r="312">
      <c r="B312" t="str">
        <f>fac_affected!B312</f>
        <v>2034</v>
      </c>
      <c r="C312" t="str">
        <f>fac_affected!C312</f>
        <v>fugitives</v>
      </c>
      <c r="E312" t="str">
        <f>fac_affected!D312</f>
        <v>Processing Plants</v>
      </c>
      <c r="F312" t="str">
        <f>fac_affected!E312</f>
        <v>Large Plants</v>
      </c>
      <c r="G312" t="n">
        <f>fac_affected!F312</f>
        <v>232.20474349040899</v>
      </c>
    </row>
    <row r="313">
      <c r="B313" t="str">
        <f>fac_affected!B313</f>
        <v>2034</v>
      </c>
      <c r="C313" t="str">
        <f>fac_affected!C313</f>
        <v>fugitives</v>
      </c>
      <c r="E313" t="str">
        <f>fac_affected!D313</f>
        <v>Processing Plants</v>
      </c>
      <c r="F313" t="str">
        <f>fac_affected!E313</f>
        <v>Small Plants</v>
      </c>
      <c r="G313" t="n">
        <f>fac_affected!F313</f>
        <v>963.75243094691803</v>
      </c>
    </row>
    <row r="314">
      <c r="B314" t="str">
        <f>fac_affected!B314</f>
        <v>2034</v>
      </c>
      <c r="C314" t="str">
        <f>fac_affected!C314</f>
        <v>fugitives</v>
      </c>
      <c r="E314" t="str">
        <f>fac_affected!D314</f>
        <v>T&amp;S Compressor Stations</v>
      </c>
      <c r="F314" t="str">
        <f>fac_affected!E314</f>
        <v>Compressor Stations (Transmission)</v>
      </c>
      <c r="G314" t="n">
        <f>fac_affected!F314</f>
        <v>1519.3528814014801</v>
      </c>
    </row>
    <row r="315">
      <c r="B315" t="str">
        <f>fac_affected!B315</f>
        <v>2034</v>
      </c>
      <c r="C315" t="str">
        <f>fac_affected!C315</f>
        <v>fugitives</v>
      </c>
      <c r="E315" t="str">
        <f>fac_affected!D315</f>
        <v>T&amp;S Compressor Stations</v>
      </c>
      <c r="F315" t="str">
        <f>fac_affected!E315</f>
        <v>Compressor Stations (Storage)</v>
      </c>
      <c r="G315" t="n">
        <f>fac_affected!F315</f>
        <v>273.38789154753999</v>
      </c>
    </row>
    <row r="316">
      <c r="B316" t="str">
        <f>fac_affected!B316</f>
        <v>2034</v>
      </c>
      <c r="C316" t="str">
        <f>fac_affected!C316</f>
        <v>fugitives</v>
      </c>
      <c r="E316" t="str">
        <f>fac_affected!D316</f>
        <v>Wellpad Fugitives</v>
      </c>
      <c r="F316" t="str">
        <f>fac_affected!E316</f>
        <v>1: No equipment, no tanks</v>
      </c>
      <c r="G316" t="n">
        <f>fac_affected!F316</f>
        <v>169640.46273076101</v>
      </c>
    </row>
    <row r="317">
      <c r="B317" t="str">
        <f>fac_affected!B317</f>
        <v>2034</v>
      </c>
      <c r="C317" t="str">
        <f>fac_affected!C317</f>
        <v>fugitives</v>
      </c>
      <c r="E317" t="str">
        <f>fac_affected!D317</f>
        <v>Wellpad Fugitives</v>
      </c>
      <c r="F317" t="str">
        <f>fac_affected!E317</f>
        <v>2: Tanks, no equipment</v>
      </c>
      <c r="G317" t="n">
        <f>fac_affected!F317</f>
        <v>27157.469703136099</v>
      </c>
    </row>
    <row r="318">
      <c r="B318" t="str">
        <f>fac_affected!B318</f>
        <v>2034</v>
      </c>
      <c r="C318" t="str">
        <f>fac_affected!C318</f>
        <v>fugitives</v>
      </c>
      <c r="E318" t="str">
        <f>fac_affected!D318</f>
        <v>Wellpad Fugitives</v>
      </c>
      <c r="F318" t="str">
        <f>fac_affected!E318</f>
        <v>3: Equipment = 1, no tanks</v>
      </c>
      <c r="G318" t="n">
        <f>fac_affected!F318</f>
        <v>22426.358322235999</v>
      </c>
    </row>
    <row r="319">
      <c r="B319" t="str">
        <f>fac_affected!B319</f>
        <v>2034</v>
      </c>
      <c r="C319" t="str">
        <f>fac_affected!C319</f>
        <v>fugitives</v>
      </c>
      <c r="E319" t="str">
        <f>fac_affected!D319</f>
        <v>Wellpad Fugitives</v>
      </c>
      <c r="F319" t="str">
        <f>fac_affected!E319</f>
        <v>4: Equipment &gt; 1, no tanks</v>
      </c>
      <c r="G319" t="n">
        <f>fac_affected!F319</f>
        <v>33790.075823732797</v>
      </c>
    </row>
    <row r="320">
      <c r="B320" t="str">
        <f>fac_affected!B320</f>
        <v>2034</v>
      </c>
      <c r="C320" t="str">
        <f>fac_affected!C320</f>
        <v>fugitives</v>
      </c>
      <c r="E320" t="str">
        <f>fac_affected!D320</f>
        <v>Wellpad Fugitives</v>
      </c>
      <c r="F320" t="str">
        <f>fac_affected!E320</f>
        <v>5: Equipment = 1 and tanks</v>
      </c>
      <c r="G320" t="n">
        <f>fac_affected!F320</f>
        <v>50502.807184298297</v>
      </c>
    </row>
    <row r="321">
      <c r="B321" t="str">
        <f>fac_affected!B321</f>
        <v>2034</v>
      </c>
      <c r="C321" t="str">
        <f>fac_affected!C321</f>
        <v>fugitives</v>
      </c>
      <c r="E321" t="str">
        <f>fac_affected!D321</f>
        <v>Wellpad Fugitives</v>
      </c>
      <c r="F321" t="str">
        <f>fac_affected!E321</f>
        <v>6: Equipment &gt; 1 and tanks</v>
      </c>
      <c r="G321" t="n">
        <f>fac_affected!F321</f>
        <v>148249.086072654</v>
      </c>
    </row>
    <row r="322">
      <c r="B322" t="str">
        <f>fac_affected!B322</f>
        <v>2034</v>
      </c>
      <c r="C322" t="str">
        <f>fac_affected!C322</f>
        <v>compressors</v>
      </c>
      <c r="E322" t="str">
        <f>fac_affected!D322</f>
        <v>G&amp;B Station Recip Comp</v>
      </c>
      <c r="F322" t="n">
        <f>fac_affected!E322</f>
        <v>0</v>
      </c>
      <c r="G322" t="n">
        <f>fac_affected!F322</f>
        <v>30358.393869306401</v>
      </c>
    </row>
    <row r="323">
      <c r="B323" t="str">
        <f>fac_affected!B323</f>
        <v>2034</v>
      </c>
      <c r="C323" t="str">
        <f>fac_affected!C323</f>
        <v>compressors</v>
      </c>
      <c r="E323" t="str">
        <f>fac_affected!D323</f>
        <v>Proc Recip Comp</v>
      </c>
      <c r="F323" t="n">
        <f>fac_affected!E323</f>
        <v>0</v>
      </c>
      <c r="G323" t="n">
        <f>fac_affected!F323</f>
        <v>4156.6134624034303</v>
      </c>
    </row>
    <row r="324">
      <c r="B324" t="str">
        <f>fac_affected!B324</f>
        <v>2034</v>
      </c>
      <c r="C324" t="str">
        <f>fac_affected!C324</f>
        <v>compressors</v>
      </c>
      <c r="E324" t="str">
        <f>fac_affected!D324</f>
        <v>T&amp;S Recip Comp</v>
      </c>
      <c r="F324" t="str">
        <f>fac_affected!E324</f>
        <v>Reciprocating Compressors (Transmission)</v>
      </c>
      <c r="G324" t="n">
        <f>fac_affected!F324</f>
        <v>9918.6510185594798</v>
      </c>
    </row>
    <row r="325">
      <c r="B325" t="str">
        <f>fac_affected!B325</f>
        <v>2034</v>
      </c>
      <c r="C325" t="str">
        <f>fac_affected!C325</f>
        <v>compressors</v>
      </c>
      <c r="E325" t="str">
        <f>fac_affected!D325</f>
        <v>T&amp;S Recip Comp</v>
      </c>
      <c r="F325" t="str">
        <f>fac_affected!E325</f>
        <v>Reciprocating Compressors (Storage)</v>
      </c>
      <c r="G325" t="n">
        <f>fac_affected!F325</f>
        <v>1392.2000760062999</v>
      </c>
    </row>
    <row r="326">
      <c r="B326" t="str">
        <f>fac_affected!B326</f>
        <v>2034</v>
      </c>
      <c r="C326" t="str">
        <f>fac_affected!C326</f>
        <v>compressors</v>
      </c>
      <c r="E326" t="str">
        <f>fac_affected!D326</f>
        <v>Wet Seal Centrifugal Compr</v>
      </c>
      <c r="F326" t="str">
        <f>fac_affected!E326</f>
        <v>G&amp;B WS Centrifugal Comp</v>
      </c>
      <c r="G326" t="n">
        <f>fac_affected!F326</f>
        <v>404.06644279925399</v>
      </c>
    </row>
    <row r="327">
      <c r="B327" t="str">
        <f>fac_affected!B327</f>
        <v>2034</v>
      </c>
      <c r="C327" t="str">
        <f>fac_affected!C327</f>
        <v>compressors</v>
      </c>
      <c r="E327" t="str">
        <f>fac_affected!D327</f>
        <v>Wet Seal Centrifugal Compr</v>
      </c>
      <c r="F327" t="str">
        <f>fac_affected!E327</f>
        <v>Proc WS Centrifugal Comp</v>
      </c>
      <c r="G327" t="n">
        <f>fac_affected!F327</f>
        <v>267.41649413025198</v>
      </c>
    </row>
    <row r="328">
      <c r="B328" t="str">
        <f>fac_affected!B328</f>
        <v>2034</v>
      </c>
      <c r="C328" t="str">
        <f>fac_affected!C328</f>
        <v>compressors</v>
      </c>
      <c r="E328" t="str">
        <f>fac_affected!D328</f>
        <v>Wet Seal Centrifugal Compr</v>
      </c>
      <c r="F328" t="str">
        <f>fac_affected!E328</f>
        <v>T&amp;S WS Centrifugal Comp</v>
      </c>
      <c r="G328" t="n">
        <f>fac_affected!F328</f>
        <v>736.16026273218199</v>
      </c>
    </row>
    <row r="329">
      <c r="B329" t="str">
        <f>fac_affected!B329</f>
        <v>2034</v>
      </c>
      <c r="C329" t="str">
        <f>fac_affected!C329</f>
        <v>compressors</v>
      </c>
      <c r="E329" t="str">
        <f>fac_affected!D329</f>
        <v>Dry Seal Centrifugal Compr</v>
      </c>
      <c r="F329" t="str">
        <f>fac_affected!E329</f>
        <v>G&amp;B DS Centrifugal Comp</v>
      </c>
      <c r="G329" t="n">
        <f>fac_affected!F329</f>
        <v>625.73164713739402</v>
      </c>
    </row>
    <row r="330">
      <c r="B330" t="str">
        <f>fac_affected!B330</f>
        <v>2034</v>
      </c>
      <c r="C330" t="str">
        <f>fac_affected!C330</f>
        <v>compressors</v>
      </c>
      <c r="E330" t="str">
        <f>fac_affected!D330</f>
        <v>Dry Seal Centrifugal Compr</v>
      </c>
      <c r="F330" t="str">
        <f>fac_affected!E330</f>
        <v>Proc DS Centrifugal Comp</v>
      </c>
      <c r="G330" t="n">
        <f>fac_affected!F330</f>
        <v>435.376218269547</v>
      </c>
    </row>
    <row r="331">
      <c r="B331" t="str">
        <f>fac_affected!B331</f>
        <v>2034</v>
      </c>
      <c r="C331" t="str">
        <f>fac_affected!C331</f>
        <v>compressors</v>
      </c>
      <c r="E331" t="str">
        <f>fac_affected!D331</f>
        <v>Dry Seal Centrifugal Compr</v>
      </c>
      <c r="F331" t="str">
        <f>fac_affected!E331</f>
        <v>T&amp;S DS Centrifugal Comp</v>
      </c>
      <c r="G331" t="n">
        <f>fac_affected!F331</f>
        <v>3441.1760568743098</v>
      </c>
    </row>
    <row r="332">
      <c r="B332" t="str">
        <f>fac_affected!B332</f>
        <v>2034</v>
      </c>
      <c r="C332" t="str">
        <f>fac_affected!C332</f>
        <v>liquids_unloading</v>
      </c>
      <c r="E332" t="n">
        <f>fac_affected!D332</f>
        <v>0</v>
      </c>
      <c r="F332" t="n">
        <f>fac_affected!E332</f>
        <v>0</v>
      </c>
      <c r="G332" t="n">
        <f>fac_affected!F332</f>
        <v>244962.36786062899</v>
      </c>
    </row>
    <row r="333">
      <c r="B333" t="str">
        <f>fac_affected!B333</f>
        <v>2034</v>
      </c>
      <c r="C333" t="str">
        <f>fac_affected!C333</f>
        <v>pneucontr</v>
      </c>
      <c r="E333" t="str">
        <f>fac_affected!D333</f>
        <v>G&amp;B Pneumatic Controllers</v>
      </c>
      <c r="F333" t="n">
        <f>fac_affected!E333</f>
        <v>0</v>
      </c>
      <c r="G333" t="n">
        <f>fac_affected!F333</f>
        <v>6967.0122795419102</v>
      </c>
    </row>
    <row r="334">
      <c r="B334" t="str">
        <f>fac_affected!B334</f>
        <v>2034</v>
      </c>
      <c r="C334" t="str">
        <f>fac_affected!C334</f>
        <v>pneucontr</v>
      </c>
      <c r="E334" t="str">
        <f>fac_affected!D334</f>
        <v>T&amp;S Pneumatic Controllers</v>
      </c>
      <c r="F334" t="n">
        <f>fac_affected!E334</f>
        <v>0</v>
      </c>
      <c r="G334" t="n">
        <f>fac_affected!F334</f>
        <v>67074.291993720602</v>
      </c>
    </row>
    <row r="335">
      <c r="B335" t="str">
        <f>fac_affected!B335</f>
        <v>2034</v>
      </c>
      <c r="C335" t="str">
        <f>fac_affected!C335</f>
        <v>pneucontr</v>
      </c>
      <c r="E335" t="str">
        <f>fac_affected!D335</f>
        <v>Well Pad Pneumatic Controllers</v>
      </c>
      <c r="F335" t="n">
        <f>fac_affected!E335</f>
        <v>0</v>
      </c>
      <c r="G335" t="n">
        <f>fac_affected!F335</f>
        <v>1322527.22823774</v>
      </c>
    </row>
    <row r="336">
      <c r="B336" t="str">
        <f>fac_affected!B336</f>
        <v>2034</v>
      </c>
      <c r="C336" t="str">
        <f>fac_affected!C336</f>
        <v>pumps</v>
      </c>
      <c r="E336" t="str">
        <f>fac_affected!D336</f>
        <v>G&amp;B Pneumatic Pumps</v>
      </c>
      <c r="F336" t="n">
        <f>fac_affected!E336</f>
        <v>0</v>
      </c>
      <c r="G336" t="n">
        <f>fac_affected!F336</f>
        <v>746.28486535480602</v>
      </c>
    </row>
    <row r="337">
      <c r="B337" t="str">
        <f>fac_affected!B337</f>
        <v>2034</v>
      </c>
      <c r="C337" t="str">
        <f>fac_affected!C337</f>
        <v>pumps</v>
      </c>
      <c r="E337" t="str">
        <f>fac_affected!D337</f>
        <v>Well Pad Pumps</v>
      </c>
      <c r="F337" t="n">
        <f>fac_affected!E337</f>
        <v>0</v>
      </c>
      <c r="G337" t="n">
        <f>fac_affected!F337</f>
        <v>95823.609173010103</v>
      </c>
    </row>
    <row r="338">
      <c r="B338" t="str">
        <f>fac_affected!B338</f>
        <v>2034</v>
      </c>
      <c r="C338" t="str">
        <f>fac_affected!C338</f>
        <v>Storage vessels</v>
      </c>
      <c r="E338" t="n">
        <f>fac_affected!D338</f>
        <v>0</v>
      </c>
      <c r="F338" t="n">
        <f>fac_affected!E338</f>
        <v>0</v>
      </c>
      <c r="G338" t="n">
        <f>fac_affected!F338</f>
        <v>15790.8867677627</v>
      </c>
    </row>
    <row r="339">
      <c r="B339" t="str">
        <f>fac_affected!B339</f>
        <v>2035</v>
      </c>
      <c r="C339" t="str">
        <f>fac_affected!C339</f>
        <v>fugitives</v>
      </c>
      <c r="E339" t="str">
        <f>fac_affected!D339</f>
        <v>G&amp;B Stations</v>
      </c>
      <c r="F339" t="n">
        <f>fac_affected!E339</f>
        <v>0</v>
      </c>
      <c r="G339" t="n">
        <f>fac_affected!F339</f>
        <v>4894.1050168458796</v>
      </c>
    </row>
    <row r="340">
      <c r="B340" t="str">
        <f>fac_affected!B340</f>
        <v>2035</v>
      </c>
      <c r="C340" t="str">
        <f>fac_affected!C340</f>
        <v>fugitives</v>
      </c>
      <c r="E340" t="str">
        <f>fac_affected!D340</f>
        <v>Processing Plants</v>
      </c>
      <c r="F340" t="str">
        <f>fac_affected!E340</f>
        <v>Large Plants</v>
      </c>
      <c r="G340" t="n">
        <f>fac_affected!F340</f>
        <v>232.776191212512</v>
      </c>
    </row>
    <row r="341">
      <c r="B341" t="str">
        <f>fac_affected!B341</f>
        <v>2035</v>
      </c>
      <c r="C341" t="str">
        <f>fac_affected!C341</f>
        <v>fugitives</v>
      </c>
      <c r="E341" t="str">
        <f>fac_affected!D341</f>
        <v>Processing Plants</v>
      </c>
      <c r="F341" t="str">
        <f>fac_affected!E341</f>
        <v>Small Plants</v>
      </c>
      <c r="G341" t="n">
        <f>fac_affected!F341</f>
        <v>966.12419184661906</v>
      </c>
    </row>
    <row r="342">
      <c r="B342" t="str">
        <f>fac_affected!B342</f>
        <v>2035</v>
      </c>
      <c r="C342" t="str">
        <f>fac_affected!C342</f>
        <v>fugitives</v>
      </c>
      <c r="E342" t="str">
        <f>fac_affected!D342</f>
        <v>T&amp;S Compressor Stations</v>
      </c>
      <c r="F342" t="str">
        <f>fac_affected!E342</f>
        <v>Compressor Stations (Transmission)</v>
      </c>
      <c r="G342" t="n">
        <f>fac_affected!F342</f>
        <v>1508.1641516914799</v>
      </c>
    </row>
    <row r="343">
      <c r="B343" t="str">
        <f>fac_affected!B343</f>
        <v>2035</v>
      </c>
      <c r="C343" t="str">
        <f>fac_affected!C343</f>
        <v>fugitives</v>
      </c>
      <c r="E343" t="str">
        <f>fac_affected!D343</f>
        <v>T&amp;S Compressor Stations</v>
      </c>
      <c r="F343" t="str">
        <f>fac_affected!E343</f>
        <v>Compressor Stations (Storage)</v>
      </c>
      <c r="G343" t="n">
        <f>fac_affected!F343</f>
        <v>270.735328189303</v>
      </c>
    </row>
    <row r="344">
      <c r="B344" t="str">
        <f>fac_affected!B344</f>
        <v>2035</v>
      </c>
      <c r="C344" t="str">
        <f>fac_affected!C344</f>
        <v>fugitives</v>
      </c>
      <c r="E344" t="str">
        <f>fac_affected!D344</f>
        <v>Wellpad Fugitives</v>
      </c>
      <c r="F344" t="str">
        <f>fac_affected!E344</f>
        <v>1: No equipment, no tanks</v>
      </c>
      <c r="G344" t="n">
        <f>fac_affected!F344</f>
        <v>164689.41957253101</v>
      </c>
    </row>
    <row r="345">
      <c r="B345" t="str">
        <f>fac_affected!B345</f>
        <v>2035</v>
      </c>
      <c r="C345" t="str">
        <f>fac_affected!C345</f>
        <v>fugitives</v>
      </c>
      <c r="E345" t="str">
        <f>fac_affected!D345</f>
        <v>Wellpad Fugitives</v>
      </c>
      <c r="F345" t="str">
        <f>fac_affected!E345</f>
        <v>2: Tanks, no equipment</v>
      </c>
      <c r="G345" t="n">
        <f>fac_affected!F345</f>
        <v>26393.112047015999</v>
      </c>
    </row>
    <row r="346">
      <c r="B346" t="str">
        <f>fac_affected!B346</f>
        <v>2035</v>
      </c>
      <c r="C346" t="str">
        <f>fac_affected!C346</f>
        <v>fugitives</v>
      </c>
      <c r="E346" t="str">
        <f>fac_affected!D346</f>
        <v>Wellpad Fugitives</v>
      </c>
      <c r="F346" t="str">
        <f>fac_affected!E346</f>
        <v>3: Equipment = 1, no tanks</v>
      </c>
      <c r="G346" t="n">
        <f>fac_affected!F346</f>
        <v>21769.382052144101</v>
      </c>
    </row>
    <row r="347">
      <c r="B347" t="str">
        <f>fac_affected!B347</f>
        <v>2035</v>
      </c>
      <c r="C347" t="str">
        <f>fac_affected!C347</f>
        <v>fugitives</v>
      </c>
      <c r="E347" t="str">
        <f>fac_affected!D347</f>
        <v>Wellpad Fugitives</v>
      </c>
      <c r="F347" t="str">
        <f>fac_affected!E347</f>
        <v>4: Equipment &gt; 1, no tanks</v>
      </c>
      <c r="G347" t="n">
        <f>fac_affected!F347</f>
        <v>33757.776291662398</v>
      </c>
    </row>
    <row r="348">
      <c r="B348" t="str">
        <f>fac_affected!B348</f>
        <v>2035</v>
      </c>
      <c r="C348" t="str">
        <f>fac_affected!C348</f>
        <v>fugitives</v>
      </c>
      <c r="E348" t="str">
        <f>fac_affected!D348</f>
        <v>Wellpad Fugitives</v>
      </c>
      <c r="F348" t="str">
        <f>fac_affected!E348</f>
        <v>5: Equipment = 1 and tanks</v>
      </c>
      <c r="G348" t="n">
        <f>fac_affected!F348</f>
        <v>49177.604337724399</v>
      </c>
    </row>
    <row r="349">
      <c r="B349" t="str">
        <f>fac_affected!B349</f>
        <v>2035</v>
      </c>
      <c r="C349" t="str">
        <f>fac_affected!C349</f>
        <v>fugitives</v>
      </c>
      <c r="E349" t="str">
        <f>fac_affected!D349</f>
        <v>Wellpad Fugitives</v>
      </c>
      <c r="F349" t="str">
        <f>fac_affected!E349</f>
        <v>6: Equipment &gt; 1 and tanks</v>
      </c>
      <c r="G349" t="n">
        <f>fac_affected!F349</f>
        <v>148826.253037291</v>
      </c>
    </row>
    <row r="350">
      <c r="B350" t="str">
        <f>fac_affected!B350</f>
        <v>2035</v>
      </c>
      <c r="C350" t="str">
        <f>fac_affected!C350</f>
        <v>compressors</v>
      </c>
      <c r="E350" t="str">
        <f>fac_affected!D350</f>
        <v>G&amp;B Station Recip Comp</v>
      </c>
      <c r="F350" t="n">
        <f>fac_affected!E350</f>
        <v>0</v>
      </c>
      <c r="G350" t="n">
        <f>fac_affected!F350</f>
        <v>31273.977154463999</v>
      </c>
    </row>
    <row r="351">
      <c r="B351" t="str">
        <f>fac_affected!B351</f>
        <v>2035</v>
      </c>
      <c r="C351" t="str">
        <f>fac_affected!C351</f>
        <v>compressors</v>
      </c>
      <c r="E351" t="str">
        <f>fac_affected!D351</f>
        <v>Proc Recip Comp</v>
      </c>
      <c r="F351" t="n">
        <f>fac_affected!E351</f>
        <v>0</v>
      </c>
      <c r="G351" t="n">
        <f>fac_affected!F351</f>
        <v>4170.5133937487799</v>
      </c>
    </row>
    <row r="352">
      <c r="B352" t="str">
        <f>fac_affected!B352</f>
        <v>2035</v>
      </c>
      <c r="C352" t="str">
        <f>fac_affected!C352</f>
        <v>compressors</v>
      </c>
      <c r="E352" t="str">
        <f>fac_affected!D352</f>
        <v>T&amp;S Recip Comp</v>
      </c>
      <c r="F352" t="str">
        <f>fac_affected!E352</f>
        <v>Reciprocating Compressors (Transmission)</v>
      </c>
      <c r="G352" t="n">
        <f>fac_affected!F352</f>
        <v>10171.8797047183</v>
      </c>
    </row>
    <row r="353">
      <c r="B353" t="str">
        <f>fac_affected!B353</f>
        <v>2035</v>
      </c>
      <c r="C353" t="str">
        <f>fac_affected!C353</f>
        <v>compressors</v>
      </c>
      <c r="E353" t="str">
        <f>fac_affected!D353</f>
        <v>T&amp;S Recip Comp</v>
      </c>
      <c r="F353" t="str">
        <f>fac_affected!E353</f>
        <v>Reciprocating Compressors (Storage)</v>
      </c>
      <c r="G353" t="n">
        <f>fac_affected!F353</f>
        <v>1390.7552963692101</v>
      </c>
    </row>
    <row r="354">
      <c r="B354" t="str">
        <f>fac_affected!B354</f>
        <v>2035</v>
      </c>
      <c r="C354" t="str">
        <f>fac_affected!C354</f>
        <v>compressors</v>
      </c>
      <c r="E354" t="str">
        <f>fac_affected!D354</f>
        <v>Wet Seal Centrifugal Compr</v>
      </c>
      <c r="F354" t="str">
        <f>fac_affected!E354</f>
        <v>G&amp;B WS Centrifugal Comp</v>
      </c>
      <c r="G354" t="n">
        <f>fac_affected!F354</f>
        <v>416.25274233515199</v>
      </c>
    </row>
    <row r="355">
      <c r="B355" t="str">
        <f>fac_affected!B355</f>
        <v>2035</v>
      </c>
      <c r="C355" t="str">
        <f>fac_affected!C355</f>
        <v>compressors</v>
      </c>
      <c r="E355" t="str">
        <f>fac_affected!D355</f>
        <v>Wet Seal Centrifugal Compr</v>
      </c>
      <c r="F355" t="str">
        <f>fac_affected!E355</f>
        <v>Proc WS Centrifugal Comp</v>
      </c>
      <c r="G355" t="n">
        <f>fac_affected!F355</f>
        <v>264.74232918895001</v>
      </c>
    </row>
    <row r="356">
      <c r="B356" t="str">
        <f>fac_affected!B356</f>
        <v>2035</v>
      </c>
      <c r="C356" t="str">
        <f>fac_affected!C356</f>
        <v>compressors</v>
      </c>
      <c r="E356" t="str">
        <f>fac_affected!D356</f>
        <v>Wet Seal Centrifugal Compr</v>
      </c>
      <c r="F356" t="str">
        <f>fac_affected!E356</f>
        <v>T&amp;S WS Centrifugal Comp</v>
      </c>
      <c r="G356" t="n">
        <f>fac_affected!F356</f>
        <v>730.73907434087096</v>
      </c>
    </row>
    <row r="357">
      <c r="B357" t="str">
        <f>fac_affected!B357</f>
        <v>2035</v>
      </c>
      <c r="C357" t="str">
        <f>fac_affected!C357</f>
        <v>compressors</v>
      </c>
      <c r="E357" t="str">
        <f>fac_affected!D357</f>
        <v>Dry Seal Centrifugal Compr</v>
      </c>
      <c r="F357" t="str">
        <f>fac_affected!E357</f>
        <v>G&amp;B DS Centrifugal Comp</v>
      </c>
      <c r="G357" t="n">
        <f>fac_affected!F357</f>
        <v>644.36343231340697</v>
      </c>
    </row>
    <row r="358">
      <c r="B358" t="str">
        <f>fac_affected!B358</f>
        <v>2035</v>
      </c>
      <c r="C358" t="str">
        <f>fac_affected!C358</f>
        <v>compressors</v>
      </c>
      <c r="E358" t="str">
        <f>fac_affected!D358</f>
        <v>Dry Seal Centrifugal Compr</v>
      </c>
      <c r="F358" t="str">
        <f>fac_affected!E358</f>
        <v>Proc DS Centrifugal Comp</v>
      </c>
      <c r="G358" t="n">
        <f>fac_affected!F358</f>
        <v>440.28950496366701</v>
      </c>
    </row>
    <row r="359">
      <c r="B359" t="str">
        <f>fac_affected!B359</f>
        <v>2035</v>
      </c>
      <c r="C359" t="str">
        <f>fac_affected!C359</f>
        <v>compressors</v>
      </c>
      <c r="E359" t="str">
        <f>fac_affected!D359</f>
        <v>Dry Seal Centrifugal Compr</v>
      </c>
      <c r="F359" t="str">
        <f>fac_affected!E359</f>
        <v>T&amp;S DS Centrifugal Comp</v>
      </c>
      <c r="G359" t="n">
        <f>fac_affected!F359</f>
        <v>3553.6043970281398</v>
      </c>
    </row>
    <row r="360">
      <c r="B360" t="str">
        <f>fac_affected!B360</f>
        <v>2035</v>
      </c>
      <c r="C360" t="str">
        <f>fac_affected!C360</f>
        <v>liquids_unloading</v>
      </c>
      <c r="E360" t="n">
        <f>fac_affected!D360</f>
        <v>0</v>
      </c>
      <c r="F360" t="n">
        <f>fac_affected!E360</f>
        <v>0</v>
      </c>
      <c r="G360" t="n">
        <f>fac_affected!F360</f>
        <v>243303.792177661</v>
      </c>
    </row>
    <row r="361">
      <c r="B361" t="str">
        <f>fac_affected!B361</f>
        <v>2035</v>
      </c>
      <c r="C361" t="str">
        <f>fac_affected!C361</f>
        <v>pneucontr</v>
      </c>
      <c r="E361" t="str">
        <f>fac_affected!D361</f>
        <v>G&amp;B Pneumatic Controllers</v>
      </c>
      <c r="F361" t="n">
        <f>fac_affected!E361</f>
        <v>0</v>
      </c>
      <c r="G361" t="n">
        <f>fac_affected!F361</f>
        <v>7354.0685172942303</v>
      </c>
    </row>
    <row r="362">
      <c r="B362" t="str">
        <f>fac_affected!B362</f>
        <v>2035</v>
      </c>
      <c r="C362" t="str">
        <f>fac_affected!C362</f>
        <v>pneucontr</v>
      </c>
      <c r="E362" t="str">
        <f>fac_affected!D362</f>
        <v>T&amp;S Pneumatic Controllers</v>
      </c>
      <c r="F362" t="n">
        <f>fac_affected!E362</f>
        <v>0</v>
      </c>
      <c r="G362" t="n">
        <f>fac_affected!F362</f>
        <v>70800.641548927306</v>
      </c>
    </row>
    <row r="363">
      <c r="B363" t="str">
        <f>fac_affected!B363</f>
        <v>2035</v>
      </c>
      <c r="C363" t="str">
        <f>fac_affected!C363</f>
        <v>pneucontr</v>
      </c>
      <c r="E363" t="str">
        <f>fac_affected!D363</f>
        <v>Well Pad Pneumatic Controllers</v>
      </c>
      <c r="F363" t="n">
        <f>fac_affected!E363</f>
        <v>0</v>
      </c>
      <c r="G363" t="n">
        <f>fac_affected!F363</f>
        <v>1324137.7745427501</v>
      </c>
    </row>
    <row r="364">
      <c r="B364" t="str">
        <f>fac_affected!B364</f>
        <v>2035</v>
      </c>
      <c r="C364" t="str">
        <f>fac_affected!C364</f>
        <v>pumps</v>
      </c>
      <c r="E364" t="str">
        <f>fac_affected!D364</f>
        <v>G&amp;B Pneumatic Pumps</v>
      </c>
      <c r="F364" t="n">
        <f>fac_affected!E364</f>
        <v>0</v>
      </c>
      <c r="G364" t="n">
        <f>fac_affected!F364</f>
        <v>787.74513565229495</v>
      </c>
    </row>
    <row r="365">
      <c r="B365" t="str">
        <f>fac_affected!B365</f>
        <v>2035</v>
      </c>
      <c r="C365" t="str">
        <f>fac_affected!C365</f>
        <v>pumps</v>
      </c>
      <c r="E365" t="str">
        <f>fac_affected!D365</f>
        <v>Well Pad Pumps</v>
      </c>
      <c r="F365" t="n">
        <f>fac_affected!E365</f>
        <v>0</v>
      </c>
      <c r="G365" t="n">
        <f>fac_affected!F365</f>
        <v>95163.1858382676</v>
      </c>
    </row>
    <row r="366">
      <c r="B366" t="str">
        <f>fac_affected!B366</f>
        <v>2035</v>
      </c>
      <c r="C366" t="str">
        <f>fac_affected!C366</f>
        <v>Storage vessels</v>
      </c>
      <c r="E366" t="n">
        <f>fac_affected!D366</f>
        <v>0</v>
      </c>
      <c r="F366" t="n">
        <f>fac_affected!E366</f>
        <v>0</v>
      </c>
      <c r="G366" t="n">
        <f>fac_affected!F366</f>
        <v>17031.563685599602</v>
      </c>
    </row>
    <row r="369"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</row>
    <row r="370" ht="16.899999999999999" customHeight="1">
      <c r="B370" s="1" t="s">
        <v>104</v>
      </c>
      <c r="C370" s="1" t="s">
        <v>446</v>
      </c>
      <c r="D370" s="1"/>
      <c r="E370" s="52"/>
      <c r="F370" s="52"/>
      <c r="G370" s="52"/>
      <c r="H370" s="52"/>
      <c r="I370" s="51"/>
      <c r="J370" s="51"/>
      <c r="K370" s="51"/>
      <c r="L370" s="51"/>
    </row>
    <row r="371" ht="17.45" customHeight="1">
      <c r="B371" s="13" t="s">
        <v>63</v>
      </c>
      <c r="C371" s="13" t="s">
        <v>447</v>
      </c>
      <c r="D371" s="13" t="s">
        <v>448</v>
      </c>
      <c r="E371" s="13" t="s">
        <v>449</v>
      </c>
      <c r="F371" s="13" t="s">
        <v>450</v>
      </c>
      <c r="G371" s="13" t="s">
        <v>99</v>
      </c>
      <c r="H371" s="13" t="s">
        <v>112</v>
      </c>
      <c r="I371" s="8" t="s">
        <v>98</v>
      </c>
      <c r="J371" s="8" t="s">
        <v>97</v>
      </c>
      <c r="K371" s="8" t="s">
        <v>96</v>
      </c>
      <c r="L371" s="8" t="s">
        <v>95</v>
      </c>
    </row>
    <row r="372">
      <c r="B372" s="4" t="n">
        <v>2023</v>
      </c>
      <c r="C372" s="3" t="n">
        <f t="shared" ref="C372:C384" si="0" xml:space="preserve"> SUMIFS($G$3:$G$366, $B$3:$B$366, $B372, $E$3:$E$366, "Wellpad Fugitives")</f>
        <v>13985.789053528602</v>
      </c>
      <c r="D372" s="3" t="n">
        <f t="shared" ref="D372:D384" si="1" xml:space="preserve"> SUMIFS($G$3:$G$366, $B$3:$B$366, $B372, $E$3:$E$366, "G&amp;B Stations")</f>
        <v>0</v>
      </c>
      <c r="E372" s="3" t="n">
        <f t="shared" ref="E372:E384" si="2" xml:space="preserve"> SUMIFS($G$3:$G$366, $B$3:$B$366, $B372, $E$3:$E$366, "T&amp;S Compressor Stations")</f>
        <v>0</v>
      </c>
      <c r="F372" s="3" t="n">
        <f t="shared" ref="F372:F384" si="3" xml:space="preserve"> SUMIFS($G$3:$G$366, $B$3:$B$366, $B372, $E$3:$E$366, "Processing Plants")</f>
        <v>22.572045197519792</v>
      </c>
      <c r="G372" s="3" t="n">
        <f t="shared" ref="G372:G384" si="4" xml:space="preserve"> SUMIFS($G$3:$G$366, $B$3:$B$366, $B372, $C$3:$C$366, "*Pumps")</f>
        <v>3487.1394728302084</v>
      </c>
      <c r="H372" s="3" t="n">
        <f t="shared" ref="H372:H384" si="5" xml:space="preserve"> SUMIFS($G$3:$G$366, $B$3:$B$366, $B372, $C$3:$C$366, "pneu*")</f>
        <v>73274.335845965252</v>
      </c>
      <c r="I372" s="3" t="n">
        <f t="shared" ref="I372:I384" si="6" xml:space="preserve"> SUMIFS($G$3:$G$366, $B$3:$B$366, $B372, $E$3:$E$366, "*Recip Comp*")</f>
        <v>2679.1637014725675</v>
      </c>
      <c r="J372" s="3" t="n">
        <f t="shared" ref="J372:J384" si="7" xml:space="preserve"> SUMIFS($G$3:$G$366, $B$3:$B$366, $B372, $E$3:$E$366, "*Centrifugal Comp*")</f>
        <v>323.2826619662938</v>
      </c>
      <c r="K372" s="3" t="n">
        <f t="shared" ref="K372:K384" si="8" xml:space="preserve"> SUMIFS($G$3:$G$366, $B$3:$B$366, $B372, $C$3:$C$366, "liquids_unloading")</f>
        <v>6802.85288216341</v>
      </c>
      <c r="L372" s="3" t="n">
        <f t="shared" ref="L372:L384" si="9" xml:space="preserve"> SUMIFS($G$3:$G$366, $B$3:$B$366, $B372, $C$3:$C$366, "Storage vessels")</f>
        <v>2068.92915531995</v>
      </c>
    </row>
    <row r="373">
      <c r="B373" s="4" t="n">
        <v>2024</v>
      </c>
      <c r="C373" s="3" t="n">
        <f t="shared" si="0"/>
        <v>21889.411935721251</v>
      </c>
      <c r="D373" s="3" t="n">
        <f t="shared" si="1"/>
        <v>0</v>
      </c>
      <c r="E373" s="3" t="n">
        <f t="shared" si="2"/>
        <v>0</v>
      </c>
      <c r="F373" s="3" t="n">
        <f t="shared" si="3"/>
        <v>33.858067796279627</v>
      </c>
      <c r="G373" s="3" t="n">
        <f t="shared" si="4"/>
        <v>5451.3705149684974</v>
      </c>
      <c r="H373" s="3" t="n">
        <f t="shared" si="5"/>
        <v>114046.61874501208</v>
      </c>
      <c r="I373" s="3" t="n">
        <f t="shared" si="6"/>
        <v>4018.7455522088553</v>
      </c>
      <c r="J373" s="3" t="n">
        <f t="shared" si="7"/>
        <v>484.92399294944119</v>
      </c>
      <c r="K373" s="3" t="n">
        <f t="shared" si="8"/>
        <v>10647.2683454505</v>
      </c>
      <c r="L373" s="3" t="n">
        <f t="shared" si="9"/>
        <v>3230.9575899624801</v>
      </c>
    </row>
    <row r="374">
      <c r="B374" s="4" t="n">
        <v>2025</v>
      </c>
      <c r="C374" s="3" t="n">
        <f t="shared" si="0"/>
        <v>30503.620600013972</v>
      </c>
      <c r="D374" s="3" t="n">
        <f t="shared" si="1"/>
        <v>0</v>
      </c>
      <c r="E374" s="3" t="n">
        <f t="shared" si="2"/>
        <v>0</v>
      </c>
      <c r="F374" s="3" t="n">
        <f t="shared" si="3"/>
        <v>45.144090395039569</v>
      </c>
      <c r="G374" s="3" t="n">
        <f t="shared" si="4"/>
        <v>7587.9105366346967</v>
      </c>
      <c r="H374" s="3" t="n">
        <f t="shared" si="5"/>
        <v>158056.45942510612</v>
      </c>
      <c r="I374" s="3" t="n">
        <f t="shared" si="6"/>
        <v>5358.3274029451413</v>
      </c>
      <c r="J374" s="3" t="n">
        <f t="shared" si="7"/>
        <v>646.56532393258851</v>
      </c>
      <c r="K374" s="3" t="n">
        <f t="shared" si="8"/>
        <v>14837.3211208179</v>
      </c>
      <c r="L374" s="3" t="n">
        <f t="shared" si="9"/>
        <v>4494.4275012245398</v>
      </c>
    </row>
    <row r="375">
      <c r="B375" s="4" t="n">
        <v>2026</v>
      </c>
      <c r="C375" s="3" t="n">
        <f t="shared" si="0"/>
        <v>522788.53081760008</v>
      </c>
      <c r="D375" s="3" t="n">
        <f t="shared" si="1"/>
        <v>5245.9084969671703</v>
      </c>
      <c r="E375" s="3" t="n">
        <f t="shared" si="2"/>
        <v>1908.6247581896941</v>
      </c>
      <c r="F375" s="3" t="n">
        <f t="shared" si="3"/>
        <v>1175.517852926821</v>
      </c>
      <c r="G375" s="3" t="n">
        <f t="shared" si="4"/>
        <v>103195.5512663829</v>
      </c>
      <c r="H375" s="3" t="n">
        <f t="shared" si="5"/>
        <v>1348998.0190778202</v>
      </c>
      <c r="I375" s="3" t="n">
        <f t="shared" si="6"/>
        <v>36434.668046219769</v>
      </c>
      <c r="J375" s="3" t="n">
        <f t="shared" si="7"/>
        <v>4797.4461850588232</v>
      </c>
      <c r="K375" s="3" t="n">
        <f t="shared" si="8"/>
        <v>262041.57943175401</v>
      </c>
      <c r="L375" s="3" t="n">
        <f t="shared" si="9"/>
        <v>5767.0937995410504</v>
      </c>
    </row>
    <row r="376">
      <c r="B376" s="4" t="n">
        <v>2027</v>
      </c>
      <c r="C376" s="3" t="n">
        <f t="shared" si="0"/>
        <v>512287.34974555136</v>
      </c>
      <c r="D376" s="3" t="n">
        <f t="shared" si="1"/>
        <v>5205.2294633003403</v>
      </c>
      <c r="E376" s="3" t="n">
        <f t="shared" si="2"/>
        <v>1893.6246252690389</v>
      </c>
      <c r="F376" s="3" t="n">
        <f t="shared" si="3"/>
        <v>1177.762572955831</v>
      </c>
      <c r="G376" s="3" t="n">
        <f t="shared" si="4"/>
        <v>102146.16185265138</v>
      </c>
      <c r="H376" s="3" t="n">
        <f t="shared" si="5"/>
        <v>1354405.5246150994</v>
      </c>
      <c r="I376" s="3" t="n">
        <f t="shared" si="6"/>
        <v>37602.680524986128</v>
      </c>
      <c r="J376" s="3" t="n">
        <f t="shared" si="7"/>
        <v>4935.7040461762554</v>
      </c>
      <c r="K376" s="3" t="n">
        <f t="shared" si="8"/>
        <v>259482.74391989</v>
      </c>
      <c r="L376" s="3" t="n">
        <f t="shared" si="9"/>
        <v>7028.6037374153102</v>
      </c>
    </row>
    <row r="377">
      <c r="B377" s="4" t="n">
        <v>2028</v>
      </c>
      <c r="C377" s="3" t="n">
        <f t="shared" si="0"/>
        <v>502375.02613220632</v>
      </c>
      <c r="D377" s="3" t="n">
        <f t="shared" si="1"/>
        <v>5164.9572199701797</v>
      </c>
      <c r="E377" s="3" t="n">
        <f t="shared" si="2"/>
        <v>1878.7744936776021</v>
      </c>
      <c r="F377" s="3" t="n">
        <f t="shared" si="3"/>
        <v>1180.0977060105379</v>
      </c>
      <c r="G377" s="3" t="n">
        <f t="shared" si="4"/>
        <v>101200.99547635588</v>
      </c>
      <c r="H377" s="3" t="n">
        <f t="shared" si="5"/>
        <v>1361748.0533118984</v>
      </c>
      <c r="I377" s="3" t="n">
        <f t="shared" si="6"/>
        <v>38772.408697472252</v>
      </c>
      <c r="J377" s="3" t="n">
        <f t="shared" si="7"/>
        <v>5074.1957419923601</v>
      </c>
      <c r="K377" s="3" t="n">
        <f t="shared" si="8"/>
        <v>257086.55335090499</v>
      </c>
      <c r="L377" s="3" t="n">
        <f t="shared" si="9"/>
        <v>8307.5856389645596</v>
      </c>
    </row>
    <row r="378">
      <c r="B378" s="4" t="n">
        <v>2029</v>
      </c>
      <c r="C378" s="3" t="n">
        <f t="shared" si="0"/>
        <v>492915.62373256462</v>
      </c>
      <c r="D378" s="3" t="n">
        <f t="shared" si="1"/>
        <v>5125.0876990733304</v>
      </c>
      <c r="E378" s="3" t="n">
        <f t="shared" si="2"/>
        <v>1864.07286340207</v>
      </c>
      <c r="F378" s="3" t="n">
        <f t="shared" si="3"/>
        <v>1182.522347960683</v>
      </c>
      <c r="G378" s="3" t="n">
        <f t="shared" si="4"/>
        <v>100308.76533275197</v>
      </c>
      <c r="H378" s="3" t="n">
        <f t="shared" si="5"/>
        <v>1368443.2578135075</v>
      </c>
      <c r="I378" s="3" t="n">
        <f t="shared" si="6"/>
        <v>39943.835406740844</v>
      </c>
      <c r="J378" s="3" t="n">
        <f t="shared" si="7"/>
        <v>5212.9189341601304</v>
      </c>
      <c r="K378" s="3" t="n">
        <f t="shared" si="8"/>
        <v>254801.06183254599</v>
      </c>
      <c r="L378" s="3" t="n">
        <f t="shared" si="9"/>
        <v>9575.6026385212208</v>
      </c>
    </row>
    <row r="379">
      <c r="B379" s="4" t="n">
        <v>2030</v>
      </c>
      <c r="C379" s="3" t="n">
        <f t="shared" si="0"/>
        <v>483845.28688670765</v>
      </c>
      <c r="D379" s="3" t="n">
        <f t="shared" si="1"/>
        <v>5085.6168733854402</v>
      </c>
      <c r="E379" s="3" t="n">
        <f t="shared" si="2"/>
        <v>1849.518249429294</v>
      </c>
      <c r="F379" s="3" t="n">
        <f t="shared" si="3"/>
        <v>1185.0356037173169</v>
      </c>
      <c r="G379" s="3" t="n">
        <f t="shared" si="4"/>
        <v>99457.021307457253</v>
      </c>
      <c r="H379" s="3" t="n">
        <f t="shared" si="5"/>
        <v>1374480.6455074165</v>
      </c>
      <c r="I379" s="3" t="n">
        <f t="shared" si="6"/>
        <v>41116.943667424093</v>
      </c>
      <c r="J379" s="3" t="n">
        <f t="shared" si="7"/>
        <v>5351.8713077160528</v>
      </c>
      <c r="K379" s="3" t="n">
        <f t="shared" si="8"/>
        <v>252603.39344498</v>
      </c>
      <c r="L379" s="3" t="n">
        <f t="shared" si="9"/>
        <v>10817.798881065401</v>
      </c>
    </row>
    <row r="380">
      <c r="B380" s="4" t="n">
        <v>2031</v>
      </c>
      <c r="C380" s="3" t="n">
        <f t="shared" si="0"/>
        <v>475143.14425852953</v>
      </c>
      <c r="D380" s="3" t="n">
        <f t="shared" si="1"/>
        <v>5046.5407559544301</v>
      </c>
      <c r="E380" s="3" t="n">
        <f t="shared" si="2"/>
        <v>1835.109181596245</v>
      </c>
      <c r="F380" s="3" t="n">
        <f t="shared" si="3"/>
        <v>1187.6365871423711</v>
      </c>
      <c r="G380" s="3" t="n">
        <f t="shared" si="4"/>
        <v>98642.135562585143</v>
      </c>
      <c r="H380" s="3" t="n">
        <f t="shared" si="5"/>
        <v>1379823.3507813455</v>
      </c>
      <c r="I380" s="3" t="n">
        <f t="shared" si="6"/>
        <v>42291.716664007858</v>
      </c>
      <c r="J380" s="3" t="n">
        <f t="shared" si="7"/>
        <v>5491.0505708462515</v>
      </c>
      <c r="K380" s="3" t="n">
        <f t="shared" si="8"/>
        <v>250488.94618177501</v>
      </c>
      <c r="L380" s="3" t="n">
        <f t="shared" si="9"/>
        <v>12073.175591807099</v>
      </c>
    </row>
    <row r="381">
      <c r="B381" s="4" t="n">
        <v>2032</v>
      </c>
      <c r="C381" s="3" t="n">
        <f t="shared" si="0"/>
        <v>466956.80316642579</v>
      </c>
      <c r="D381" s="3" t="n">
        <f t="shared" si="1"/>
        <v>5007.8553996977298</v>
      </c>
      <c r="E381" s="3" t="n">
        <f t="shared" si="2"/>
        <v>1820.8442044415322</v>
      </c>
      <c r="F381" s="3" t="n">
        <f t="shared" si="3"/>
        <v>1190.324420959163</v>
      </c>
      <c r="G381" s="3" t="n">
        <f t="shared" si="4"/>
        <v>97900.021152743619</v>
      </c>
      <c r="H381" s="3" t="n">
        <f t="shared" si="5"/>
        <v>1385179.1584066846</v>
      </c>
      <c r="I381" s="3" t="n">
        <f t="shared" si="6"/>
        <v>43468.137749133202</v>
      </c>
      <c r="J381" s="3" t="n">
        <f t="shared" si="7"/>
        <v>5630.4544546549778</v>
      </c>
      <c r="K381" s="3" t="n">
        <f t="shared" si="8"/>
        <v>248540.92286881901</v>
      </c>
      <c r="L381" s="3" t="n">
        <f t="shared" si="9"/>
        <v>13277.3711184929</v>
      </c>
    </row>
    <row r="382">
      <c r="B382" s="4" t="n">
        <v>2033</v>
      </c>
      <c r="C382" s="3" t="n">
        <f t="shared" si="0"/>
        <v>459214.59878399089</v>
      </c>
      <c r="D382" s="3" t="n">
        <f t="shared" si="1"/>
        <v>4969.5568970035902</v>
      </c>
      <c r="E382" s="3" t="n">
        <f t="shared" si="2"/>
        <v>1806.7218770583609</v>
      </c>
      <c r="F382" s="3" t="n">
        <f t="shared" si="3"/>
        <v>1193.0982366637741</v>
      </c>
      <c r="G382" s="3" t="n">
        <f t="shared" si="4"/>
        <v>97221.322823623923</v>
      </c>
      <c r="H382" s="3" t="n">
        <f t="shared" si="5"/>
        <v>1391001.4668443536</v>
      </c>
      <c r="I382" s="3" t="n">
        <f t="shared" si="6"/>
        <v>44646.190441914616</v>
      </c>
      <c r="J382" s="3" t="n">
        <f t="shared" si="7"/>
        <v>5770.0807129354416</v>
      </c>
      <c r="K382" s="3" t="n">
        <f t="shared" si="8"/>
        <v>246718.748413327</v>
      </c>
      <c r="L382" s="3" t="n">
        <f t="shared" si="9"/>
        <v>14544.4336807982</v>
      </c>
    </row>
    <row r="383">
      <c r="B383" s="4" t="n">
        <v>2034</v>
      </c>
      <c r="C383" s="3" t="n">
        <f t="shared" si="0"/>
        <v>451766.25983681821</v>
      </c>
      <c r="D383" s="3" t="n">
        <f t="shared" si="1"/>
        <v>4931.6413793364</v>
      </c>
      <c r="E383" s="3" t="n">
        <f t="shared" si="2"/>
        <v>1792.7407729490201</v>
      </c>
      <c r="F383" s="3" t="n">
        <f t="shared" si="3"/>
        <v>1195.957174437327</v>
      </c>
      <c r="G383" s="3" t="n">
        <f t="shared" si="4"/>
        <v>96569.894038364902</v>
      </c>
      <c r="H383" s="3" t="n">
        <f t="shared" si="5"/>
        <v>1396568.5325110026</v>
      </c>
      <c r="I383" s="3" t="n">
        <f t="shared" si="6"/>
        <v>45825.858426275612</v>
      </c>
      <c r="J383" s="3" t="n">
        <f t="shared" si="7"/>
        <v>5909.9271219429393</v>
      </c>
      <c r="K383" s="3" t="n">
        <f t="shared" si="8"/>
        <v>244962.36786062899</v>
      </c>
      <c r="L383" s="3" t="n">
        <f t="shared" si="9"/>
        <v>15790.8867677627</v>
      </c>
    </row>
    <row r="384" ht="15.75" customHeight="1">
      <c r="B384" s="5" t="n">
        <v>2035</v>
      </c>
      <c r="C384" s="53" t="n">
        <f t="shared" si="0"/>
        <v>444613.54733836889</v>
      </c>
      <c r="D384" s="53" t="n">
        <f t="shared" si="1"/>
        <v>4894.1050168458796</v>
      </c>
      <c r="E384" s="53" t="n">
        <f t="shared" si="2"/>
        <v>1778.899479880783</v>
      </c>
      <c r="F384" s="53" t="n">
        <f t="shared" si="3"/>
        <v>1198.9003830591309</v>
      </c>
      <c r="G384" s="53" t="n">
        <f t="shared" si="4"/>
        <v>95950.930973919894</v>
      </c>
      <c r="H384" s="53" t="n">
        <f t="shared" si="5"/>
        <v>1402292.4846089715</v>
      </c>
      <c r="I384" s="53" t="n">
        <f t="shared" si="6"/>
        <v>47007.12554930029</v>
      </c>
      <c r="J384" s="53" t="n">
        <f t="shared" si="7"/>
        <v>6049.9914801701871</v>
      </c>
      <c r="K384" s="53" t="n">
        <f t="shared" si="8"/>
        <v>243303.792177661</v>
      </c>
      <c r="L384" s="53" t="n">
        <f t="shared" si="9"/>
        <v>17031.563685599602</v>
      </c>
    </row>
    <row r="385" ht="15.75" customHeight="1"/>
    <row r="386">
      <c r="B386" s="52"/>
      <c r="C386" s="52"/>
      <c r="D386" s="52"/>
      <c r="E386" s="52"/>
      <c r="F386" s="52"/>
      <c r="G386" s="52"/>
      <c r="H386" s="52"/>
      <c r="I386" s="52"/>
      <c r="J386" s="52"/>
      <c r="K386" s="52"/>
    </row>
    <row r="387" ht="16.899999999999999" customHeight="1">
      <c r="B387" s="50" t="s">
        <v>104</v>
      </c>
      <c r="C387" s="50" t="s">
        <v>446</v>
      </c>
      <c r="D387" s="50"/>
      <c r="E387" s="51"/>
      <c r="F387" s="51"/>
      <c r="G387" s="51"/>
      <c r="H387" s="51"/>
      <c r="I387" s="51"/>
      <c r="J387" s="51"/>
      <c r="K387" s="51"/>
      <c r="L387" s="52"/>
    </row>
    <row r="388" ht="17.45" customHeight="1">
      <c r="B388" s="13" t="s">
        <v>63</v>
      </c>
      <c r="C388" s="13" t="s">
        <v>447</v>
      </c>
      <c r="D388" s="13" t="s">
        <v>448</v>
      </c>
      <c r="E388" s="13" t="s">
        <v>449</v>
      </c>
      <c r="F388" s="13" t="s">
        <v>450</v>
      </c>
      <c r="G388" s="13" t="s">
        <v>173</v>
      </c>
      <c r="H388" s="8" t="s">
        <v>98</v>
      </c>
      <c r="I388" s="8" t="s">
        <v>97</v>
      </c>
      <c r="J388" s="8" t="s">
        <v>96</v>
      </c>
      <c r="K388" s="8" t="s">
        <v>95</v>
      </c>
    </row>
    <row r="389">
      <c r="B389" s="4" t="n">
        <v>2023</v>
      </c>
      <c r="C389" s="3" t="n">
        <f>ROUND(C372,2-(1+INT(LOG10(ABS(C372)))))</f>
        <v>14000</v>
      </c>
      <c r="D389" s="3" t="n">
        <v>0</v>
      </c>
      <c r="E389" s="3" t="n">
        <v>0</v>
      </c>
      <c r="F389" s="3" t="n">
        <f t="shared" ref="F389:F401" si="10">ROUND(F372,2-(1+INT(LOG10(ABS(F372)))))</f>
        <v>23</v>
      </c>
      <c r="G389" s="3" t="n">
        <f>ROUND(G372,2-(1+INT(LOG10(ABS(G372))))) + ROUND(H372,2-(1+INT(LOG10(ABS(H372)))))</f>
        <v>76500</v>
      </c>
      <c r="H389" s="3" t="n">
        <f t="shared" ref="H389:K401" si="11">ROUND(I372,2-(1+INT(LOG10(ABS(I372)))))</f>
        <v>2700</v>
      </c>
      <c r="I389" s="3" t="n">
        <f t="shared" si="11"/>
        <v>320</v>
      </c>
      <c r="J389" s="3" t="n">
        <f t="shared" si="11"/>
        <v>6800</v>
      </c>
      <c r="K389" s="3" t="n">
        <f t="shared" si="11"/>
        <v>2100</v>
      </c>
    </row>
    <row r="390">
      <c r="B390" s="4" t="n">
        <v>2024</v>
      </c>
      <c r="C390" s="3" t="n">
        <f t="shared" ref="C390:C401" si="12">ROUND(C373,2-(1+INT(LOG10(ABS(C373)))))</f>
        <v>22000</v>
      </c>
      <c r="D390" s="3" t="n">
        <v>0</v>
      </c>
      <c r="E390" s="3" t="n">
        <v>0</v>
      </c>
      <c r="F390" s="3" t="n">
        <f t="shared" si="10"/>
        <v>34</v>
      </c>
      <c r="G390" s="3" t="n">
        <f t="shared" ref="G390:G401" si="13">ROUND(G373,2-(1+INT(LOG10(ABS(G373))))) + ROUND(H373,2-(1+INT(LOG10(ABS(H373)))))</f>
        <v>115500</v>
      </c>
      <c r="H390" s="3" t="n">
        <f t="shared" si="11"/>
        <v>4000</v>
      </c>
      <c r="I390" s="3" t="n">
        <f t="shared" si="11"/>
        <v>480</v>
      </c>
      <c r="J390" s="3" t="n">
        <f t="shared" si="11"/>
        <v>11000</v>
      </c>
      <c r="K390" s="3" t="n">
        <f t="shared" si="11"/>
        <v>3200</v>
      </c>
    </row>
    <row r="391">
      <c r="B391" s="4" t="n">
        <v>2025</v>
      </c>
      <c r="C391" s="3" t="n">
        <f t="shared" si="12"/>
        <v>31000</v>
      </c>
      <c r="D391" s="3" t="n">
        <v>0</v>
      </c>
      <c r="E391" s="3" t="n">
        <v>0</v>
      </c>
      <c r="F391" s="3" t="n">
        <f t="shared" si="10"/>
        <v>45</v>
      </c>
      <c r="G391" s="3" t="n">
        <f t="shared" si="13"/>
        <v>167600</v>
      </c>
      <c r="H391" s="3" t="n">
        <f t="shared" si="11"/>
        <v>5400</v>
      </c>
      <c r="I391" s="3" t="n">
        <f t="shared" si="11"/>
        <v>650</v>
      </c>
      <c r="J391" s="3" t="n">
        <f t="shared" si="11"/>
        <v>15000</v>
      </c>
      <c r="K391" s="3" t="n">
        <f t="shared" si="11"/>
        <v>4500</v>
      </c>
    </row>
    <row r="392">
      <c r="B392" s="4" t="n">
        <v>2026</v>
      </c>
      <c r="C392" s="3" t="n">
        <f t="shared" si="12"/>
        <v>520000</v>
      </c>
      <c r="D392" s="3" t="n">
        <f t="shared" ref="D392:E401" si="14">ROUND(D375,2-(1+INT(LOG10(ABS(D375)))))</f>
        <v>5200</v>
      </c>
      <c r="E392" s="3" t="n">
        <f t="shared" si="14"/>
        <v>1900</v>
      </c>
      <c r="F392" s="3" t="n">
        <f t="shared" si="10"/>
        <v>1200</v>
      </c>
      <c r="G392" s="3" t="n">
        <f t="shared" si="13"/>
        <v>1400000</v>
      </c>
      <c r="H392" s="3" t="n">
        <f t="shared" si="11"/>
        <v>36000</v>
      </c>
      <c r="I392" s="3" t="n">
        <f t="shared" si="11"/>
        <v>4800</v>
      </c>
      <c r="J392" s="3" t="n">
        <f t="shared" si="11"/>
        <v>260000</v>
      </c>
      <c r="K392" s="3" t="n">
        <f t="shared" si="11"/>
        <v>5800</v>
      </c>
    </row>
    <row r="393">
      <c r="B393" s="4" t="n">
        <v>2027</v>
      </c>
      <c r="C393" s="3" t="n">
        <f t="shared" si="12"/>
        <v>510000</v>
      </c>
      <c r="D393" s="3" t="n">
        <f t="shared" si="14"/>
        <v>5200</v>
      </c>
      <c r="E393" s="3" t="n">
        <f t="shared" si="14"/>
        <v>1900</v>
      </c>
      <c r="F393" s="3" t="n">
        <f t="shared" si="10"/>
        <v>1200</v>
      </c>
      <c r="G393" s="3" t="n">
        <f t="shared" si="13"/>
        <v>1500000</v>
      </c>
      <c r="H393" s="3" t="n">
        <f t="shared" si="11"/>
        <v>38000</v>
      </c>
      <c r="I393" s="3" t="n">
        <f t="shared" si="11"/>
        <v>4900</v>
      </c>
      <c r="J393" s="3" t="n">
        <f t="shared" si="11"/>
        <v>260000</v>
      </c>
      <c r="K393" s="3" t="n">
        <f t="shared" si="11"/>
        <v>7000</v>
      </c>
    </row>
    <row r="394">
      <c r="B394" s="4" t="n">
        <v>2028</v>
      </c>
      <c r="C394" s="3" t="n">
        <f t="shared" si="12"/>
        <v>500000</v>
      </c>
      <c r="D394" s="3" t="n">
        <f t="shared" si="14"/>
        <v>5200</v>
      </c>
      <c r="E394" s="3" t="n">
        <f t="shared" si="14"/>
        <v>1900</v>
      </c>
      <c r="F394" s="3" t="n">
        <f t="shared" si="10"/>
        <v>1200</v>
      </c>
      <c r="G394" s="3" t="n">
        <f t="shared" si="13"/>
        <v>1500000</v>
      </c>
      <c r="H394" s="3" t="n">
        <f t="shared" si="11"/>
        <v>39000</v>
      </c>
      <c r="I394" s="3" t="n">
        <f t="shared" si="11"/>
        <v>5100</v>
      </c>
      <c r="J394" s="3" t="n">
        <f t="shared" si="11"/>
        <v>260000</v>
      </c>
      <c r="K394" s="3" t="n">
        <f t="shared" si="11"/>
        <v>8300</v>
      </c>
    </row>
    <row r="395">
      <c r="B395" s="4" t="n">
        <v>2029</v>
      </c>
      <c r="C395" s="3" t="n">
        <f t="shared" si="12"/>
        <v>490000</v>
      </c>
      <c r="D395" s="3" t="n">
        <f t="shared" si="14"/>
        <v>5100</v>
      </c>
      <c r="E395" s="3" t="n">
        <f t="shared" si="14"/>
        <v>1900</v>
      </c>
      <c r="F395" s="3" t="n">
        <f t="shared" si="10"/>
        <v>1200</v>
      </c>
      <c r="G395" s="3" t="n">
        <f t="shared" si="13"/>
        <v>1500000</v>
      </c>
      <c r="H395" s="3" t="n">
        <f t="shared" si="11"/>
        <v>40000</v>
      </c>
      <c r="I395" s="3" t="n">
        <f t="shared" si="11"/>
        <v>5200</v>
      </c>
      <c r="J395" s="3" t="n">
        <f t="shared" si="11"/>
        <v>250000</v>
      </c>
      <c r="K395" s="3" t="n">
        <f t="shared" si="11"/>
        <v>9600</v>
      </c>
    </row>
    <row r="396">
      <c r="B396" s="4" t="n">
        <v>2030</v>
      </c>
      <c r="C396" s="3" t="n">
        <f t="shared" si="12"/>
        <v>480000</v>
      </c>
      <c r="D396" s="3" t="n">
        <f t="shared" si="14"/>
        <v>5100</v>
      </c>
      <c r="E396" s="3" t="n">
        <f t="shared" si="14"/>
        <v>1800</v>
      </c>
      <c r="F396" s="3" t="n">
        <f t="shared" si="10"/>
        <v>1200</v>
      </c>
      <c r="G396" s="3" t="n">
        <f t="shared" si="13"/>
        <v>1499000</v>
      </c>
      <c r="H396" s="3" t="n">
        <f t="shared" si="11"/>
        <v>41000</v>
      </c>
      <c r="I396" s="3" t="n">
        <f t="shared" si="11"/>
        <v>5400</v>
      </c>
      <c r="J396" s="3" t="n">
        <f t="shared" si="11"/>
        <v>250000</v>
      </c>
      <c r="K396" s="3" t="n">
        <f t="shared" si="11"/>
        <v>11000</v>
      </c>
    </row>
    <row r="397">
      <c r="B397" s="4" t="n">
        <v>2031</v>
      </c>
      <c r="C397" s="3" t="n">
        <f t="shared" si="12"/>
        <v>480000</v>
      </c>
      <c r="D397" s="3" t="n">
        <f t="shared" si="14"/>
        <v>5000</v>
      </c>
      <c r="E397" s="3" t="n">
        <f t="shared" si="14"/>
        <v>1800</v>
      </c>
      <c r="F397" s="3" t="n">
        <f t="shared" si="10"/>
        <v>1200</v>
      </c>
      <c r="G397" s="3" t="n">
        <f t="shared" si="13"/>
        <v>1499000</v>
      </c>
      <c r="H397" s="3" t="n">
        <f t="shared" si="11"/>
        <v>42000</v>
      </c>
      <c r="I397" s="3" t="n">
        <f t="shared" si="11"/>
        <v>5500</v>
      </c>
      <c r="J397" s="3" t="n">
        <f t="shared" si="11"/>
        <v>250000</v>
      </c>
      <c r="K397" s="3" t="n">
        <f t="shared" si="11"/>
        <v>12000</v>
      </c>
    </row>
    <row r="398">
      <c r="B398" s="4" t="n">
        <v>2032</v>
      </c>
      <c r="C398" s="3" t="n">
        <f t="shared" si="12"/>
        <v>470000</v>
      </c>
      <c r="D398" s="3" t="n">
        <f t="shared" si="14"/>
        <v>5000</v>
      </c>
      <c r="E398" s="3" t="n">
        <f t="shared" si="14"/>
        <v>1800</v>
      </c>
      <c r="F398" s="3" t="n">
        <f t="shared" si="10"/>
        <v>1200</v>
      </c>
      <c r="G398" s="3" t="n">
        <f t="shared" si="13"/>
        <v>1498000</v>
      </c>
      <c r="H398" s="3" t="n">
        <f t="shared" si="11"/>
        <v>43000</v>
      </c>
      <c r="I398" s="3" t="n">
        <f t="shared" si="11"/>
        <v>5600</v>
      </c>
      <c r="J398" s="3" t="n">
        <f t="shared" si="11"/>
        <v>250000</v>
      </c>
      <c r="K398" s="3" t="n">
        <f t="shared" si="11"/>
        <v>13000</v>
      </c>
    </row>
    <row r="399">
      <c r="B399" s="4" t="n">
        <v>2033</v>
      </c>
      <c r="C399" s="3" t="n">
        <f t="shared" si="12"/>
        <v>460000</v>
      </c>
      <c r="D399" s="3" t="n">
        <f t="shared" si="14"/>
        <v>5000</v>
      </c>
      <c r="E399" s="3" t="n">
        <f t="shared" si="14"/>
        <v>1800</v>
      </c>
      <c r="F399" s="3" t="n">
        <f t="shared" si="10"/>
        <v>1200</v>
      </c>
      <c r="G399" s="3" t="n">
        <f t="shared" si="13"/>
        <v>1497000</v>
      </c>
      <c r="H399" s="3" t="n">
        <f t="shared" si="11"/>
        <v>45000</v>
      </c>
      <c r="I399" s="3" t="n">
        <f t="shared" si="11"/>
        <v>5800</v>
      </c>
      <c r="J399" s="3" t="n">
        <f t="shared" si="11"/>
        <v>250000</v>
      </c>
      <c r="K399" s="3" t="n">
        <f t="shared" si="11"/>
        <v>15000</v>
      </c>
    </row>
    <row r="400">
      <c r="B400" s="4" t="n">
        <v>2034</v>
      </c>
      <c r="C400" s="3" t="n">
        <f t="shared" si="12"/>
        <v>450000</v>
      </c>
      <c r="D400" s="3" t="n">
        <f t="shared" si="14"/>
        <v>4900</v>
      </c>
      <c r="E400" s="3" t="n">
        <f t="shared" si="14"/>
        <v>1800</v>
      </c>
      <c r="F400" s="3" t="n">
        <f t="shared" si="10"/>
        <v>1200</v>
      </c>
      <c r="G400" s="3" t="n">
        <f t="shared" si="13"/>
        <v>1497000</v>
      </c>
      <c r="H400" s="3" t="n">
        <f t="shared" si="11"/>
        <v>46000</v>
      </c>
      <c r="I400" s="3" t="n">
        <f t="shared" si="11"/>
        <v>5900</v>
      </c>
      <c r="J400" s="3" t="n">
        <f t="shared" si="11"/>
        <v>240000</v>
      </c>
      <c r="K400" s="3" t="n">
        <f t="shared" si="11"/>
        <v>16000</v>
      </c>
    </row>
    <row r="401" ht="15.75" customHeight="1">
      <c r="B401" s="5" t="n">
        <v>2035</v>
      </c>
      <c r="C401" s="53" t="n">
        <f t="shared" si="12"/>
        <v>440000</v>
      </c>
      <c r="D401" s="53" t="n">
        <f t="shared" si="14"/>
        <v>4900</v>
      </c>
      <c r="E401" s="53" t="n">
        <f t="shared" si="14"/>
        <v>1800</v>
      </c>
      <c r="F401" s="53" t="n">
        <f t="shared" si="10"/>
        <v>1200</v>
      </c>
      <c r="G401" s="53" t="n">
        <f t="shared" si="13"/>
        <v>1496000</v>
      </c>
      <c r="H401" s="53" t="n">
        <f t="shared" si="11"/>
        <v>47000</v>
      </c>
      <c r="I401" s="53" t="n">
        <f t="shared" si="11"/>
        <v>6000</v>
      </c>
      <c r="J401" s="53" t="n">
        <f t="shared" si="11"/>
        <v>240000</v>
      </c>
      <c r="K401" s="53" t="n">
        <f t="shared" si="11"/>
        <v>17000</v>
      </c>
    </row>
    <row r="402" ht="15.75" customHeight="1">
      <c r="C40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2" max="2" width="9.42578125" hidden="0" customWidth="1"/>
    <col min="3" max="3" width="12.7109375" hidden="0" customWidth="1"/>
    <col min="6" max="6" width="17" hidden="0" customWidth="1"/>
    <col min="12" max="12" width="17" hidden="0" customWidth="1"/>
  </cols>
  <sheetData>
    <row r="2">
      <c r="B2" t="str">
        <f xml:space="preserve"> emissions!B2</f>
        <v>year</v>
      </c>
      <c r="C2" t="str">
        <f xml:space="preserve"> emissions!C2</f>
        <v>Methane</v>
      </c>
      <c r="D2" t="str">
        <f xml:space="preserve"> emissions!D2</f>
        <v>VOC</v>
      </c>
      <c r="E2" t="str">
        <f xml:space="preserve"> emissions!E2</f>
        <v>HAP</v>
      </c>
      <c r="F2" t="str">
        <f xml:space="preserve"> emissions!F2</f>
        <v>CH4_CO2e</v>
      </c>
    </row>
    <row r="3">
      <c r="B3" t="str">
        <f xml:space="preserve"> emissions!B3</f>
        <v>2020</v>
      </c>
      <c r="C3" t="n">
        <f xml:space="preserve"> emissions!C3</f>
        <v>0</v>
      </c>
      <c r="D3" t="n">
        <f xml:space="preserve"> emissions!D3</f>
        <v>0</v>
      </c>
      <c r="E3" t="n">
        <f xml:space="preserve"> emissions!E3</f>
        <v>0</v>
      </c>
      <c r="F3" t="n">
        <f xml:space="preserve"> emissions!F3</f>
        <v>0</v>
      </c>
    </row>
    <row r="4">
      <c r="B4" t="str">
        <f xml:space="preserve"> emissions!B4</f>
        <v>2021</v>
      </c>
      <c r="C4" t="n">
        <f xml:space="preserve"> emissions!C4</f>
        <v>0</v>
      </c>
      <c r="D4" t="n">
        <f xml:space="preserve"> emissions!D4</f>
        <v>0</v>
      </c>
      <c r="E4" t="n">
        <f xml:space="preserve"> emissions!E4</f>
        <v>0</v>
      </c>
      <c r="F4" t="n">
        <f xml:space="preserve"> emissions!F4</f>
        <v>0</v>
      </c>
    </row>
    <row r="5">
      <c r="B5" t="str">
        <f xml:space="preserve"> emissions!B5</f>
        <v>2022</v>
      </c>
      <c r="C5" t="n">
        <f xml:space="preserve"> emissions!C5</f>
        <v>0</v>
      </c>
      <c r="D5" t="n">
        <f xml:space="preserve"> emissions!D5</f>
        <v>0</v>
      </c>
      <c r="E5" t="n">
        <f xml:space="preserve"> emissions!E5</f>
        <v>0</v>
      </c>
      <c r="F5" t="n">
        <f xml:space="preserve"> emissions!F5</f>
        <v>0</v>
      </c>
    </row>
    <row r="6">
      <c r="B6" t="str">
        <f xml:space="preserve"> emissions!B6</f>
        <v>2023</v>
      </c>
      <c r="C6" t="n">
        <f xml:space="preserve"> emissions!C6</f>
        <v>-144749.704666198</v>
      </c>
      <c r="D6" t="n">
        <f xml:space="preserve"> emissions!D6</f>
        <v>-61459.941762223803</v>
      </c>
      <c r="E6" t="n">
        <f xml:space="preserve"> emissions!E6</f>
        <v>-2320.22288643611</v>
      </c>
      <c r="F6" t="n">
        <f xml:space="preserve"> emissions!F6</f>
        <v>-3282868.0798170301</v>
      </c>
    </row>
    <row r="7">
      <c r="B7" t="str">
        <f xml:space="preserve"> emissions!B7</f>
        <v>2024</v>
      </c>
      <c r="C7" t="n">
        <f xml:space="preserve"> emissions!C7</f>
        <v>-222247.22042656399</v>
      </c>
      <c r="D7" t="n">
        <f xml:space="preserve"> emissions!D7</f>
        <v>-91492.958837470098</v>
      </c>
      <c r="E7" t="n">
        <f xml:space="preserve"> emissions!E7</f>
        <v>-3454.0801323844998</v>
      </c>
      <c r="F7" t="n">
        <f xml:space="preserve"> emissions!F7</f>
        <v>-5040482.1719598696</v>
      </c>
    </row>
    <row r="8">
      <c r="B8" t="str">
        <f xml:space="preserve"> emissions!B8</f>
        <v>2025</v>
      </c>
      <c r="C8" t="n">
        <f xml:space="preserve"> emissions!C8</f>
        <v>-303974.99360637</v>
      </c>
      <c r="D8" t="n">
        <f xml:space="preserve"> emissions!D8</f>
        <v>-122002.775313248</v>
      </c>
      <c r="E8" t="n">
        <f xml:space="preserve"> emissions!E8</f>
        <v>-4605.8984527893899</v>
      </c>
      <c r="F8" t="n">
        <f xml:space="preserve"> emissions!F8</f>
        <v>-6894036.8885324197</v>
      </c>
    </row>
    <row r="9">
      <c r="B9" t="str">
        <f xml:space="preserve"> emissions!B9</f>
        <v>2026</v>
      </c>
      <c r="C9" t="n">
        <f xml:space="preserve"> emissions!C9</f>
        <v>-3474045.0513627399</v>
      </c>
      <c r="D9" t="n">
        <f xml:space="preserve"> emissions!D9</f>
        <v>-920986.15536067495</v>
      </c>
      <c r="E9" t="n">
        <f xml:space="preserve"> emissions!E9</f>
        <v>-37450.747108525298</v>
      </c>
      <c r="F9" t="n">
        <f xml:space="preserve"> emissions!F9</f>
        <v>-78790016.416719794</v>
      </c>
    </row>
    <row r="10">
      <c r="B10" t="str">
        <f xml:space="preserve"> emissions!B10</f>
        <v>2027</v>
      </c>
      <c r="C10" t="n">
        <f xml:space="preserve"> emissions!C10</f>
        <v>-3477893.3397461101</v>
      </c>
      <c r="D10" t="n">
        <f xml:space="preserve"> emissions!D10</f>
        <v>-927374.18574301596</v>
      </c>
      <c r="E10" t="n">
        <f xml:space="preserve"> emissions!E10</f>
        <v>-37666.983184620301</v>
      </c>
      <c r="F10" t="n">
        <f xml:space="preserve"> emissions!F10</f>
        <v>-78877294.129132703</v>
      </c>
    </row>
    <row r="11">
      <c r="B11" t="str">
        <f xml:space="preserve"> emissions!B11</f>
        <v>2028</v>
      </c>
      <c r="C11" t="n">
        <f xml:space="preserve"> emissions!C11</f>
        <v>-3484542.2506595999</v>
      </c>
      <c r="D11" t="n">
        <f xml:space="preserve"> emissions!D11</f>
        <v>-933764.77145088895</v>
      </c>
      <c r="E11" t="n">
        <f xml:space="preserve"> emissions!E11</f>
        <v>-37883.5846767478</v>
      </c>
      <c r="F11" t="n">
        <f xml:space="preserve"> emissions!F11</f>
        <v>-79028088.8920912</v>
      </c>
    </row>
    <row r="12">
      <c r="B12" t="str">
        <f xml:space="preserve"> emissions!B12</f>
        <v>2029</v>
      </c>
      <c r="C12" t="n">
        <f xml:space="preserve"> emissions!C12</f>
        <v>-3490714.9332461702</v>
      </c>
      <c r="D12" t="n">
        <f xml:space="preserve"> emissions!D12</f>
        <v>-939115.29645170702</v>
      </c>
      <c r="E12" t="n">
        <f xml:space="preserve"> emissions!E12</f>
        <v>-38061.273541416696</v>
      </c>
      <c r="F12" t="n">
        <f xml:space="preserve"> emissions!F12</f>
        <v>-79168082.978276104</v>
      </c>
    </row>
    <row r="13">
      <c r="B13" t="str">
        <f xml:space="preserve"> emissions!B13</f>
        <v>2030</v>
      </c>
      <c r="C13" t="n">
        <f xml:space="preserve"> emissions!C13</f>
        <v>-3496373.24571543</v>
      </c>
      <c r="D13" t="n">
        <f xml:space="preserve"> emissions!D13</f>
        <v>-943465.68196357298</v>
      </c>
      <c r="E13" t="n">
        <f xml:space="preserve"> emissions!E13</f>
        <v>-38201.550943734401</v>
      </c>
      <c r="F13" t="n">
        <f xml:space="preserve"> emissions!F13</f>
        <v>-79296411.346432701</v>
      </c>
    </row>
    <row r="14">
      <c r="B14" t="str">
        <f xml:space="preserve"> emissions!B14</f>
        <v>2031</v>
      </c>
      <c r="C14" t="n">
        <f xml:space="preserve"> emissions!C14</f>
        <v>-3501607.6632711901</v>
      </c>
      <c r="D14" t="n">
        <f xml:space="preserve"> emissions!D14</f>
        <v>-947149.22504767904</v>
      </c>
      <c r="E14" t="n">
        <f xml:space="preserve"> emissions!E14</f>
        <v>-38316.969545631902</v>
      </c>
      <c r="F14" t="n">
        <f xml:space="preserve"> emissions!F14</f>
        <v>-79415125.939667001</v>
      </c>
    </row>
    <row r="15">
      <c r="B15" t="str">
        <f xml:space="preserve"> emissions!B15</f>
        <v>2032</v>
      </c>
      <c r="C15" t="n">
        <f xml:space="preserve"> emissions!C15</f>
        <v>-3507335.2749944702</v>
      </c>
      <c r="D15" t="n">
        <f xml:space="preserve"> emissions!D15</f>
        <v>-950491.11045892898</v>
      </c>
      <c r="E15" t="n">
        <f xml:space="preserve"> emissions!E15</f>
        <v>-38419.776455265797</v>
      </c>
      <c r="F15" t="n">
        <f xml:space="preserve"> emissions!F15</f>
        <v>-79545025.988467097</v>
      </c>
    </row>
    <row r="16">
      <c r="B16" t="str">
        <f xml:space="preserve"> emissions!B16</f>
        <v>2033</v>
      </c>
      <c r="C16" t="n">
        <f xml:space="preserve"> emissions!C16</f>
        <v>-3514294.5392517699</v>
      </c>
      <c r="D16" t="n">
        <f xml:space="preserve"> emissions!D16</f>
        <v>-954156.16113124904</v>
      </c>
      <c r="E16" t="n">
        <f xml:space="preserve"> emissions!E16</f>
        <v>-38535.012962414403</v>
      </c>
      <c r="F16" t="n">
        <f xml:space="preserve"> emissions!F16</f>
        <v>-79702859.446863502</v>
      </c>
    </row>
    <row r="17">
      <c r="B17" t="str">
        <f xml:space="preserve"> emissions!B17</f>
        <v>2034</v>
      </c>
      <c r="C17" t="n">
        <f xml:space="preserve"> emissions!C17</f>
        <v>-3521301.3995467899</v>
      </c>
      <c r="D17" t="n">
        <f xml:space="preserve"> emissions!D17</f>
        <v>-957381.38132189296</v>
      </c>
      <c r="E17" t="n">
        <f xml:space="preserve"> emissions!E17</f>
        <v>-38633.9344508461</v>
      </c>
      <c r="F17" t="n">
        <f xml:space="preserve"> emissions!F17</f>
        <v>-79861772.365237206</v>
      </c>
    </row>
    <row r="18">
      <c r="B18" t="str">
        <f xml:space="preserve"> emissions!B18</f>
        <v>2035</v>
      </c>
      <c r="C18" t="n">
        <f xml:space="preserve"> emissions!C18</f>
        <v>-3528938.66855611</v>
      </c>
      <c r="D18" t="n">
        <f xml:space="preserve"> emissions!D18</f>
        <v>-960561.36206828197</v>
      </c>
      <c r="E18" t="n">
        <f xml:space="preserve"> emissions!E18</f>
        <v>-38731.402634864098</v>
      </c>
      <c r="F18" t="n">
        <f xml:space="preserve"> emissions!F18</f>
        <v>-80034982.712750494</v>
      </c>
    </row>
    <row r="20">
      <c r="B20" t="str">
        <f xml:space="preserve"> emissions!B20</f>
        <v>Total</v>
      </c>
      <c r="C20" t="n">
        <f xml:space="preserve"> emissions!C20</f>
        <v>-35668018.285049513</v>
      </c>
      <c r="D20" t="n">
        <f xml:space="preserve"> emissions!D20</f>
        <v>-9709401.0069108326</v>
      </c>
      <c r="E20" t="n">
        <f xml:space="preserve"> emissions!E20</f>
        <v>-392281.43697567686</v>
      </c>
      <c r="F20" t="n">
        <f xml:space="preserve"> emissions!F20</f>
        <v>-808937047.35594726</v>
      </c>
    </row>
    <row r="23" ht="15.75" customHeight="1">
      <c r="B23" s="1" t="s">
        <v>67</v>
      </c>
      <c r="C23" s="1" t="s">
        <v>453</v>
      </c>
      <c r="D23" s="56"/>
      <c r="E23" s="56"/>
      <c r="F23" s="56"/>
      <c r="G23" s="56"/>
      <c r="H23" s="1" t="s">
        <v>67</v>
      </c>
      <c r="I23" s="1" t="s">
        <v>453</v>
      </c>
    </row>
    <row r="24" ht="15.75" customHeight="1">
      <c r="B24" s="19" t="s">
        <v>63</v>
      </c>
      <c r="C24" s="55" t="s">
        <v>43</v>
      </c>
      <c r="D24" s="55"/>
      <c r="E24" s="55"/>
      <c r="F24" s="55"/>
      <c r="H24" s="19" t="s">
        <v>63</v>
      </c>
      <c r="I24" s="55" t="s">
        <v>43</v>
      </c>
      <c r="J24" s="55"/>
      <c r="K24" s="55"/>
      <c r="L24" s="55"/>
    </row>
    <row r="25">
      <c r="B25" s="4"/>
      <c r="C25" s="4" t="s">
        <v>68</v>
      </c>
      <c r="D25" s="4" t="s">
        <v>69</v>
      </c>
      <c r="E25" s="4" t="s">
        <v>70</v>
      </c>
      <c r="F25" s="4" t="s">
        <v>1</v>
      </c>
      <c r="H25" s="4"/>
      <c r="I25" s="4" t="s">
        <v>68</v>
      </c>
      <c r="J25" s="4" t="s">
        <v>69</v>
      </c>
      <c r="K25" s="4" t="s">
        <v>70</v>
      </c>
      <c r="L25" s="4" t="s">
        <v>1</v>
      </c>
    </row>
    <row r="26" ht="24" customHeight="1">
      <c r="B26" s="54"/>
      <c r="C26" s="54" t="s">
        <v>71</v>
      </c>
      <c r="D26" s="54" t="s">
        <v>71</v>
      </c>
      <c r="E26" s="54" t="s">
        <v>71</v>
      </c>
      <c r="F26" s="54" t="s">
        <v>72</v>
      </c>
      <c r="H26" s="54"/>
      <c r="I26" s="54" t="s">
        <v>71</v>
      </c>
      <c r="J26" s="54" t="s">
        <v>71</v>
      </c>
      <c r="K26" s="54" t="s">
        <v>71</v>
      </c>
      <c r="L26" s="54" t="s">
        <v>72</v>
      </c>
      <c r="M26" s="52"/>
    </row>
    <row r="27">
      <c r="B27" s="4" t="n">
        <v>2023</v>
      </c>
      <c r="C27" s="3" t="n">
        <f>C6</f>
        <v>-144749.704666198</v>
      </c>
      <c r="D27" s="3" t="n">
        <f t="shared" ref="D27:F27" si="0">D6</f>
        <v>-61459.941762223803</v>
      </c>
      <c r="E27" s="3" t="n">
        <f t="shared" si="0"/>
        <v>-2320.22288643611</v>
      </c>
      <c r="F27" s="3" t="n">
        <f t="shared" si="0"/>
        <v>-3282868.0798170301</v>
      </c>
      <c r="H27" s="4" t="n">
        <v>2023</v>
      </c>
      <c r="I27" s="3" t="n">
        <f>- ROUND(C27,2-(1+INT(LOG10(ABS(C27)))))</f>
        <v>140000</v>
      </c>
      <c r="J27" s="3" t="n">
        <f t="shared" ref="J27:L40" si="1">- ROUND(D27,2-(1+INT(LOG10(ABS(D27)))))</f>
        <v>61000</v>
      </c>
      <c r="K27" s="3" t="n">
        <f t="shared" si="1"/>
        <v>2300</v>
      </c>
      <c r="L27" s="3" t="n">
        <f t="shared" si="1"/>
        <v>3300000</v>
      </c>
    </row>
    <row r="28">
      <c r="B28" s="4" t="n">
        <v>2024</v>
      </c>
      <c r="C28" s="3" t="n">
        <f t="shared" ref="C28:F39" si="2">C7</f>
        <v>-222247.22042656399</v>
      </c>
      <c r="D28" s="3" t="n">
        <f t="shared" si="2"/>
        <v>-91492.958837470098</v>
      </c>
      <c r="E28" s="3" t="n">
        <f t="shared" si="2"/>
        <v>-3454.0801323844998</v>
      </c>
      <c r="F28" s="3" t="n">
        <f t="shared" si="2"/>
        <v>-5040482.1719598696</v>
      </c>
      <c r="H28" s="4" t="n">
        <v>2024</v>
      </c>
      <c r="I28" s="3" t="n">
        <f t="shared" ref="I28:I40" si="3">- ROUND(C28,2-(1+INT(LOG10(ABS(C28)))))</f>
        <v>220000</v>
      </c>
      <c r="J28" s="3" t="n">
        <f t="shared" si="1"/>
        <v>91000</v>
      </c>
      <c r="K28" s="3" t="n">
        <f t="shared" si="1"/>
        <v>3500</v>
      </c>
      <c r="L28" s="3" t="n">
        <f t="shared" si="1"/>
        <v>5000000</v>
      </c>
    </row>
    <row r="29">
      <c r="B29" s="4" t="n">
        <v>2025</v>
      </c>
      <c r="C29" s="3" t="n">
        <f t="shared" si="2"/>
        <v>-303974.99360637</v>
      </c>
      <c r="D29" s="3" t="n">
        <f t="shared" si="2"/>
        <v>-122002.775313248</v>
      </c>
      <c r="E29" s="3" t="n">
        <f t="shared" si="2"/>
        <v>-4605.8984527893899</v>
      </c>
      <c r="F29" s="3" t="n">
        <f t="shared" si="2"/>
        <v>-6894036.8885324197</v>
      </c>
      <c r="H29" s="4" t="n">
        <v>2025</v>
      </c>
      <c r="I29" s="3" t="n">
        <f t="shared" si="3"/>
        <v>300000</v>
      </c>
      <c r="J29" s="3" t="n">
        <f t="shared" si="1"/>
        <v>120000</v>
      </c>
      <c r="K29" s="3" t="n">
        <f t="shared" si="1"/>
        <v>4600</v>
      </c>
      <c r="L29" s="3" t="n">
        <f t="shared" si="1"/>
        <v>6900000</v>
      </c>
    </row>
    <row r="30">
      <c r="B30" s="4" t="n">
        <v>2026</v>
      </c>
      <c r="C30" s="3" t="n">
        <f t="shared" si="2"/>
        <v>-3474045.0513627399</v>
      </c>
      <c r="D30" s="3" t="n">
        <f t="shared" si="2"/>
        <v>-920986.15536067495</v>
      </c>
      <c r="E30" s="3" t="n">
        <f t="shared" si="2"/>
        <v>-37450.747108525298</v>
      </c>
      <c r="F30" s="3" t="n">
        <f t="shared" si="2"/>
        <v>-78790016.416719794</v>
      </c>
      <c r="H30" s="4" t="n">
        <v>2026</v>
      </c>
      <c r="I30" s="3" t="n">
        <f t="shared" si="3"/>
        <v>3500000</v>
      </c>
      <c r="J30" s="3" t="n">
        <f t="shared" si="1"/>
        <v>920000</v>
      </c>
      <c r="K30" s="3" t="n">
        <f t="shared" si="1"/>
        <v>37000</v>
      </c>
      <c r="L30" s="3" t="n">
        <f t="shared" si="1"/>
        <v>79000000</v>
      </c>
    </row>
    <row r="31">
      <c r="B31" s="4" t="n">
        <v>2027</v>
      </c>
      <c r="C31" s="3" t="n">
        <f t="shared" si="2"/>
        <v>-3477893.3397461101</v>
      </c>
      <c r="D31" s="3" t="n">
        <f t="shared" si="2"/>
        <v>-927374.18574301596</v>
      </c>
      <c r="E31" s="3" t="n">
        <f t="shared" si="2"/>
        <v>-37666.983184620301</v>
      </c>
      <c r="F31" s="3" t="n">
        <f t="shared" si="2"/>
        <v>-78877294.129132703</v>
      </c>
      <c r="H31" s="4" t="n">
        <v>2027</v>
      </c>
      <c r="I31" s="3" t="n">
        <f t="shared" si="3"/>
        <v>3500000</v>
      </c>
      <c r="J31" s="3" t="n">
        <f t="shared" si="1"/>
        <v>930000</v>
      </c>
      <c r="K31" s="3" t="n">
        <f t="shared" si="1"/>
        <v>38000</v>
      </c>
      <c r="L31" s="3" t="n">
        <f t="shared" si="1"/>
        <v>79000000</v>
      </c>
    </row>
    <row r="32">
      <c r="B32" s="4" t="n">
        <v>2028</v>
      </c>
      <c r="C32" s="3" t="n">
        <f t="shared" si="2"/>
        <v>-3484542.2506595999</v>
      </c>
      <c r="D32" s="3" t="n">
        <f t="shared" si="2"/>
        <v>-933764.77145088895</v>
      </c>
      <c r="E32" s="3" t="n">
        <f t="shared" si="2"/>
        <v>-37883.5846767478</v>
      </c>
      <c r="F32" s="3" t="n">
        <f t="shared" si="2"/>
        <v>-79028088.8920912</v>
      </c>
      <c r="H32" s="4" t="n">
        <v>2028</v>
      </c>
      <c r="I32" s="3" t="n">
        <f t="shared" si="3"/>
        <v>3500000</v>
      </c>
      <c r="J32" s="3" t="n">
        <f t="shared" si="1"/>
        <v>930000</v>
      </c>
      <c r="K32" s="3" t="n">
        <f t="shared" si="1"/>
        <v>38000</v>
      </c>
      <c r="L32" s="3" t="n">
        <f t="shared" si="1"/>
        <v>79000000</v>
      </c>
    </row>
    <row r="33">
      <c r="B33" s="4" t="n">
        <v>2029</v>
      </c>
      <c r="C33" s="3" t="n">
        <f t="shared" si="2"/>
        <v>-3490714.9332461702</v>
      </c>
      <c r="D33" s="3" t="n">
        <f t="shared" si="2"/>
        <v>-939115.29645170702</v>
      </c>
      <c r="E33" s="3" t="n">
        <f t="shared" si="2"/>
        <v>-38061.273541416696</v>
      </c>
      <c r="F33" s="3" t="n">
        <f t="shared" si="2"/>
        <v>-79168082.978276104</v>
      </c>
      <c r="H33" s="4" t="n">
        <v>2029</v>
      </c>
      <c r="I33" s="3" t="n">
        <f t="shared" si="3"/>
        <v>3500000</v>
      </c>
      <c r="J33" s="3" t="n">
        <f t="shared" si="1"/>
        <v>940000</v>
      </c>
      <c r="K33" s="3" t="n">
        <f t="shared" si="1"/>
        <v>38000</v>
      </c>
      <c r="L33" s="3" t="n">
        <f t="shared" si="1"/>
        <v>79000000</v>
      </c>
    </row>
    <row r="34">
      <c r="B34" s="4" t="n">
        <v>2030</v>
      </c>
      <c r="C34" s="3" t="n">
        <f t="shared" si="2"/>
        <v>-3496373.24571543</v>
      </c>
      <c r="D34" s="3" t="n">
        <f t="shared" si="2"/>
        <v>-943465.68196357298</v>
      </c>
      <c r="E34" s="3" t="n">
        <f t="shared" si="2"/>
        <v>-38201.550943734401</v>
      </c>
      <c r="F34" s="3" t="n">
        <f t="shared" si="2"/>
        <v>-79296411.346432701</v>
      </c>
      <c r="H34" s="4" t="n">
        <v>2030</v>
      </c>
      <c r="I34" s="3" t="n">
        <f t="shared" si="3"/>
        <v>3500000</v>
      </c>
      <c r="J34" s="3" t="n">
        <f t="shared" si="1"/>
        <v>940000</v>
      </c>
      <c r="K34" s="3" t="n">
        <f t="shared" si="1"/>
        <v>38000</v>
      </c>
      <c r="L34" s="3" t="n">
        <f t="shared" si="1"/>
        <v>79000000</v>
      </c>
    </row>
    <row r="35">
      <c r="B35" s="4" t="n">
        <v>2031</v>
      </c>
      <c r="C35" s="3" t="n">
        <f t="shared" si="2"/>
        <v>-3501607.6632711901</v>
      </c>
      <c r="D35" s="3" t="n">
        <f t="shared" si="2"/>
        <v>-947149.22504767904</v>
      </c>
      <c r="E35" s="3" t="n">
        <f t="shared" si="2"/>
        <v>-38316.969545631902</v>
      </c>
      <c r="F35" s="3" t="n">
        <f t="shared" si="2"/>
        <v>-79415125.939667001</v>
      </c>
      <c r="H35" s="4" t="n">
        <v>2031</v>
      </c>
      <c r="I35" s="3" t="n">
        <f t="shared" si="3"/>
        <v>3500000</v>
      </c>
      <c r="J35" s="3" t="n">
        <f t="shared" si="1"/>
        <v>950000</v>
      </c>
      <c r="K35" s="3" t="n">
        <f t="shared" si="1"/>
        <v>38000</v>
      </c>
      <c r="L35" s="3" t="n">
        <f t="shared" si="1"/>
        <v>79000000</v>
      </c>
    </row>
    <row r="36">
      <c r="B36" s="4" t="n">
        <v>2032</v>
      </c>
      <c r="C36" s="3" t="n">
        <f t="shared" si="2"/>
        <v>-3507335.2749944702</v>
      </c>
      <c r="D36" s="3" t="n">
        <f t="shared" si="2"/>
        <v>-950491.11045892898</v>
      </c>
      <c r="E36" s="3" t="n">
        <f t="shared" si="2"/>
        <v>-38419.776455265797</v>
      </c>
      <c r="F36" s="3" t="n">
        <f t="shared" si="2"/>
        <v>-79545025.988467097</v>
      </c>
      <c r="H36" s="4" t="n">
        <v>2032</v>
      </c>
      <c r="I36" s="3" t="n">
        <f t="shared" si="3"/>
        <v>3500000</v>
      </c>
      <c r="J36" s="3" t="n">
        <f t="shared" si="1"/>
        <v>950000</v>
      </c>
      <c r="K36" s="3" t="n">
        <f t="shared" si="1"/>
        <v>38000</v>
      </c>
      <c r="L36" s="3" t="n">
        <f t="shared" si="1"/>
        <v>80000000</v>
      </c>
    </row>
    <row r="37">
      <c r="B37" s="4" t="n">
        <v>2033</v>
      </c>
      <c r="C37" s="3" t="n">
        <f t="shared" si="2"/>
        <v>-3514294.5392517699</v>
      </c>
      <c r="D37" s="3" t="n">
        <f t="shared" si="2"/>
        <v>-954156.16113124904</v>
      </c>
      <c r="E37" s="3" t="n">
        <f t="shared" si="2"/>
        <v>-38535.012962414403</v>
      </c>
      <c r="F37" s="3" t="n">
        <f t="shared" si="2"/>
        <v>-79702859.446863502</v>
      </c>
      <c r="H37" s="4" t="n">
        <v>2033</v>
      </c>
      <c r="I37" s="3" t="n">
        <f t="shared" si="3"/>
        <v>3500000</v>
      </c>
      <c r="J37" s="3" t="n">
        <f t="shared" si="1"/>
        <v>950000</v>
      </c>
      <c r="K37" s="3" t="n">
        <f t="shared" si="1"/>
        <v>39000</v>
      </c>
      <c r="L37" s="3" t="n">
        <f t="shared" si="1"/>
        <v>80000000</v>
      </c>
    </row>
    <row r="38">
      <c r="B38" s="4" t="n">
        <v>2034</v>
      </c>
      <c r="C38" s="3" t="n">
        <f t="shared" si="2"/>
        <v>-3521301.3995467899</v>
      </c>
      <c r="D38" s="3" t="n">
        <f t="shared" si="2"/>
        <v>-957381.38132189296</v>
      </c>
      <c r="E38" s="3" t="n">
        <f t="shared" si="2"/>
        <v>-38633.9344508461</v>
      </c>
      <c r="F38" s="3" t="n">
        <f t="shared" si="2"/>
        <v>-79861772.365237206</v>
      </c>
      <c r="H38" s="4" t="n">
        <v>2034</v>
      </c>
      <c r="I38" s="3" t="n">
        <f t="shared" si="3"/>
        <v>3500000</v>
      </c>
      <c r="J38" s="3" t="n">
        <f t="shared" si="1"/>
        <v>960000</v>
      </c>
      <c r="K38" s="3" t="n">
        <f t="shared" si="1"/>
        <v>39000</v>
      </c>
      <c r="L38" s="3" t="n">
        <f t="shared" si="1"/>
        <v>80000000</v>
      </c>
    </row>
    <row r="39">
      <c r="B39" s="4" t="n">
        <v>2035</v>
      </c>
      <c r="C39" s="3" t="n">
        <f t="shared" si="2"/>
        <v>-3528938.66855611</v>
      </c>
      <c r="D39" s="3" t="n">
        <f t="shared" si="2"/>
        <v>-960561.36206828197</v>
      </c>
      <c r="E39" s="3" t="n">
        <f t="shared" si="2"/>
        <v>-38731.402634864098</v>
      </c>
      <c r="F39" s="3" t="n">
        <f t="shared" si="2"/>
        <v>-80034982.712750494</v>
      </c>
      <c r="G39" s="3"/>
      <c r="H39" s="54" t="n">
        <v>2035</v>
      </c>
      <c r="I39" s="57" t="n">
        <f t="shared" si="3"/>
        <v>3500000</v>
      </c>
      <c r="J39" s="57" t="n">
        <f t="shared" si="1"/>
        <v>960000</v>
      </c>
      <c r="K39" s="57" t="n">
        <f t="shared" si="1"/>
        <v>39000</v>
      </c>
      <c r="L39" s="57" t="n">
        <f t="shared" si="1"/>
        <v>80000000</v>
      </c>
    </row>
    <row r="40" ht="15.75" customHeight="1">
      <c r="B40" s="58" t="s">
        <v>26</v>
      </c>
      <c r="C40" s="59" t="n">
        <f>SUM(C$6:C$18)</f>
        <v>-35668018.285049513</v>
      </c>
      <c r="D40" s="59" t="n">
        <f t="shared" ref="D40:F40" si="4">SUM(D$6:D$18)</f>
        <v>-9709401.0069108326</v>
      </c>
      <c r="E40" s="59" t="n">
        <f t="shared" si="4"/>
        <v>-392281.43697567686</v>
      </c>
      <c r="F40" s="59" t="n">
        <f t="shared" si="4"/>
        <v>-808937047.35594726</v>
      </c>
      <c r="H40" s="58" t="s">
        <v>26</v>
      </c>
      <c r="I40" s="59" t="n">
        <f t="shared" si="3"/>
        <v>36000000</v>
      </c>
      <c r="J40" s="59" t="n">
        <f t="shared" si="1"/>
        <v>9700000</v>
      </c>
      <c r="K40" s="59" t="n">
        <f t="shared" si="1"/>
        <v>390000</v>
      </c>
      <c r="L40" s="59" t="n">
        <f t="shared" si="1"/>
        <v>810000000</v>
      </c>
    </row>
    <row r="41" ht="15.75" customHeight="1"/>
  </sheetData>
  <mergeCells count="4">
    <mergeCell ref="B24:B26"/>
    <mergeCell ref="C24:F24"/>
    <mergeCell ref="H24:H26"/>
    <mergeCell ref="I24:L2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3" max="3" width="24.85546875" hidden="0" customWidth="1"/>
    <col min="4" max="4" width="28.28515625" hidden="0" customWidth="1"/>
    <col min="5" max="5" width="17.140625" hidden="0" customWidth="1"/>
    <col min="7" max="7" width="24.85546875" hidden="0" customWidth="1"/>
    <col min="8" max="8" width="28.28515625" hidden="0" customWidth="1"/>
    <col min="12" max="12" width="15.28515625" hidden="0" customWidth="1"/>
  </cols>
  <sheetData>
    <row r="2">
      <c r="B2" t="str">
        <f>gas_revenue!B2</f>
        <v>year</v>
      </c>
      <c r="C2" t="str">
        <f>gas_revenue!C2</f>
        <v>gas_capture</v>
      </c>
      <c r="D2" t="str">
        <f>gas_revenue!D2</f>
        <v>gas_revenue</v>
      </c>
    </row>
    <row r="3">
      <c r="B3" t="str">
        <f>gas_revenue!B3</f>
        <v>2020</v>
      </c>
      <c r="C3" t="n">
        <f>gas_revenue!C3</f>
        <v>0</v>
      </c>
      <c r="D3" t="n">
        <f>gas_revenue!D3</f>
        <v>0</v>
      </c>
    </row>
    <row r="4">
      <c r="B4" t="str">
        <f>gas_revenue!B4</f>
        <v>2021</v>
      </c>
      <c r="C4" t="n">
        <f>gas_revenue!C4</f>
        <v>0</v>
      </c>
      <c r="D4" t="n">
        <f>gas_revenue!D4</f>
        <v>0</v>
      </c>
    </row>
    <row r="5">
      <c r="B5" t="str">
        <f>gas_revenue!B5</f>
        <v>2022</v>
      </c>
      <c r="C5" t="n">
        <f>gas_revenue!C5</f>
        <v>0</v>
      </c>
      <c r="D5" t="n">
        <f>gas_revenue!D5</f>
        <v>0</v>
      </c>
    </row>
    <row r="6">
      <c r="B6" t="str">
        <f>gas_revenue!B6</f>
        <v>2023</v>
      </c>
      <c r="C6" t="n">
        <f>gas_revenue!C6</f>
        <v>8025345.9447246902</v>
      </c>
      <c r="D6" t="n">
        <f>gas_revenue!D6</f>
        <v>24821600.104930501</v>
      </c>
    </row>
    <row r="7">
      <c r="B7" t="str">
        <f>gas_revenue!B7</f>
        <v>2024</v>
      </c>
      <c r="C7" t="n">
        <f>gas_revenue!C7</f>
        <v>12362809.9806365</v>
      </c>
      <c r="D7" t="n">
        <f>gas_revenue!D7</f>
        <v>34751511.773871802</v>
      </c>
    </row>
    <row r="8">
      <c r="B8" t="str">
        <f>gas_revenue!B8</f>
        <v>2025</v>
      </c>
      <c r="C8" t="n">
        <f>gas_revenue!C8</f>
        <v>16954611.045569301</v>
      </c>
      <c r="D8" t="n">
        <f>gas_revenue!D8</f>
        <v>45047365.798432402</v>
      </c>
    </row>
    <row r="9">
      <c r="B9" t="str">
        <f>gas_revenue!B9</f>
        <v>2026</v>
      </c>
      <c r="C9" t="n">
        <f>gas_revenue!C9</f>
        <v>198076481.38261899</v>
      </c>
      <c r="D9" t="n">
        <f>gas_revenue!D9</f>
        <v>522295879.84260303</v>
      </c>
    </row>
    <row r="10">
      <c r="B10" t="str">
        <f>gas_revenue!B10</f>
        <v>2027</v>
      </c>
      <c r="C10" t="n">
        <f>gas_revenue!C10</f>
        <v>198216890.90129501</v>
      </c>
      <c r="D10" t="n">
        <f>gas_revenue!D10</f>
        <v>539761338.95470905</v>
      </c>
    </row>
    <row r="11">
      <c r="B11" t="str">
        <f>gas_revenue!B11</f>
        <v>2028</v>
      </c>
      <c r="C11" t="n">
        <f>gas_revenue!C11</f>
        <v>198529346.17560899</v>
      </c>
      <c r="D11" t="n">
        <f>gas_revenue!D11</f>
        <v>570714666.36201894</v>
      </c>
    </row>
    <row r="12">
      <c r="B12" t="str">
        <f>gas_revenue!B12</f>
        <v>2029</v>
      </c>
      <c r="C12" t="n">
        <f>gas_revenue!C12</f>
        <v>198825629.67508301</v>
      </c>
      <c r="D12" t="n">
        <f>gas_revenue!D12</f>
        <v>592320829.83371699</v>
      </c>
    </row>
    <row r="13">
      <c r="B13" t="str">
        <f>gas_revenue!B13</f>
        <v>2030</v>
      </c>
      <c r="C13" t="n">
        <f>gas_revenue!C13</f>
        <v>199102866.82615799</v>
      </c>
      <c r="D13" t="n">
        <f>gas_revenue!D13</f>
        <v>609887007.97370195</v>
      </c>
    </row>
    <row r="14">
      <c r="B14" t="str">
        <f>gas_revenue!B14</f>
        <v>2031</v>
      </c>
      <c r="C14" t="n">
        <f>gas_revenue!C14</f>
        <v>199362341.47677201</v>
      </c>
      <c r="D14" t="n">
        <f>gas_revenue!D14</f>
        <v>625542302.05524397</v>
      </c>
    </row>
    <row r="15">
      <c r="B15" t="str">
        <f>gas_revenue!B15</f>
        <v>2032</v>
      </c>
      <c r="C15" t="n">
        <f>gas_revenue!C15</f>
        <v>199656209.18619299</v>
      </c>
      <c r="D15" t="n">
        <f>gas_revenue!D15</f>
        <v>632393958.62856495</v>
      </c>
    </row>
    <row r="16">
      <c r="B16" t="str">
        <f>gas_revenue!B16</f>
        <v>2033</v>
      </c>
      <c r="C16" t="n">
        <f>gas_revenue!C16</f>
        <v>200021445.958882</v>
      </c>
      <c r="D16" t="n">
        <f>gas_revenue!D16</f>
        <v>645664383.83320403</v>
      </c>
    </row>
    <row r="17">
      <c r="B17" t="str">
        <f>gas_revenue!B17</f>
        <v>2034</v>
      </c>
      <c r="C17" t="n">
        <f>gas_revenue!C17</f>
        <v>200395013.15104499</v>
      </c>
      <c r="D17" t="n">
        <f>gas_revenue!D17</f>
        <v>645860319.72817898</v>
      </c>
    </row>
    <row r="18">
      <c r="B18" t="str">
        <f>gas_revenue!B18</f>
        <v>2035</v>
      </c>
      <c r="C18" t="n">
        <f>gas_revenue!C18</f>
        <v>200807673.97158799</v>
      </c>
      <c r="D18" t="n">
        <f>gas_revenue!D18</f>
        <v>646801461.32162702</v>
      </c>
    </row>
    <row r="22" ht="26.45" customHeight="1">
      <c r="B22" s="50" t="s">
        <v>73</v>
      </c>
      <c r="C22" s="60" t="s">
        <v>454</v>
      </c>
      <c r="D22" s="61"/>
      <c r="E22" s="56"/>
      <c r="F22" s="50" t="s">
        <v>73</v>
      </c>
      <c r="G22" s="60" t="s">
        <v>454</v>
      </c>
      <c r="H22" s="5"/>
      <c r="I22" s="4"/>
      <c r="J22" s="4"/>
    </row>
    <row r="23" ht="25.15" customHeight="1">
      <c r="B23" s="55" t="s">
        <v>63</v>
      </c>
      <c r="C23" s="55" t="s">
        <v>74</v>
      </c>
      <c r="D23" s="55" t="s">
        <v>75</v>
      </c>
      <c r="F23" s="55" t="s">
        <v>63</v>
      </c>
      <c r="G23" s="55" t="s">
        <v>74</v>
      </c>
      <c r="H23" s="55" t="s">
        <v>75</v>
      </c>
      <c r="I23" s="4"/>
      <c r="J23" s="4"/>
    </row>
    <row r="24">
      <c r="B24" s="4" t="n">
        <v>2023</v>
      </c>
      <c r="C24" s="62" t="n">
        <f>C6/1000000</f>
        <v>8.0253459447246893</v>
      </c>
      <c r="D24" s="62" t="n">
        <f>D6/1000000</f>
        <v>24.8216001049305</v>
      </c>
      <c r="F24" s="4" t="n">
        <v>2023</v>
      </c>
      <c r="G24" s="18" t="n">
        <f>ROUND(C24,2-(1+INT(LOG10(ABS(C24)))))</f>
        <v>8</v>
      </c>
      <c r="H24" s="23" t="n">
        <f>ROUND(D24,2-(1+INT(LOG10(ABS(D24)))))</f>
        <v>25</v>
      </c>
      <c r="I24" s="4"/>
      <c r="J24" s="4"/>
    </row>
    <row r="25">
      <c r="B25" s="4" t="n">
        <v>2024</v>
      </c>
      <c r="C25" s="62" t="n">
        <f t="shared" ref="C25:D36" si="0">C7/1000000</f>
        <v>12.3628099806365</v>
      </c>
      <c r="D25" s="62" t="n">
        <f t="shared" si="0"/>
        <v>34.751511773871805</v>
      </c>
      <c r="F25" s="4" t="n">
        <v>2024</v>
      </c>
      <c r="G25" s="3" t="n">
        <f t="shared" ref="G25:H36" si="1">ROUND(C25,2-(1+INT(LOG10(ABS(C25)))))</f>
        <v>12</v>
      </c>
      <c r="H25" s="23" t="n">
        <f t="shared" si="1"/>
        <v>35</v>
      </c>
      <c r="I25" s="4"/>
      <c r="J25" s="4"/>
    </row>
    <row r="26">
      <c r="B26" s="4" t="n">
        <v>2025</v>
      </c>
      <c r="C26" s="62" t="n">
        <f t="shared" si="0"/>
        <v>16.954611045569301</v>
      </c>
      <c r="D26" s="62" t="n">
        <f t="shared" si="0"/>
        <v>45.047365798432402</v>
      </c>
      <c r="F26" s="4" t="n">
        <v>2025</v>
      </c>
      <c r="G26" s="3" t="n">
        <f t="shared" si="1"/>
        <v>17</v>
      </c>
      <c r="H26" s="23" t="n">
        <f t="shared" si="1"/>
        <v>45</v>
      </c>
      <c r="I26" s="4"/>
      <c r="J26" s="4"/>
    </row>
    <row r="27">
      <c r="B27" s="4" t="n">
        <v>2026</v>
      </c>
      <c r="C27" s="62" t="n">
        <f t="shared" si="0"/>
        <v>198.07648138261899</v>
      </c>
      <c r="D27" s="62" t="n">
        <f t="shared" si="0"/>
        <v>522.29587984260297</v>
      </c>
      <c r="F27" s="4" t="n">
        <v>2026</v>
      </c>
      <c r="G27" s="3" t="n">
        <f t="shared" si="1"/>
        <v>200</v>
      </c>
      <c r="H27" s="23" t="n">
        <f t="shared" si="1"/>
        <v>520</v>
      </c>
      <c r="I27" s="4"/>
      <c r="J27" s="4"/>
    </row>
    <row r="28">
      <c r="B28" s="4" t="n">
        <v>2027</v>
      </c>
      <c r="C28" s="62" t="n">
        <f t="shared" si="0"/>
        <v>198.21689090129502</v>
      </c>
      <c r="D28" s="62" t="n">
        <f t="shared" si="0"/>
        <v>539.761338954709</v>
      </c>
      <c r="F28" s="4" t="n">
        <v>2027</v>
      </c>
      <c r="G28" s="3" t="n">
        <f t="shared" si="1"/>
        <v>200</v>
      </c>
      <c r="H28" s="23" t="n">
        <f t="shared" si="1"/>
        <v>540</v>
      </c>
      <c r="I28" s="4"/>
      <c r="J28" s="4"/>
    </row>
    <row r="29">
      <c r="B29" s="4" t="n">
        <v>2028</v>
      </c>
      <c r="C29" s="62" t="n">
        <f t="shared" si="0"/>
        <v>198.52934617560899</v>
      </c>
      <c r="D29" s="62" t="n">
        <f t="shared" si="0"/>
        <v>570.71466636201899</v>
      </c>
      <c r="F29" s="4" t="n">
        <v>2028</v>
      </c>
      <c r="G29" s="3" t="n">
        <f t="shared" si="1"/>
        <v>200</v>
      </c>
      <c r="H29" s="23" t="n">
        <f t="shared" si="1"/>
        <v>570</v>
      </c>
      <c r="I29" s="4"/>
      <c r="J29" s="4"/>
    </row>
    <row r="30" ht="15.75" customHeight="1">
      <c r="B30" s="4" t="n">
        <v>2029</v>
      </c>
      <c r="C30" s="62" t="n">
        <f t="shared" si="0"/>
        <v>198.82562967508301</v>
      </c>
      <c r="D30" s="62" t="n">
        <f t="shared" si="0"/>
        <v>592.32082983371697</v>
      </c>
      <c r="F30" s="4" t="n">
        <v>2029</v>
      </c>
      <c r="G30" s="3" t="n">
        <f t="shared" si="1"/>
        <v>200</v>
      </c>
      <c r="H30" s="23" t="n">
        <f t="shared" si="1"/>
        <v>590</v>
      </c>
      <c r="I30" s="4"/>
      <c r="J30" s="4"/>
    </row>
    <row r="31" ht="15.75" customHeight="1">
      <c r="B31" s="4" t="n">
        <v>2030</v>
      </c>
      <c r="C31" s="62" t="n">
        <f t="shared" si="0"/>
        <v>199.10286682615799</v>
      </c>
      <c r="D31" s="62" t="n">
        <f t="shared" si="0"/>
        <v>609.887007973702</v>
      </c>
      <c r="F31" s="4" t="n">
        <v>2030</v>
      </c>
      <c r="G31" s="3" t="n">
        <f t="shared" si="1"/>
        <v>200</v>
      </c>
      <c r="H31" s="23" t="n">
        <f t="shared" si="1"/>
        <v>610</v>
      </c>
      <c r="I31" s="4"/>
      <c r="J31" s="4"/>
    </row>
    <row r="32">
      <c r="B32" s="4" t="n">
        <v>2031</v>
      </c>
      <c r="C32" s="62" t="n">
        <f t="shared" si="0"/>
        <v>199.362341476772</v>
      </c>
      <c r="D32" s="62" t="n">
        <f t="shared" si="0"/>
        <v>625.54230205524402</v>
      </c>
      <c r="F32" s="4" t="n">
        <v>2031</v>
      </c>
      <c r="G32" s="3" t="n">
        <f t="shared" si="1"/>
        <v>200</v>
      </c>
      <c r="H32" s="23" t="n">
        <f t="shared" si="1"/>
        <v>630</v>
      </c>
      <c r="I32" s="4"/>
      <c r="J32" s="4"/>
    </row>
    <row r="33">
      <c r="B33" s="4" t="n">
        <v>2032</v>
      </c>
      <c r="C33" s="62" t="n">
        <f t="shared" si="0"/>
        <v>199.656209186193</v>
      </c>
      <c r="D33" s="62" t="n">
        <f t="shared" si="0"/>
        <v>632.39395862856497</v>
      </c>
      <c r="F33" s="4" t="n">
        <v>2032</v>
      </c>
      <c r="G33" s="3" t="n">
        <f t="shared" si="1"/>
        <v>200</v>
      </c>
      <c r="H33" s="23" t="n">
        <f t="shared" si="1"/>
        <v>630</v>
      </c>
      <c r="I33" s="4"/>
      <c r="J33" s="4"/>
    </row>
    <row r="34">
      <c r="B34" s="4" t="n">
        <v>2033</v>
      </c>
      <c r="C34" s="62" t="n">
        <f t="shared" si="0"/>
        <v>200.021445958882</v>
      </c>
      <c r="D34" s="62" t="n">
        <f t="shared" si="0"/>
        <v>645.66438383320406</v>
      </c>
      <c r="F34" s="4" t="n">
        <v>2033</v>
      </c>
      <c r="G34" s="3" t="n">
        <f t="shared" si="1"/>
        <v>200</v>
      </c>
      <c r="H34" s="23" t="n">
        <f t="shared" si="1"/>
        <v>650</v>
      </c>
      <c r="I34" s="4"/>
      <c r="J34" s="4"/>
    </row>
    <row r="35">
      <c r="B35" s="4" t="n">
        <v>2034</v>
      </c>
      <c r="C35" s="62" t="n">
        <f t="shared" si="0"/>
        <v>200.39501315104499</v>
      </c>
      <c r="D35" s="62" t="n">
        <f t="shared" si="0"/>
        <v>645.86031972817898</v>
      </c>
      <c r="F35" s="4" t="n">
        <v>2034</v>
      </c>
      <c r="G35" s="3" t="n">
        <f t="shared" si="1"/>
        <v>200</v>
      </c>
      <c r="H35" s="23" t="n">
        <f t="shared" si="1"/>
        <v>650</v>
      </c>
      <c r="I35" s="4"/>
      <c r="J35" s="4"/>
    </row>
    <row r="36" ht="15" customHeight="1">
      <c r="B36" s="64" t="n">
        <v>2035</v>
      </c>
      <c r="C36" s="63" t="n">
        <f t="shared" si="0"/>
        <v>200.80767397158797</v>
      </c>
      <c r="D36" s="63" t="n">
        <f t="shared" si="0"/>
        <v>646.80146132162702</v>
      </c>
      <c r="F36" s="64" t="n">
        <v>2035</v>
      </c>
      <c r="G36" s="53" t="n">
        <f t="shared" si="1"/>
        <v>200</v>
      </c>
      <c r="H36" s="65" t="n">
        <f t="shared" si="1"/>
        <v>650</v>
      </c>
      <c r="I36" s="4"/>
      <c r="J36" s="4"/>
    </row>
    <row r="37" ht="15" customHeight="1"/>
    <row r="38" ht="15" customHeight="1"/>
    <row r="39" ht="15.6" customHeight="1"/>
    <row r="40" ht="15" customHeight="1"/>
    <row r="41">
      <c r="G41" s="4"/>
      <c r="H41" s="4"/>
      <c r="I41" s="4"/>
      <c r="J41" s="4"/>
    </row>
    <row r="42">
      <c r="G42" s="4"/>
      <c r="H42" s="4"/>
      <c r="I42" s="4"/>
      <c r="J42" s="4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3" max="3" width="18.28515625" hidden="0" customWidth="1"/>
    <col min="4" max="4" width="15" hidden="0" customWidth="1"/>
    <col min="5" max="5" width="12.5703125" hidden="0" customWidth="1"/>
    <col min="6" max="6" width="20.5703125" hidden="0" customWidth="1"/>
    <col min="7" max="7" width="16.140625" hidden="0" customWidth="1"/>
  </cols>
  <sheetData>
    <row r="2">
      <c r="B2" t="str">
        <f>costs!B2</f>
        <v>year</v>
      </c>
      <c r="C2" t="str">
        <f>costs!C2</f>
        <v>capital_cost</v>
      </c>
      <c r="D2" t="str">
        <f>costs!D2</f>
        <v>annual_cost</v>
      </c>
      <c r="E2" t="str">
        <f>costs!E2</f>
        <v>ann_7</v>
      </c>
      <c r="F2" t="str">
        <f>costs!F2</f>
        <v>gas_revenue</v>
      </c>
      <c r="G2" t="str">
        <f>costs!G2</f>
        <v>ann_7_wgas</v>
      </c>
    </row>
    <row r="3">
      <c r="B3" t="str">
        <f>costs!B3</f>
        <v>2020</v>
      </c>
      <c r="C3" s="67" t="n">
        <f>costs!C3</f>
        <v>0</v>
      </c>
      <c r="D3" s="67" t="n">
        <f>costs!D3</f>
        <v>0</v>
      </c>
      <c r="E3" s="67" t="n">
        <f>costs!E3</f>
        <v>0</v>
      </c>
      <c r="F3" s="67" t="n">
        <f>costs!F3</f>
        <v>0</v>
      </c>
      <c r="G3" s="67" t="n">
        <f>costs!G3</f>
        <v>0</v>
      </c>
    </row>
    <row r="4">
      <c r="B4" t="str">
        <f>costs!B4</f>
        <v>2021</v>
      </c>
      <c r="C4" s="67" t="n">
        <f>costs!C4</f>
        <v>0</v>
      </c>
      <c r="D4" s="67" t="n">
        <f>costs!D4</f>
        <v>0</v>
      </c>
      <c r="E4" s="67" t="n">
        <f>costs!E4</f>
        <v>0</v>
      </c>
      <c r="F4" s="67" t="n">
        <f>costs!F4</f>
        <v>0</v>
      </c>
      <c r="G4" s="67" t="n">
        <f>costs!G4</f>
        <v>0</v>
      </c>
    </row>
    <row r="5">
      <c r="B5" t="str">
        <f>costs!B5</f>
        <v>2022</v>
      </c>
      <c r="C5" s="67" t="n">
        <f>costs!C5</f>
        <v>0</v>
      </c>
      <c r="D5" s="67" t="n">
        <f>costs!D5</f>
        <v>0</v>
      </c>
      <c r="E5" s="67" t="n">
        <f>costs!E5</f>
        <v>0</v>
      </c>
      <c r="F5" s="67" t="n">
        <f>costs!F5</f>
        <v>0</v>
      </c>
      <c r="G5" s="67" t="n">
        <f>costs!G5</f>
        <v>0</v>
      </c>
    </row>
    <row r="6">
      <c r="B6" t="str">
        <f>costs!B6</f>
        <v>2023</v>
      </c>
      <c r="C6" s="67" t="n">
        <f>costs!C6</f>
        <v>483397720.81187499</v>
      </c>
      <c r="D6" s="67" t="n">
        <f>costs!D6</f>
        <v>66405589.852918498</v>
      </c>
      <c r="E6" s="67" t="n">
        <f>costs!E6</f>
        <v>119889009.700772</v>
      </c>
      <c r="F6" s="67" t="n">
        <f>costs!F6</f>
        <v>24821600.104930501</v>
      </c>
      <c r="G6" s="67" t="n">
        <f>costs!G6</f>
        <v>95067409.595841601</v>
      </c>
    </row>
    <row r="7">
      <c r="B7" t="str">
        <f>costs!B7</f>
        <v>2024</v>
      </c>
      <c r="C7" s="67" t="n">
        <f>costs!C7</f>
        <v>269229332.55692297</v>
      </c>
      <c r="D7" s="67" t="n">
        <f>costs!D7</f>
        <v>103490669.51075201</v>
      </c>
      <c r="E7" s="67" t="n">
        <f>costs!E7</f>
        <v>186580374.44925401</v>
      </c>
      <c r="F7" s="67" t="n">
        <f>costs!F7</f>
        <v>34751511.773871802</v>
      </c>
      <c r="G7" s="67" t="n">
        <f>costs!G7</f>
        <v>151828862.67538199</v>
      </c>
    </row>
    <row r="8">
      <c r="B8" t="str">
        <f>costs!B8</f>
        <v>2025</v>
      </c>
      <c r="C8" s="67" t="n">
        <f>costs!C8</f>
        <v>290468410.23402399</v>
      </c>
      <c r="D8" s="67" t="n">
        <f>costs!D8</f>
        <v>143647831.27295399</v>
      </c>
      <c r="E8" s="67" t="n">
        <f>costs!E8</f>
        <v>258664147.66091701</v>
      </c>
      <c r="F8" s="67" t="n">
        <f>costs!F8</f>
        <v>45047365.798432402</v>
      </c>
      <c r="G8" s="67" t="n">
        <f>costs!G8</f>
        <v>213616781.86248401</v>
      </c>
    </row>
    <row r="9">
      <c r="B9" t="str">
        <f>costs!B9</f>
        <v>2026</v>
      </c>
      <c r="C9" s="67" t="n">
        <f>costs!C9</f>
        <v>11557965226.216499</v>
      </c>
      <c r="D9" s="67" t="n">
        <f>costs!D9</f>
        <v>1303706676.1268201</v>
      </c>
      <c r="E9" s="67" t="n">
        <f>costs!E9</f>
        <v>2763532988.7042098</v>
      </c>
      <c r="F9" s="67" t="n">
        <f>costs!F9</f>
        <v>522295879.84260303</v>
      </c>
      <c r="G9" s="67" t="n">
        <f>costs!G9</f>
        <v>2241237108.8615999</v>
      </c>
    </row>
    <row r="10">
      <c r="B10" t="str">
        <f>costs!B10</f>
        <v>2027</v>
      </c>
      <c r="C10" s="67" t="n">
        <f>costs!C10</f>
        <v>306088516.40721101</v>
      </c>
      <c r="D10" s="67" t="n">
        <f>costs!D10</f>
        <v>1307116247.1984401</v>
      </c>
      <c r="E10" s="67" t="n">
        <f>costs!E10</f>
        <v>2747382903.6292701</v>
      </c>
      <c r="F10" s="67" t="n">
        <f>costs!F10</f>
        <v>539761338.95470905</v>
      </c>
      <c r="G10" s="67" t="n">
        <f>costs!G10</f>
        <v>2207621564.6745601</v>
      </c>
    </row>
    <row r="11">
      <c r="B11" t="str">
        <f>costs!B11</f>
        <v>2028</v>
      </c>
      <c r="C11" s="67" t="n">
        <f>costs!C11</f>
        <v>304601695.30695403</v>
      </c>
      <c r="D11" s="67" t="n">
        <f>costs!D11</f>
        <v>1311869492.22738</v>
      </c>
      <c r="E11" s="67" t="n">
        <f>costs!E11</f>
        <v>2741550516.8829899</v>
      </c>
      <c r="F11" s="67" t="n">
        <f>costs!F11</f>
        <v>570714666.36201894</v>
      </c>
      <c r="G11" s="67" t="n">
        <f>costs!G11</f>
        <v>2170835850.5209699</v>
      </c>
    </row>
    <row r="12">
      <c r="B12" t="str">
        <f>costs!B12</f>
        <v>2029</v>
      </c>
      <c r="C12" s="67" t="n">
        <f>costs!C12</f>
        <v>320467720.18299001</v>
      </c>
      <c r="D12" s="67" t="n">
        <f>costs!D12</f>
        <v>1317301517.13222</v>
      </c>
      <c r="E12" s="67" t="n">
        <f>costs!E12</f>
        <v>2736624118.9207602</v>
      </c>
      <c r="F12" s="67" t="n">
        <f>costs!F12</f>
        <v>592320829.83371699</v>
      </c>
      <c r="G12" s="67" t="n">
        <f>costs!G12</f>
        <v>2144303289.08705</v>
      </c>
    </row>
    <row r="13">
      <c r="B13" t="str">
        <f>costs!B13</f>
        <v>2030</v>
      </c>
      <c r="C13" s="67" t="n">
        <f>costs!C13</f>
        <v>664307416.78381705</v>
      </c>
      <c r="D13" s="67" t="n">
        <f>costs!D13</f>
        <v>1323011349.77828</v>
      </c>
      <c r="E13" s="67" t="n">
        <f>costs!E13</f>
        <v>2657642967.2435999</v>
      </c>
      <c r="F13" s="67" t="n">
        <f>costs!F13</f>
        <v>609887007.97370195</v>
      </c>
      <c r="G13" s="67" t="n">
        <f>costs!G13</f>
        <v>2047755959.2699001</v>
      </c>
    </row>
    <row r="14">
      <c r="B14" t="str">
        <f>costs!B14</f>
        <v>2031</v>
      </c>
      <c r="C14" s="67" t="n">
        <f>costs!C14</f>
        <v>309472296.63255799</v>
      </c>
      <c r="D14" s="67" t="n">
        <f>costs!D14</f>
        <v>1329872389.69642</v>
      </c>
      <c r="E14" s="67" t="n">
        <f>costs!E14</f>
        <v>2657612420.0090499</v>
      </c>
      <c r="F14" s="67" t="n">
        <f>costs!F14</f>
        <v>625542302.05524397</v>
      </c>
      <c r="G14" s="67" t="n">
        <f>costs!G14</f>
        <v>2032070117.9538</v>
      </c>
    </row>
    <row r="15">
      <c r="B15" t="str">
        <f>costs!B15</f>
        <v>2032</v>
      </c>
      <c r="C15" s="67" t="n">
        <f>costs!C15</f>
        <v>331699608.74213201</v>
      </c>
      <c r="D15" s="67" t="n">
        <f>costs!D15</f>
        <v>1336569597.6721101</v>
      </c>
      <c r="E15" s="67" t="n">
        <f>costs!E15</f>
        <v>2654786517.1764898</v>
      </c>
      <c r="F15" s="67" t="n">
        <f>costs!F15</f>
        <v>632393958.62856495</v>
      </c>
      <c r="G15" s="67" t="n">
        <f>costs!G15</f>
        <v>2022392558.54792</v>
      </c>
    </row>
    <row r="16">
      <c r="B16" t="str">
        <f>costs!B16</f>
        <v>2033</v>
      </c>
      <c r="C16" s="67" t="n">
        <f>costs!C16</f>
        <v>324772668.42434698</v>
      </c>
      <c r="D16" s="67" t="n">
        <f>costs!D16</f>
        <v>1345596405.4697599</v>
      </c>
      <c r="E16" s="67" t="n">
        <f>costs!E16</f>
        <v>2658070081.9700398</v>
      </c>
      <c r="F16" s="67" t="n">
        <f>costs!F16</f>
        <v>645664383.83320403</v>
      </c>
      <c r="G16" s="67" t="n">
        <f>costs!G16</f>
        <v>2012405698.1368401</v>
      </c>
    </row>
    <row r="17">
      <c r="B17" t="str">
        <f>costs!B17</f>
        <v>2034</v>
      </c>
      <c r="C17" s="67" t="n">
        <f>costs!C17</f>
        <v>860752399.71159399</v>
      </c>
      <c r="D17" s="67" t="n">
        <f>costs!D17</f>
        <v>1354872024.5235901</v>
      </c>
      <c r="E17" s="67" t="n">
        <f>costs!E17</f>
        <v>2662303351.30126</v>
      </c>
      <c r="F17" s="67" t="n">
        <f>costs!F17</f>
        <v>645860319.72817898</v>
      </c>
      <c r="G17" s="67" t="n">
        <f>costs!G17</f>
        <v>2016443031.5730801</v>
      </c>
    </row>
    <row r="18">
      <c r="B18" t="str">
        <f>costs!B18</f>
        <v>2035</v>
      </c>
      <c r="C18" s="67" t="n">
        <f>costs!C18</f>
        <v>344635586.04446501</v>
      </c>
      <c r="D18" s="67" t="n">
        <f>costs!D18</f>
        <v>1364607089.33389</v>
      </c>
      <c r="E18" s="67" t="n">
        <f>costs!E18</f>
        <v>2667726158.95576</v>
      </c>
      <c r="F18" s="67" t="n">
        <f>costs!F18</f>
        <v>646801461.32162702</v>
      </c>
      <c r="G18" s="67" t="n">
        <f>costs!G18</f>
        <v>2020924697.63413</v>
      </c>
    </row>
    <row r="20" ht="15.75" customHeight="1"/>
    <row r="21" ht="15.75" customHeight="1">
      <c r="B21" s="1" t="s">
        <v>80</v>
      </c>
      <c r="C21" s="1" t="s">
        <v>79</v>
      </c>
    </row>
    <row r="22" ht="24.6" customHeight="1">
      <c r="B22" s="19"/>
      <c r="C22" s="13" t="s">
        <v>31</v>
      </c>
      <c r="D22" s="13"/>
      <c r="E22" s="13"/>
      <c r="F22" s="13"/>
      <c r="G22" s="13"/>
    </row>
    <row r="23" ht="51.75" customHeight="1">
      <c r="B23" s="8" t="s">
        <v>63</v>
      </c>
      <c r="C23" s="66" t="s">
        <v>455</v>
      </c>
      <c r="D23" s="66" t="s">
        <v>78</v>
      </c>
      <c r="E23" s="66" t="s">
        <v>456</v>
      </c>
      <c r="F23" s="66" t="s">
        <v>77</v>
      </c>
      <c r="G23" s="66" t="s">
        <v>76</v>
      </c>
    </row>
    <row r="24">
      <c r="B24" s="4" t="n">
        <v>2023</v>
      </c>
      <c r="C24" s="7" t="n">
        <f t="shared" ref="C24:G36" si="0" xml:space="preserve"> C6 / 1000000</f>
        <v>483.39772081187499</v>
      </c>
      <c r="D24" s="7" t="n">
        <f t="shared" si="0"/>
        <v>66.405589852918496</v>
      </c>
      <c r="E24" s="7" t="n">
        <f t="shared" si="0"/>
        <v>119.88900970077201</v>
      </c>
      <c r="F24" s="7" t="n">
        <f t="shared" si="0"/>
        <v>24.8216001049305</v>
      </c>
      <c r="G24" s="7" t="n">
        <f t="shared" si="0"/>
        <v>95.067409595841596</v>
      </c>
    </row>
    <row r="25">
      <c r="B25" s="4" t="n">
        <v>2024</v>
      </c>
      <c r="C25" s="7" t="n">
        <f t="shared" si="0"/>
        <v>269.229332556923</v>
      </c>
      <c r="D25" s="7" t="n">
        <f t="shared" si="0"/>
        <v>103.49066951075201</v>
      </c>
      <c r="E25" s="7" t="n">
        <f t="shared" si="0"/>
        <v>186.58037444925401</v>
      </c>
      <c r="F25" s="7" t="n">
        <f t="shared" si="0"/>
        <v>34.751511773871805</v>
      </c>
      <c r="G25" s="7" t="n">
        <f t="shared" si="0"/>
        <v>151.828862675382</v>
      </c>
    </row>
    <row r="26">
      <c r="B26" s="4" t="n">
        <v>2025</v>
      </c>
      <c r="C26" s="7" t="n">
        <f t="shared" si="0"/>
        <v>290.46841023402396</v>
      </c>
      <c r="D26" s="7" t="n">
        <f t="shared" si="0"/>
        <v>143.64783127295399</v>
      </c>
      <c r="E26" s="7" t="n">
        <f t="shared" si="0"/>
        <v>258.66414766091702</v>
      </c>
      <c r="F26" s="7" t="n">
        <f t="shared" si="0"/>
        <v>45.047365798432402</v>
      </c>
      <c r="G26" s="7" t="n">
        <f t="shared" si="0"/>
        <v>213.616781862484</v>
      </c>
    </row>
    <row r="27">
      <c r="B27" s="4" t="n">
        <v>2026</v>
      </c>
      <c r="C27" s="7" t="n">
        <f t="shared" si="0"/>
        <v>11557.9652262165</v>
      </c>
      <c r="D27" s="7" t="n">
        <f t="shared" si="0"/>
        <v>1303.7066761268202</v>
      </c>
      <c r="E27" s="7" t="n">
        <f t="shared" si="0"/>
        <v>2763.5329887042099</v>
      </c>
      <c r="F27" s="7" t="n">
        <f t="shared" si="0"/>
        <v>522.29587984260297</v>
      </c>
      <c r="G27" s="7" t="n">
        <f t="shared" si="0"/>
        <v>2241.2371088616001</v>
      </c>
    </row>
    <row r="28">
      <c r="B28" s="4" t="n">
        <v>2027</v>
      </c>
      <c r="C28" s="7" t="n">
        <f t="shared" si="0"/>
        <v>306.08851640721099</v>
      </c>
      <c r="D28" s="7" t="n">
        <f t="shared" si="0"/>
        <v>1307.1162471984401</v>
      </c>
      <c r="E28" s="7" t="n">
        <f t="shared" si="0"/>
        <v>2747.38290362927</v>
      </c>
      <c r="F28" s="7" t="n">
        <f t="shared" si="0"/>
        <v>539.761338954709</v>
      </c>
      <c r="G28" s="7" t="n">
        <f t="shared" si="0"/>
        <v>2207.62156467456</v>
      </c>
    </row>
    <row r="29">
      <c r="B29" s="4" t="n">
        <v>2028</v>
      </c>
      <c r="C29" s="7" t="n">
        <f t="shared" si="0"/>
        <v>304.60169530695401</v>
      </c>
      <c r="D29" s="7" t="n">
        <f t="shared" si="0"/>
        <v>1311.8694922273801</v>
      </c>
      <c r="E29" s="7" t="n">
        <f t="shared" si="0"/>
        <v>2741.55051688299</v>
      </c>
      <c r="F29" s="7" t="n">
        <f t="shared" si="0"/>
        <v>570.71466636201899</v>
      </c>
      <c r="G29" s="7" t="n">
        <f t="shared" si="0"/>
        <v>2170.8358505209699</v>
      </c>
    </row>
    <row r="30">
      <c r="B30" s="4" t="n">
        <v>2029</v>
      </c>
      <c r="C30" s="7" t="n">
        <f t="shared" si="0"/>
        <v>320.46772018299004</v>
      </c>
      <c r="D30" s="7" t="n">
        <f t="shared" si="0"/>
        <v>1317.3015171322199</v>
      </c>
      <c r="E30" s="7" t="n">
        <f t="shared" si="0"/>
        <v>2736.6241189207603</v>
      </c>
      <c r="F30" s="7" t="n">
        <f t="shared" si="0"/>
        <v>592.32082983371697</v>
      </c>
      <c r="G30" s="7" t="n">
        <f t="shared" si="0"/>
        <v>2144.30328908705</v>
      </c>
    </row>
    <row r="31">
      <c r="B31" s="4" t="n">
        <v>2030</v>
      </c>
      <c r="C31" s="7" t="n">
        <f t="shared" si="0"/>
        <v>664.30741678381708</v>
      </c>
      <c r="D31" s="7" t="n">
        <f t="shared" si="0"/>
        <v>1323.01134977828</v>
      </c>
      <c r="E31" s="7" t="n">
        <f t="shared" si="0"/>
        <v>2657.6429672435997</v>
      </c>
      <c r="F31" s="7" t="n">
        <f t="shared" si="0"/>
        <v>609.887007973702</v>
      </c>
      <c r="G31" s="7" t="n">
        <f t="shared" si="0"/>
        <v>2047.7559592699001</v>
      </c>
    </row>
    <row r="32">
      <c r="B32" s="4" t="n">
        <v>2031</v>
      </c>
      <c r="C32" s="7" t="n">
        <f t="shared" si="0"/>
        <v>309.47229663255797</v>
      </c>
      <c r="D32" s="7" t="n">
        <f t="shared" si="0"/>
        <v>1329.87238969642</v>
      </c>
      <c r="E32" s="7" t="n">
        <f t="shared" si="0"/>
        <v>2657.6124200090499</v>
      </c>
      <c r="F32" s="7" t="n">
        <f t="shared" si="0"/>
        <v>625.54230205524402</v>
      </c>
      <c r="G32" s="7" t="n">
        <f t="shared" si="0"/>
        <v>2032.0701179538</v>
      </c>
    </row>
    <row r="33">
      <c r="B33" s="4" t="n">
        <v>2032</v>
      </c>
      <c r="C33" s="7" t="n">
        <f t="shared" si="0"/>
        <v>331.699608742132</v>
      </c>
      <c r="D33" s="7" t="n">
        <f t="shared" si="0"/>
        <v>1336.5695976721101</v>
      </c>
      <c r="E33" s="7" t="n">
        <f t="shared" si="0"/>
        <v>2654.7865171764897</v>
      </c>
      <c r="F33" s="7" t="n">
        <f t="shared" si="0"/>
        <v>632.39395862856497</v>
      </c>
      <c r="G33" s="7" t="n">
        <f t="shared" si="0"/>
        <v>2022.3925585479201</v>
      </c>
    </row>
    <row r="34">
      <c r="B34" s="4" t="n">
        <v>2033</v>
      </c>
      <c r="C34" s="7" t="n">
        <f t="shared" si="0"/>
        <v>324.77266842434699</v>
      </c>
      <c r="D34" s="7" t="n">
        <f t="shared" si="0"/>
        <v>1345.5964054697599</v>
      </c>
      <c r="E34" s="7" t="n">
        <f t="shared" si="0"/>
        <v>2658.0700819700401</v>
      </c>
      <c r="F34" s="7" t="n">
        <f t="shared" si="0"/>
        <v>645.66438383320406</v>
      </c>
      <c r="G34" s="7" t="n">
        <f t="shared" si="0"/>
        <v>2012.4056981368401</v>
      </c>
    </row>
    <row r="35">
      <c r="B35" s="4" t="n">
        <v>2034</v>
      </c>
      <c r="C35" s="7" t="n">
        <f t="shared" si="0"/>
        <v>860.75239971159397</v>
      </c>
      <c r="D35" s="7" t="n">
        <f t="shared" si="0"/>
        <v>1354.8720245235902</v>
      </c>
      <c r="E35" s="7" t="n">
        <f t="shared" si="0"/>
        <v>2662.3033513012601</v>
      </c>
      <c r="F35" s="7" t="n">
        <f t="shared" si="0"/>
        <v>645.86031972817898</v>
      </c>
      <c r="G35" s="7" t="n">
        <f t="shared" si="0"/>
        <v>2016.4430315730801</v>
      </c>
    </row>
    <row r="36" ht="15.75" customHeight="1">
      <c r="B36" s="5" t="n">
        <v>2035</v>
      </c>
      <c r="C36" s="68" t="n">
        <f t="shared" si="0"/>
        <v>344.63558604446501</v>
      </c>
      <c r="D36" s="68" t="n">
        <f t="shared" si="0"/>
        <v>1364.6070893338899</v>
      </c>
      <c r="E36" s="68" t="n">
        <f t="shared" si="0"/>
        <v>2667.7261589557602</v>
      </c>
      <c r="F36" s="68" t="n">
        <f t="shared" si="0"/>
        <v>646.80146132162702</v>
      </c>
      <c r="G36" s="68" t="n">
        <f t="shared" si="0"/>
        <v>2020.9246976341301</v>
      </c>
    </row>
    <row r="37" ht="15.75" customHeight="1">
      <c r="B37" s="4"/>
    </row>
    <row r="38" ht="15.6" customHeight="1">
      <c r="B38" s="1" t="s">
        <v>80</v>
      </c>
      <c r="C38" s="1" t="s">
        <v>79</v>
      </c>
    </row>
    <row r="39" ht="15.6" customHeight="1">
      <c r="B39" s="19"/>
      <c r="C39" s="13" t="s">
        <v>31</v>
      </c>
      <c r="D39" s="13"/>
      <c r="E39" s="13"/>
      <c r="F39" s="13"/>
      <c r="G39" s="13"/>
    </row>
    <row r="40" ht="51.75" customHeight="1">
      <c r="B40" s="8" t="s">
        <v>63</v>
      </c>
      <c r="C40" s="66" t="s">
        <v>455</v>
      </c>
      <c r="D40" s="66" t="s">
        <v>78</v>
      </c>
      <c r="E40" s="66" t="s">
        <v>456</v>
      </c>
      <c r="F40" s="66" t="s">
        <v>77</v>
      </c>
      <c r="G40" s="66" t="s">
        <v>76</v>
      </c>
    </row>
    <row r="41">
      <c r="B41" s="4" t="n">
        <v>2023</v>
      </c>
      <c r="C41" s="23" t="n">
        <f t="shared" ref="C41:G53" si="1">ROUND(C24,2-(1+INT(LOG10(ABS(C24)))))</f>
        <v>480</v>
      </c>
      <c r="D41" s="26" t="n">
        <f t="shared" si="1"/>
        <v>66</v>
      </c>
      <c r="E41" s="23" t="n">
        <f t="shared" si="1"/>
        <v>120</v>
      </c>
      <c r="F41" s="23" t="n">
        <f t="shared" si="1"/>
        <v>25</v>
      </c>
      <c r="G41" s="23" t="n">
        <f t="shared" si="1"/>
        <v>95</v>
      </c>
    </row>
    <row r="42">
      <c r="B42" s="4" t="n">
        <v>2024</v>
      </c>
      <c r="C42" s="23" t="n">
        <f t="shared" si="1"/>
        <v>270</v>
      </c>
      <c r="D42" s="26" t="n">
        <f t="shared" si="1"/>
        <v>100</v>
      </c>
      <c r="E42" s="23" t="n">
        <f t="shared" si="1"/>
        <v>190</v>
      </c>
      <c r="F42" s="23" t="n">
        <f t="shared" si="1"/>
        <v>35</v>
      </c>
      <c r="G42" s="23" t="n">
        <f t="shared" si="1"/>
        <v>150</v>
      </c>
    </row>
    <row r="43">
      <c r="B43" s="4" t="n">
        <v>2025</v>
      </c>
      <c r="C43" s="23" t="n">
        <f t="shared" si="1"/>
        <v>290</v>
      </c>
      <c r="D43" s="26" t="n">
        <f t="shared" si="1"/>
        <v>140</v>
      </c>
      <c r="E43" s="23" t="n">
        <f t="shared" si="1"/>
        <v>260</v>
      </c>
      <c r="F43" s="23" t="n">
        <f t="shared" si="1"/>
        <v>45</v>
      </c>
      <c r="G43" s="23" t="n">
        <f t="shared" si="1"/>
        <v>210</v>
      </c>
    </row>
    <row r="44">
      <c r="B44" s="4" t="n">
        <v>2026</v>
      </c>
      <c r="C44" s="23" t="n">
        <f t="shared" si="1"/>
        <v>12000</v>
      </c>
      <c r="D44" s="23" t="n">
        <f t="shared" si="1"/>
        <v>1300</v>
      </c>
      <c r="E44" s="23" t="n">
        <f t="shared" si="1"/>
        <v>2800</v>
      </c>
      <c r="F44" s="23" t="n">
        <f t="shared" si="1"/>
        <v>520</v>
      </c>
      <c r="G44" s="23" t="n">
        <f t="shared" si="1"/>
        <v>2200</v>
      </c>
    </row>
    <row r="45">
      <c r="B45" s="4" t="n">
        <v>2027</v>
      </c>
      <c r="C45" s="23" t="n">
        <f t="shared" si="1"/>
        <v>310</v>
      </c>
      <c r="D45" s="23" t="n">
        <f t="shared" si="1"/>
        <v>1300</v>
      </c>
      <c r="E45" s="23" t="n">
        <f t="shared" si="1"/>
        <v>2700</v>
      </c>
      <c r="F45" s="23" t="n">
        <f t="shared" si="1"/>
        <v>540</v>
      </c>
      <c r="G45" s="23" t="n">
        <f t="shared" si="1"/>
        <v>2200</v>
      </c>
    </row>
    <row r="46">
      <c r="B46" s="4" t="n">
        <v>2028</v>
      </c>
      <c r="C46" s="23" t="n">
        <f t="shared" si="1"/>
        <v>300</v>
      </c>
      <c r="D46" s="23" t="n">
        <f t="shared" si="1"/>
        <v>1300</v>
      </c>
      <c r="E46" s="23" t="n">
        <f t="shared" si="1"/>
        <v>2700</v>
      </c>
      <c r="F46" s="23" t="n">
        <f t="shared" si="1"/>
        <v>570</v>
      </c>
      <c r="G46" s="23" t="n">
        <f t="shared" si="1"/>
        <v>2200</v>
      </c>
    </row>
    <row r="47">
      <c r="B47" s="4" t="n">
        <v>2029</v>
      </c>
      <c r="C47" s="23" t="n">
        <f t="shared" si="1"/>
        <v>320</v>
      </c>
      <c r="D47" s="23" t="n">
        <f t="shared" si="1"/>
        <v>1300</v>
      </c>
      <c r="E47" s="23" t="n">
        <f t="shared" si="1"/>
        <v>2700</v>
      </c>
      <c r="F47" s="23" t="n">
        <f t="shared" si="1"/>
        <v>590</v>
      </c>
      <c r="G47" s="23" t="n">
        <f t="shared" si="1"/>
        <v>2100</v>
      </c>
    </row>
    <row r="48">
      <c r="B48" s="4" t="n">
        <v>2030</v>
      </c>
      <c r="C48" s="23" t="n">
        <f t="shared" si="1"/>
        <v>660</v>
      </c>
      <c r="D48" s="23" t="n">
        <f t="shared" si="1"/>
        <v>1300</v>
      </c>
      <c r="E48" s="23" t="n">
        <f t="shared" si="1"/>
        <v>2700</v>
      </c>
      <c r="F48" s="23" t="n">
        <f t="shared" si="1"/>
        <v>610</v>
      </c>
      <c r="G48" s="23" t="n">
        <f t="shared" si="1"/>
        <v>2000</v>
      </c>
    </row>
    <row r="49">
      <c r="B49" s="4" t="n">
        <v>2031</v>
      </c>
      <c r="C49" s="23" t="n">
        <f t="shared" si="1"/>
        <v>310</v>
      </c>
      <c r="D49" s="23" t="n">
        <f t="shared" si="1"/>
        <v>1300</v>
      </c>
      <c r="E49" s="23" t="n">
        <f t="shared" si="1"/>
        <v>2700</v>
      </c>
      <c r="F49" s="23" t="n">
        <f t="shared" si="1"/>
        <v>630</v>
      </c>
      <c r="G49" s="23" t="n">
        <f t="shared" si="1"/>
        <v>2000</v>
      </c>
    </row>
    <row r="50">
      <c r="B50" s="4" t="n">
        <v>2032</v>
      </c>
      <c r="C50" s="23" t="n">
        <f t="shared" si="1"/>
        <v>330</v>
      </c>
      <c r="D50" s="23" t="n">
        <f t="shared" si="1"/>
        <v>1300</v>
      </c>
      <c r="E50" s="23" t="n">
        <f t="shared" si="1"/>
        <v>2700</v>
      </c>
      <c r="F50" s="23" t="n">
        <f t="shared" si="1"/>
        <v>630</v>
      </c>
      <c r="G50" s="23" t="n">
        <f t="shared" si="1"/>
        <v>2000</v>
      </c>
    </row>
    <row r="51">
      <c r="B51" s="4" t="n">
        <v>2033</v>
      </c>
      <c r="C51" s="23" t="n">
        <f t="shared" si="1"/>
        <v>320</v>
      </c>
      <c r="D51" s="23" t="n">
        <f t="shared" si="1"/>
        <v>1300</v>
      </c>
      <c r="E51" s="23" t="n">
        <f t="shared" si="1"/>
        <v>2700</v>
      </c>
      <c r="F51" s="23" t="n">
        <f t="shared" si="1"/>
        <v>650</v>
      </c>
      <c r="G51" s="23" t="n">
        <f t="shared" si="1"/>
        <v>2000</v>
      </c>
    </row>
    <row r="52">
      <c r="B52" s="4" t="n">
        <v>2034</v>
      </c>
      <c r="C52" s="23" t="n">
        <f t="shared" si="1"/>
        <v>860</v>
      </c>
      <c r="D52" s="23" t="n">
        <f t="shared" si="1"/>
        <v>1400</v>
      </c>
      <c r="E52" s="23" t="n">
        <f t="shared" si="1"/>
        <v>2700</v>
      </c>
      <c r="F52" s="23" t="n">
        <f t="shared" si="1"/>
        <v>650</v>
      </c>
      <c r="G52" s="23" t="n">
        <f t="shared" si="1"/>
        <v>2000</v>
      </c>
    </row>
    <row r="53" ht="15" customHeight="1">
      <c r="B53" s="5" t="n">
        <v>2035</v>
      </c>
      <c r="C53" s="65" t="n">
        <f t="shared" si="1"/>
        <v>340</v>
      </c>
      <c r="D53" s="65" t="n">
        <f t="shared" si="1"/>
        <v>1400</v>
      </c>
      <c r="E53" s="65" t="n">
        <f t="shared" si="1"/>
        <v>2700</v>
      </c>
      <c r="F53" s="65" t="n">
        <f t="shared" si="1"/>
        <v>650</v>
      </c>
      <c r="G53" s="65" t="n">
        <f t="shared" si="1"/>
        <v>2000</v>
      </c>
    </row>
    <row r="54" ht="15" customHeight="1"/>
  </sheetData>
  <mergeCells count="2">
    <mergeCell ref="C22:G22"/>
    <mergeCell ref="C39:G39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3" max="3" width="24" hidden="0" customWidth="1"/>
    <col min="4" max="4" width="23.5703125" hidden="0" customWidth="1"/>
    <col min="5" max="5" width="22.7109375" hidden="0" customWidth="1"/>
    <col min="6" max="6" width="25.7109375" hidden="0" customWidth="1"/>
    <col min="7" max="7" width="25.7109375" hidden="0" customWidth="1"/>
  </cols>
  <sheetData>
    <row r="2">
      <c r="B2" t="str">
        <f>cost_undisc_7!B2</f>
        <v>year</v>
      </c>
      <c r="C2" t="str">
        <f>cost_undisc_7!C2</f>
        <v>capital_cost</v>
      </c>
      <c r="D2" t="str">
        <f>cost_undisc_7!D2</f>
        <v>annual_cost</v>
      </c>
      <c r="E2" t="str">
        <f>cost_undisc_7!E2</f>
        <v>ann_7</v>
      </c>
      <c r="F2" t="str">
        <f>cost_undisc_7!F2</f>
        <v>gas_revenue</v>
      </c>
      <c r="G2" t="str">
        <f>cost_undisc_7!G2</f>
        <v>ann_7_wgas</v>
      </c>
    </row>
    <row r="3">
      <c r="B3" t="str">
        <f>cost_undisc_7!B3</f>
        <v>2021</v>
      </c>
      <c r="C3" t="n">
        <f>cost_undisc_7!C3</f>
        <v>0</v>
      </c>
      <c r="D3" t="n">
        <f>cost_undisc_7!D3</f>
        <v>0</v>
      </c>
      <c r="E3" t="n">
        <f>cost_undisc_7!E3</f>
        <v>0</v>
      </c>
      <c r="F3" t="n">
        <f>cost_undisc_7!F3</f>
        <v>0</v>
      </c>
      <c r="G3" t="n">
        <f>cost_undisc_7!G3</f>
        <v>0</v>
      </c>
    </row>
    <row r="4">
      <c r="B4" t="str">
        <f>cost_undisc_7!B4</f>
        <v>2022</v>
      </c>
      <c r="C4" t="n">
        <f>cost_undisc_7!C4</f>
        <v>0</v>
      </c>
      <c r="D4" t="n">
        <f>cost_undisc_7!D4</f>
        <v>0</v>
      </c>
      <c r="E4" t="n">
        <f>cost_undisc_7!E4</f>
        <v>0</v>
      </c>
      <c r="F4" t="n">
        <f>cost_undisc_7!F4</f>
        <v>0</v>
      </c>
      <c r="G4" t="n">
        <f>cost_undisc_7!G4</f>
        <v>0</v>
      </c>
    </row>
    <row r="5">
      <c r="B5" t="str">
        <f>cost_undisc_7!B5</f>
        <v>2023</v>
      </c>
      <c r="C5" t="n">
        <f>cost_undisc_7!C5</f>
        <v>483397720.81187499</v>
      </c>
      <c r="D5" t="n">
        <f>cost_undisc_7!D5</f>
        <v>66405589.852918498</v>
      </c>
      <c r="E5" t="n">
        <f>cost_undisc_7!E5</f>
        <v>119889009.700772</v>
      </c>
      <c r="F5" t="n">
        <f>cost_undisc_7!F5</f>
        <v>24821600.104930501</v>
      </c>
      <c r="G5" t="n">
        <f>cost_undisc_7!G5</f>
        <v>95067409.595841601</v>
      </c>
    </row>
    <row r="6">
      <c r="B6" t="str">
        <f>cost_undisc_7!B6</f>
        <v>2024</v>
      </c>
      <c r="C6" t="n">
        <f>cost_undisc_7!C6</f>
        <v>269229332.55692297</v>
      </c>
      <c r="D6" t="n">
        <f>cost_undisc_7!D6</f>
        <v>103490669.51075201</v>
      </c>
      <c r="E6" t="n">
        <f>cost_undisc_7!E6</f>
        <v>186580374.44925401</v>
      </c>
      <c r="F6" t="n">
        <f>cost_undisc_7!F6</f>
        <v>34751511.773871802</v>
      </c>
      <c r="G6" t="n">
        <f>cost_undisc_7!G6</f>
        <v>151828862.67538199</v>
      </c>
    </row>
    <row r="7">
      <c r="B7" t="str">
        <f>cost_undisc_7!B7</f>
        <v>2025</v>
      </c>
      <c r="C7" t="n">
        <f>cost_undisc_7!C7</f>
        <v>290468410.23402399</v>
      </c>
      <c r="D7" t="n">
        <f>cost_undisc_7!D7</f>
        <v>143647831.27295399</v>
      </c>
      <c r="E7" t="n">
        <f>cost_undisc_7!E7</f>
        <v>258664147.66091701</v>
      </c>
      <c r="F7" t="n">
        <f>cost_undisc_7!F7</f>
        <v>45047365.798432402</v>
      </c>
      <c r="G7" t="n">
        <f>cost_undisc_7!G7</f>
        <v>213616781.86248401</v>
      </c>
    </row>
    <row r="8">
      <c r="B8" t="str">
        <f>cost_undisc_7!B8</f>
        <v>2026</v>
      </c>
      <c r="C8" t="n">
        <f>cost_undisc_7!C8</f>
        <v>11557965226.216499</v>
      </c>
      <c r="D8" t="n">
        <f>cost_undisc_7!D8</f>
        <v>1303706676.1268201</v>
      </c>
      <c r="E8" t="n">
        <f>cost_undisc_7!E8</f>
        <v>2763532988.7042098</v>
      </c>
      <c r="F8" t="n">
        <f>cost_undisc_7!F8</f>
        <v>522295879.84260303</v>
      </c>
      <c r="G8" t="n">
        <f>cost_undisc_7!G8</f>
        <v>2241237108.8615999</v>
      </c>
    </row>
    <row r="9">
      <c r="B9" t="str">
        <f>cost_undisc_7!B9</f>
        <v>2027</v>
      </c>
      <c r="C9" t="n">
        <f>cost_undisc_7!C9</f>
        <v>306088516.40721101</v>
      </c>
      <c r="D9" t="n">
        <f>cost_undisc_7!D9</f>
        <v>1307116247.1984401</v>
      </c>
      <c r="E9" t="n">
        <f>cost_undisc_7!E9</f>
        <v>2747382903.6292701</v>
      </c>
      <c r="F9" t="n">
        <f>cost_undisc_7!F9</f>
        <v>539761338.95470905</v>
      </c>
      <c r="G9" t="n">
        <f>cost_undisc_7!G9</f>
        <v>2207621564.6745601</v>
      </c>
    </row>
    <row r="10">
      <c r="B10" t="str">
        <f>cost_undisc_7!B10</f>
        <v>2028</v>
      </c>
      <c r="C10" t="n">
        <f>cost_undisc_7!C10</f>
        <v>304601695.30695403</v>
      </c>
      <c r="D10" t="n">
        <f>cost_undisc_7!D10</f>
        <v>1311869492.22738</v>
      </c>
      <c r="E10" t="n">
        <f>cost_undisc_7!E10</f>
        <v>2741550516.8829899</v>
      </c>
      <c r="F10" t="n">
        <f>cost_undisc_7!F10</f>
        <v>570714666.36201894</v>
      </c>
      <c r="G10" t="n">
        <f>cost_undisc_7!G10</f>
        <v>2170835850.5209699</v>
      </c>
    </row>
    <row r="11">
      <c r="B11" t="str">
        <f>cost_undisc_7!B11</f>
        <v>2029</v>
      </c>
      <c r="C11" t="n">
        <f>cost_undisc_7!C11</f>
        <v>320467720.18299001</v>
      </c>
      <c r="D11" t="n">
        <f>cost_undisc_7!D11</f>
        <v>1317301517.13222</v>
      </c>
      <c r="E11" t="n">
        <f>cost_undisc_7!E11</f>
        <v>2736624118.9207602</v>
      </c>
      <c r="F11" t="n">
        <f>cost_undisc_7!F11</f>
        <v>592320829.83371699</v>
      </c>
      <c r="G11" t="n">
        <f>cost_undisc_7!G11</f>
        <v>2144303289.08705</v>
      </c>
    </row>
    <row r="12">
      <c r="B12" t="str">
        <f>cost_undisc_7!B12</f>
        <v>2030</v>
      </c>
      <c r="C12" t="n">
        <f>cost_undisc_7!C12</f>
        <v>664307416.78381705</v>
      </c>
      <c r="D12" t="n">
        <f>cost_undisc_7!D12</f>
        <v>1323011349.77828</v>
      </c>
      <c r="E12" t="n">
        <f>cost_undisc_7!E12</f>
        <v>2657642967.2435999</v>
      </c>
      <c r="F12" t="n">
        <f>cost_undisc_7!F12</f>
        <v>609887007.97370195</v>
      </c>
      <c r="G12" t="n">
        <f>cost_undisc_7!G12</f>
        <v>2047755959.2699001</v>
      </c>
    </row>
    <row r="13">
      <c r="B13" t="str">
        <f>cost_undisc_7!B13</f>
        <v>2031</v>
      </c>
      <c r="C13" t="n">
        <f>cost_undisc_7!C13</f>
        <v>309472296.63255799</v>
      </c>
      <c r="D13" t="n">
        <f>cost_undisc_7!D13</f>
        <v>1329872389.69642</v>
      </c>
      <c r="E13" t="n">
        <f>cost_undisc_7!E13</f>
        <v>2657612420.0090499</v>
      </c>
      <c r="F13" t="n">
        <f>cost_undisc_7!F13</f>
        <v>625542302.05524397</v>
      </c>
      <c r="G13" t="n">
        <f>cost_undisc_7!G13</f>
        <v>2032070117.9538</v>
      </c>
    </row>
    <row r="14">
      <c r="B14" t="str">
        <f>cost_undisc_7!B14</f>
        <v>2032</v>
      </c>
      <c r="C14" t="n">
        <f>cost_undisc_7!C14</f>
        <v>331699608.74213201</v>
      </c>
      <c r="D14" t="n">
        <f>cost_undisc_7!D14</f>
        <v>1336569597.6721101</v>
      </c>
      <c r="E14" t="n">
        <f>cost_undisc_7!E14</f>
        <v>2654786517.1764898</v>
      </c>
      <c r="F14" t="n">
        <f>cost_undisc_7!F14</f>
        <v>632393958.62856495</v>
      </c>
      <c r="G14" t="n">
        <f>cost_undisc_7!G14</f>
        <v>2022392558.54792</v>
      </c>
    </row>
    <row r="15">
      <c r="B15" t="str">
        <f>cost_undisc_7!B15</f>
        <v>2033</v>
      </c>
      <c r="C15" t="n">
        <f>cost_undisc_7!C15</f>
        <v>324772668.42434698</v>
      </c>
      <c r="D15" t="n">
        <f>cost_undisc_7!D15</f>
        <v>1345596405.4697599</v>
      </c>
      <c r="E15" t="n">
        <f>cost_undisc_7!E15</f>
        <v>2658070081.9700398</v>
      </c>
      <c r="F15" t="n">
        <f>cost_undisc_7!F15</f>
        <v>645664383.83320403</v>
      </c>
      <c r="G15" t="n">
        <f>cost_undisc_7!G15</f>
        <v>2012405698.1368401</v>
      </c>
    </row>
    <row r="16">
      <c r="B16" t="str">
        <f>cost_undisc_7!B16</f>
        <v>2034</v>
      </c>
      <c r="C16" t="n">
        <f>cost_undisc_7!C16</f>
        <v>860752399.71159399</v>
      </c>
      <c r="D16" t="n">
        <f>cost_undisc_7!D16</f>
        <v>1354872024.5235901</v>
      </c>
      <c r="E16" t="n">
        <f>cost_undisc_7!E16</f>
        <v>2662303351.30126</v>
      </c>
      <c r="F16" t="n">
        <f>cost_undisc_7!F16</f>
        <v>645860319.72817898</v>
      </c>
      <c r="G16" t="n">
        <f>cost_undisc_7!G16</f>
        <v>2016443031.5730801</v>
      </c>
    </row>
    <row r="17">
      <c r="B17" t="str">
        <f>cost_undisc_7!B17</f>
        <v>2035</v>
      </c>
      <c r="C17" t="n">
        <f>cost_undisc_7!C17</f>
        <v>344635586.04446501</v>
      </c>
      <c r="D17" t="n">
        <f>cost_undisc_7!D17</f>
        <v>1364607089.33389</v>
      </c>
      <c r="E17" t="n">
        <f>cost_undisc_7!E17</f>
        <v>2667726158.95576</v>
      </c>
      <c r="F17" t="n">
        <f>cost_undisc_7!F17</f>
        <v>646801461.32162702</v>
      </c>
      <c r="G17" t="n">
        <f>cost_undisc_7!G17</f>
        <v>2020924697.63413</v>
      </c>
    </row>
    <row r="18">
      <c r="B18" t="str">
        <f>cost_undisc_7!B18</f>
        <v>PV</v>
      </c>
      <c r="C18" t="n">
        <f>cost_undisc_7!C18</f>
        <v>10995709064.756201</v>
      </c>
      <c r="D18" t="n">
        <f>cost_undisc_7!D18</f>
        <v>7355795688.7099199</v>
      </c>
      <c r="E18" t="n">
        <f>cost_undisc_7!E18</f>
        <v>14932865970.6859</v>
      </c>
      <c r="F18" t="n">
        <f>cost_undisc_7!F18</f>
        <v>3272328654.36057</v>
      </c>
      <c r="G18" t="n">
        <f>cost_undisc_7!G18</f>
        <v>11660537316.3253</v>
      </c>
    </row>
    <row r="19">
      <c r="B19" t="str">
        <f>cost_undisc_7!B19</f>
        <v>EAV</v>
      </c>
      <c r="C19" t="n">
        <f>cost_undisc_7!C19</f>
        <v>1315645915.4576199</v>
      </c>
      <c r="D19" t="n">
        <f>cost_undisc_7!D19</f>
        <v>880127192.87116694</v>
      </c>
      <c r="E19" t="n">
        <f>cost_undisc_7!E19</f>
        <v>1786730078.4976201</v>
      </c>
      <c r="F19" t="n">
        <f>cost_undisc_7!F19</f>
        <v>391536898.87481999</v>
      </c>
      <c r="G19" t="n">
        <f>cost_undisc_7!G19</f>
        <v>1395193179.6228001</v>
      </c>
    </row>
    <row r="21" ht="27" customHeight="1">
      <c r="B21" s="1" t="s">
        <v>87</v>
      </c>
      <c r="C21" s="1" t="s">
        <v>86</v>
      </c>
    </row>
    <row r="22" ht="25.15" customHeight="1">
      <c r="B22" s="13" t="s">
        <v>63</v>
      </c>
      <c r="C22" s="13" t="s">
        <v>85</v>
      </c>
      <c r="D22" s="13" t="s">
        <v>84</v>
      </c>
      <c r="E22" s="13" t="s">
        <v>83</v>
      </c>
      <c r="F22" s="13" t="s">
        <v>82</v>
      </c>
      <c r="G22" s="13" t="s">
        <v>81</v>
      </c>
    </row>
    <row r="23" ht="16.149999999999999" customHeight="1">
      <c r="B23" s="4" t="n">
        <v>2023</v>
      </c>
      <c r="C23" s="7" t="n">
        <f t="shared" ref="C23:D35" si="0" xml:space="preserve"> C5 / 1000000</f>
        <v>483.39772081187499</v>
      </c>
      <c r="D23" s="7" t="n">
        <f t="shared" si="0"/>
        <v>66.405589852918496</v>
      </c>
      <c r="E23" s="7" t="n">
        <f t="shared" ref="E23:E35" si="1" xml:space="preserve"> C23 + D23</f>
        <v>549.80331066479346</v>
      </c>
      <c r="F23" s="7" t="n">
        <f t="shared" ref="F23:F35" si="2" xml:space="preserve"> F5 / 1000000</f>
        <v>24.8216001049305</v>
      </c>
      <c r="G23" s="7" t="n">
        <f t="shared" ref="G23:G35" si="3">E23 - F23</f>
        <v>524.9817105598629</v>
      </c>
    </row>
    <row r="24">
      <c r="B24" s="4" t="n">
        <v>2024</v>
      </c>
      <c r="C24" s="7" t="n">
        <f t="shared" si="0"/>
        <v>269.229332556923</v>
      </c>
      <c r="D24" s="7" t="n">
        <f t="shared" si="0"/>
        <v>103.49066951075201</v>
      </c>
      <c r="E24" s="7" t="n">
        <f t="shared" si="1"/>
        <v>372.72000206767501</v>
      </c>
      <c r="F24" s="7" t="n">
        <f t="shared" si="2"/>
        <v>34.751511773871805</v>
      </c>
      <c r="G24" s="7" t="n">
        <f t="shared" si="3"/>
        <v>337.9684902938032</v>
      </c>
    </row>
    <row r="25">
      <c r="B25" s="4" t="n">
        <v>2025</v>
      </c>
      <c r="C25" s="7" t="n">
        <f t="shared" si="0"/>
        <v>290.46841023402396</v>
      </c>
      <c r="D25" s="7" t="n">
        <f t="shared" si="0"/>
        <v>143.64783127295399</v>
      </c>
      <c r="E25" s="7" t="n">
        <f t="shared" si="1"/>
        <v>434.11624150697799</v>
      </c>
      <c r="F25" s="7" t="n">
        <f t="shared" si="2"/>
        <v>45.047365798432402</v>
      </c>
      <c r="G25" s="7" t="n">
        <f t="shared" si="3"/>
        <v>389.06887570854559</v>
      </c>
    </row>
    <row r="26">
      <c r="B26" s="4" t="n">
        <v>2026</v>
      </c>
      <c r="C26" s="7" t="n">
        <f t="shared" si="0"/>
        <v>11557.9652262165</v>
      </c>
      <c r="D26" s="7" t="n">
        <f t="shared" si="0"/>
        <v>1303.7066761268202</v>
      </c>
      <c r="E26" s="7" t="n">
        <f t="shared" si="1"/>
        <v>12861.67190234332</v>
      </c>
      <c r="F26" s="7" t="n">
        <f t="shared" si="2"/>
        <v>522.29587984260297</v>
      </c>
      <c r="G26" s="7" t="n">
        <f t="shared" si="3"/>
        <v>12339.376022500717</v>
      </c>
    </row>
    <row r="27">
      <c r="B27" s="4" t="n">
        <v>2027</v>
      </c>
      <c r="C27" s="7" t="n">
        <f t="shared" si="0"/>
        <v>306.08851640721099</v>
      </c>
      <c r="D27" s="7" t="n">
        <f t="shared" si="0"/>
        <v>1307.1162471984401</v>
      </c>
      <c r="E27" s="7" t="n">
        <f t="shared" si="1"/>
        <v>1613.2047636056511</v>
      </c>
      <c r="F27" s="7" t="n">
        <f t="shared" si="2"/>
        <v>539.761338954709</v>
      </c>
      <c r="G27" s="7" t="n">
        <f t="shared" si="3"/>
        <v>1073.4434246509422</v>
      </c>
    </row>
    <row r="28">
      <c r="B28" s="4" t="n">
        <v>2028</v>
      </c>
      <c r="C28" s="7" t="n">
        <f t="shared" si="0"/>
        <v>304.60169530695401</v>
      </c>
      <c r="D28" s="7" t="n">
        <f t="shared" si="0"/>
        <v>1311.8694922273801</v>
      </c>
      <c r="E28" s="7" t="n">
        <f t="shared" si="1"/>
        <v>1616.4711875343341</v>
      </c>
      <c r="F28" s="7" t="n">
        <f t="shared" si="2"/>
        <v>570.71466636201899</v>
      </c>
      <c r="G28" s="7" t="n">
        <f t="shared" si="3"/>
        <v>1045.7565211723152</v>
      </c>
    </row>
    <row r="29">
      <c r="B29" s="4" t="n">
        <v>2029</v>
      </c>
      <c r="C29" s="7" t="n">
        <f t="shared" si="0"/>
        <v>320.46772018299004</v>
      </c>
      <c r="D29" s="7" t="n">
        <f t="shared" si="0"/>
        <v>1317.3015171322199</v>
      </c>
      <c r="E29" s="7" t="n">
        <f t="shared" si="1"/>
        <v>1637.7692373152099</v>
      </c>
      <c r="F29" s="7" t="n">
        <f t="shared" si="2"/>
        <v>592.32082983371697</v>
      </c>
      <c r="G29" s="7" t="n">
        <f t="shared" si="3"/>
        <v>1045.4484074814929</v>
      </c>
    </row>
    <row r="30">
      <c r="B30" s="4" t="n">
        <v>2030</v>
      </c>
      <c r="C30" s="7" t="n">
        <f t="shared" si="0"/>
        <v>664.30741678381708</v>
      </c>
      <c r="D30" s="7" t="n">
        <f t="shared" si="0"/>
        <v>1323.01134977828</v>
      </c>
      <c r="E30" s="7" t="n">
        <f t="shared" si="1"/>
        <v>1987.3187665620972</v>
      </c>
      <c r="F30" s="7" t="n">
        <f t="shared" si="2"/>
        <v>609.887007973702</v>
      </c>
      <c r="G30" s="7" t="n">
        <f t="shared" si="3"/>
        <v>1377.431758588395</v>
      </c>
    </row>
    <row r="31">
      <c r="B31" s="4" t="n">
        <v>2031</v>
      </c>
      <c r="C31" s="7" t="n">
        <f t="shared" si="0"/>
        <v>309.47229663255797</v>
      </c>
      <c r="D31" s="7" t="n">
        <f t="shared" si="0"/>
        <v>1329.87238969642</v>
      </c>
      <c r="E31" s="7" t="n">
        <f t="shared" si="1"/>
        <v>1639.344686328978</v>
      </c>
      <c r="F31" s="7" t="n">
        <f t="shared" si="2"/>
        <v>625.54230205524402</v>
      </c>
      <c r="G31" s="7" t="n">
        <f t="shared" si="3"/>
        <v>1013.802384273734</v>
      </c>
    </row>
    <row r="32" ht="15.75" customHeight="1">
      <c r="B32" s="4" t="n">
        <v>2032</v>
      </c>
      <c r="C32" s="7" t="n">
        <f t="shared" si="0"/>
        <v>331.699608742132</v>
      </c>
      <c r="D32" s="7" t="n">
        <f t="shared" si="0"/>
        <v>1336.5695976721101</v>
      </c>
      <c r="E32" s="7" t="n">
        <f t="shared" si="1"/>
        <v>1668.269206414242</v>
      </c>
      <c r="F32" s="7" t="n">
        <f t="shared" si="2"/>
        <v>632.39395862856497</v>
      </c>
      <c r="G32" s="7" t="n">
        <f t="shared" si="3"/>
        <v>1035.8752477856769</v>
      </c>
    </row>
    <row r="33" ht="15.75" customHeight="1">
      <c r="B33" s="4" t="n">
        <v>2033</v>
      </c>
      <c r="C33" s="7" t="n">
        <f t="shared" si="0"/>
        <v>324.77266842434699</v>
      </c>
      <c r="D33" s="7" t="n">
        <f t="shared" si="0"/>
        <v>1345.5964054697599</v>
      </c>
      <c r="E33" s="7" t="n">
        <f t="shared" si="1"/>
        <v>1670.3690738941068</v>
      </c>
      <c r="F33" s="7" t="n">
        <f t="shared" si="2"/>
        <v>645.66438383320406</v>
      </c>
      <c r="G33" s="7" t="n">
        <f t="shared" si="3"/>
        <v>1024.7046900609027</v>
      </c>
    </row>
    <row r="34">
      <c r="B34" s="4" t="n">
        <v>2034</v>
      </c>
      <c r="C34" s="7" t="n">
        <f t="shared" si="0"/>
        <v>860.75239971159397</v>
      </c>
      <c r="D34" s="7" t="n">
        <f t="shared" si="0"/>
        <v>1354.8720245235902</v>
      </c>
      <c r="E34" s="7" t="n">
        <f t="shared" si="1"/>
        <v>2215.6244242351841</v>
      </c>
      <c r="F34" s="7" t="n">
        <f t="shared" si="2"/>
        <v>645.86031972817898</v>
      </c>
      <c r="G34" s="7" t="n">
        <f t="shared" si="3"/>
        <v>1569.764104507005</v>
      </c>
    </row>
    <row r="35" ht="15.75" customHeight="1">
      <c r="B35" s="5" t="n">
        <v>2035</v>
      </c>
      <c r="C35" s="68" t="n">
        <f t="shared" si="0"/>
        <v>344.63558604446501</v>
      </c>
      <c r="D35" s="68" t="n">
        <f t="shared" si="0"/>
        <v>1364.6070893338899</v>
      </c>
      <c r="E35" s="68" t="n">
        <f t="shared" si="1"/>
        <v>1709.242675378355</v>
      </c>
      <c r="F35" s="68" t="n">
        <f t="shared" si="2"/>
        <v>646.80146132162702</v>
      </c>
      <c r="G35" s="68" t="n">
        <f t="shared" si="3"/>
        <v>1062.4412140567279</v>
      </c>
    </row>
    <row r="36" ht="15.75" customHeight="1"/>
    <row r="38" ht="16.149999999999999" customHeight="1">
      <c r="B38" s="1" t="s">
        <v>87</v>
      </c>
      <c r="C38" s="1" t="s">
        <v>86</v>
      </c>
    </row>
    <row r="39" ht="15.6" customHeight="1">
      <c r="B39" s="13" t="s">
        <v>63</v>
      </c>
      <c r="C39" s="13" t="s">
        <v>85</v>
      </c>
      <c r="D39" s="13" t="s">
        <v>84</v>
      </c>
      <c r="E39" s="13" t="s">
        <v>83</v>
      </c>
      <c r="F39" s="13" t="s">
        <v>82</v>
      </c>
      <c r="G39" s="13" t="s">
        <v>81</v>
      </c>
    </row>
    <row r="40">
      <c r="B40" s="4" t="n">
        <v>2023</v>
      </c>
      <c r="C40" s="23" t="n">
        <f t="shared" ref="C40:G52" si="4">ROUND(C23,2-(1+INT(LOG10(ABS(C23)))))</f>
        <v>480</v>
      </c>
      <c r="D40" s="26" t="n">
        <f t="shared" si="4"/>
        <v>66</v>
      </c>
      <c r="E40" s="23" t="n">
        <f t="shared" si="4"/>
        <v>550</v>
      </c>
      <c r="F40" s="23" t="n">
        <f t="shared" si="4"/>
        <v>25</v>
      </c>
      <c r="G40" s="23" t="n">
        <f t="shared" si="4"/>
        <v>520</v>
      </c>
    </row>
    <row r="41">
      <c r="B41" s="4" t="n">
        <v>2024</v>
      </c>
      <c r="C41" s="23" t="n">
        <f t="shared" si="4"/>
        <v>270</v>
      </c>
      <c r="D41" s="26" t="n">
        <f t="shared" si="4"/>
        <v>100</v>
      </c>
      <c r="E41" s="23" t="n">
        <f t="shared" si="4"/>
        <v>370</v>
      </c>
      <c r="F41" s="23" t="n">
        <f t="shared" si="4"/>
        <v>35</v>
      </c>
      <c r="G41" s="23" t="n">
        <f t="shared" si="4"/>
        <v>340</v>
      </c>
    </row>
    <row r="42">
      <c r="B42" s="4" t="n">
        <v>2025</v>
      </c>
      <c r="C42" s="23" t="n">
        <f t="shared" si="4"/>
        <v>290</v>
      </c>
      <c r="D42" s="26" t="n">
        <f t="shared" si="4"/>
        <v>140</v>
      </c>
      <c r="E42" s="23" t="n">
        <f t="shared" si="4"/>
        <v>430</v>
      </c>
      <c r="F42" s="23" t="n">
        <f t="shared" si="4"/>
        <v>45</v>
      </c>
      <c r="G42" s="23" t="n">
        <f t="shared" si="4"/>
        <v>390</v>
      </c>
    </row>
    <row r="43">
      <c r="B43" s="4" t="n">
        <v>2026</v>
      </c>
      <c r="C43" s="23" t="n">
        <f t="shared" si="4"/>
        <v>12000</v>
      </c>
      <c r="D43" s="23" t="n">
        <f t="shared" si="4"/>
        <v>1300</v>
      </c>
      <c r="E43" s="23" t="n">
        <f t="shared" si="4"/>
        <v>13000</v>
      </c>
      <c r="F43" s="23" t="n">
        <f t="shared" si="4"/>
        <v>520</v>
      </c>
      <c r="G43" s="23" t="n">
        <f t="shared" si="4"/>
        <v>12000</v>
      </c>
    </row>
    <row r="44">
      <c r="B44" s="4" t="n">
        <v>2027</v>
      </c>
      <c r="C44" s="23" t="n">
        <f t="shared" si="4"/>
        <v>310</v>
      </c>
      <c r="D44" s="23" t="n">
        <f t="shared" si="4"/>
        <v>1300</v>
      </c>
      <c r="E44" s="23" t="n">
        <f t="shared" si="4"/>
        <v>1600</v>
      </c>
      <c r="F44" s="23" t="n">
        <f t="shared" si="4"/>
        <v>540</v>
      </c>
      <c r="G44" s="23" t="n">
        <f t="shared" si="4"/>
        <v>1100</v>
      </c>
    </row>
    <row r="45">
      <c r="B45" s="4" t="n">
        <v>2028</v>
      </c>
      <c r="C45" s="23" t="n">
        <f t="shared" si="4"/>
        <v>300</v>
      </c>
      <c r="D45" s="23" t="n">
        <f t="shared" si="4"/>
        <v>1300</v>
      </c>
      <c r="E45" s="23" t="n">
        <f t="shared" si="4"/>
        <v>1600</v>
      </c>
      <c r="F45" s="23" t="n">
        <f t="shared" si="4"/>
        <v>570</v>
      </c>
      <c r="G45" s="23" t="n">
        <f t="shared" si="4"/>
        <v>1000</v>
      </c>
    </row>
    <row r="46">
      <c r="B46" s="4" t="n">
        <v>2029</v>
      </c>
      <c r="C46" s="23" t="n">
        <f t="shared" si="4"/>
        <v>320</v>
      </c>
      <c r="D46" s="23" t="n">
        <f t="shared" si="4"/>
        <v>1300</v>
      </c>
      <c r="E46" s="23" t="n">
        <f t="shared" si="4"/>
        <v>1600</v>
      </c>
      <c r="F46" s="23" t="n">
        <f t="shared" si="4"/>
        <v>590</v>
      </c>
      <c r="G46" s="23" t="n">
        <f t="shared" si="4"/>
        <v>1000</v>
      </c>
    </row>
    <row r="47">
      <c r="B47" s="4" t="n">
        <v>2030</v>
      </c>
      <c r="C47" s="23" t="n">
        <f t="shared" si="4"/>
        <v>660</v>
      </c>
      <c r="D47" s="23" t="n">
        <f t="shared" si="4"/>
        <v>1300</v>
      </c>
      <c r="E47" s="23" t="n">
        <f t="shared" si="4"/>
        <v>2000</v>
      </c>
      <c r="F47" s="23" t="n">
        <f t="shared" si="4"/>
        <v>610</v>
      </c>
      <c r="G47" s="23" t="n">
        <f t="shared" si="4"/>
        <v>1400</v>
      </c>
    </row>
    <row r="48">
      <c r="B48" s="4" t="n">
        <v>2031</v>
      </c>
      <c r="C48" s="23" t="n">
        <f t="shared" si="4"/>
        <v>310</v>
      </c>
      <c r="D48" s="23" t="n">
        <f t="shared" si="4"/>
        <v>1300</v>
      </c>
      <c r="E48" s="23" t="n">
        <f t="shared" si="4"/>
        <v>1600</v>
      </c>
      <c r="F48" s="23" t="n">
        <f t="shared" si="4"/>
        <v>630</v>
      </c>
      <c r="G48" s="23" t="n">
        <f t="shared" si="4"/>
        <v>1000</v>
      </c>
    </row>
    <row r="49">
      <c r="B49" s="4" t="n">
        <v>2032</v>
      </c>
      <c r="C49" s="23" t="n">
        <f t="shared" si="4"/>
        <v>330</v>
      </c>
      <c r="D49" s="23" t="n">
        <f t="shared" si="4"/>
        <v>1300</v>
      </c>
      <c r="E49" s="23" t="n">
        <f t="shared" si="4"/>
        <v>1700</v>
      </c>
      <c r="F49" s="23" t="n">
        <f t="shared" si="4"/>
        <v>630</v>
      </c>
      <c r="G49" s="23" t="n">
        <f t="shared" si="4"/>
        <v>1000</v>
      </c>
    </row>
    <row r="50">
      <c r="B50" s="4" t="n">
        <v>2033</v>
      </c>
      <c r="C50" s="23" t="n">
        <f t="shared" si="4"/>
        <v>320</v>
      </c>
      <c r="D50" s="23" t="n">
        <f t="shared" si="4"/>
        <v>1300</v>
      </c>
      <c r="E50" s="23" t="n">
        <f t="shared" si="4"/>
        <v>1700</v>
      </c>
      <c r="F50" s="23" t="n">
        <f t="shared" si="4"/>
        <v>650</v>
      </c>
      <c r="G50" s="23" t="n">
        <f t="shared" si="4"/>
        <v>1000</v>
      </c>
    </row>
    <row r="51">
      <c r="B51" s="4" t="n">
        <v>2034</v>
      </c>
      <c r="C51" s="23" t="n">
        <f t="shared" si="4"/>
        <v>860</v>
      </c>
      <c r="D51" s="23" t="n">
        <f t="shared" si="4"/>
        <v>1400</v>
      </c>
      <c r="E51" s="23" t="n">
        <f t="shared" si="4"/>
        <v>2200</v>
      </c>
      <c r="F51" s="23" t="n">
        <f t="shared" si="4"/>
        <v>650</v>
      </c>
      <c r="G51" s="23" t="n">
        <f t="shared" si="4"/>
        <v>1600</v>
      </c>
    </row>
    <row r="52" ht="15.75" customHeight="1">
      <c r="B52" s="5" t="n">
        <v>2035</v>
      </c>
      <c r="C52" s="65" t="n">
        <f t="shared" si="4"/>
        <v>340</v>
      </c>
      <c r="D52" s="65" t="n">
        <f t="shared" si="4"/>
        <v>1400</v>
      </c>
      <c r="E52" s="65" t="n">
        <f t="shared" si="4"/>
        <v>1700</v>
      </c>
      <c r="F52" s="65" t="n">
        <f t="shared" si="4"/>
        <v>650</v>
      </c>
      <c r="G52" s="65" t="n">
        <f t="shared" si="4"/>
        <v>1100</v>
      </c>
    </row>
    <row r="53" ht="15.75" customHeight="1"/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2" max="2" width="12.28515625" hidden="0" customWidth="1"/>
    <col min="3" max="3" width="18" hidden="0" customWidth="1"/>
    <col min="4" max="4" width="14.7109375" hidden="0" customWidth="1"/>
    <col min="5" max="5" width="19.85546875" hidden="0" customWidth="1"/>
    <col min="6" max="6" width="18.140625" hidden="0" customWidth="1"/>
    <col min="7" max="7" width="14.28515625" hidden="0" customWidth="1"/>
    <col min="8" max="8" width="18.7109375" hidden="0" customWidth="1"/>
  </cols>
  <sheetData>
    <row r="2">
      <c r="B2" t="s">
        <v>0</v>
      </c>
      <c r="C2" t="s">
        <v>5</v>
      </c>
      <c r="D2" t="s">
        <v>4</v>
      </c>
      <c r="E2" t="s">
        <v>6</v>
      </c>
      <c r="F2" t="s">
        <v>7</v>
      </c>
      <c r="G2" t="s">
        <v>4</v>
      </c>
      <c r="H2" t="s">
        <v>8</v>
      </c>
    </row>
    <row r="3">
      <c r="B3" t="s">
        <v>9</v>
      </c>
      <c r="C3" t="n">
        <f>cost_disc_7!E3</f>
        <v>0</v>
      </c>
      <c r="D3" t="n">
        <f>cost_disc_7!F3</f>
        <v>0</v>
      </c>
      <c r="E3" t="n">
        <f>cost_disc_7!G3</f>
        <v>0</v>
      </c>
      <c r="F3" t="n">
        <f>cost_disc_3!C3</f>
        <v>0</v>
      </c>
      <c r="G3" t="n">
        <f>cost_disc_3!D3</f>
        <v>0</v>
      </c>
      <c r="H3" t="n">
        <f>cost_disc_3!E3</f>
        <v>0</v>
      </c>
    </row>
    <row r="4">
      <c r="B4" t="s">
        <v>10</v>
      </c>
      <c r="C4" t="n">
        <f>cost_disc_7!E4</f>
        <v>0</v>
      </c>
      <c r="D4" t="n">
        <f>cost_disc_7!F4</f>
        <v>0</v>
      </c>
      <c r="E4" t="n">
        <f>cost_disc_7!G4</f>
        <v>0</v>
      </c>
      <c r="F4" t="n">
        <f>cost_disc_3!C4</f>
        <v>0</v>
      </c>
      <c r="G4" t="n">
        <f>cost_disc_3!D4</f>
        <v>0</v>
      </c>
      <c r="H4" t="n">
        <f>cost_disc_3!E4</f>
        <v>0</v>
      </c>
    </row>
    <row r="5">
      <c r="B5" t="s">
        <v>11</v>
      </c>
      <c r="C5" t="n">
        <f>cost_disc_7!E5</f>
        <v>104715704.166977</v>
      </c>
      <c r="D5" t="n">
        <f>cost_disc_7!F5</f>
        <v>21680146.8293567</v>
      </c>
      <c r="E5" t="n">
        <f>cost_disc_7!G5</f>
        <v>83035557.337620407</v>
      </c>
      <c r="F5" t="n">
        <f>cost_disc_3!E5</f>
        <v>103458230.441028</v>
      </c>
      <c r="G5" t="n">
        <f>cost_disc_3!F5</f>
        <v>23396738.717061501</v>
      </c>
      <c r="H5" t="n">
        <f>cost_disc_3!G5</f>
        <v>80061491.723966599</v>
      </c>
    </row>
    <row r="6">
      <c r="B6" t="s">
        <v>12</v>
      </c>
      <c r="C6" t="n">
        <f>cost_disc_7!E6</f>
        <v>152305163.532426</v>
      </c>
      <c r="D6" t="n">
        <f>cost_disc_7!F6</f>
        <v>28367585.279759001</v>
      </c>
      <c r="E6" t="n">
        <f>cost_disc_7!G6</f>
        <v>123937578.25266699</v>
      </c>
      <c r="F6" t="n">
        <f>cost_disc_3!E6</f>
        <v>156345268.15600201</v>
      </c>
      <c r="G6" t="n">
        <f>cost_disc_3!F6</f>
        <v>31802556.149771899</v>
      </c>
      <c r="H6" t="n">
        <f>cost_disc_3!G6</f>
        <v>124542712.00623</v>
      </c>
    </row>
    <row r="7">
      <c r="B7" t="s">
        <v>13</v>
      </c>
      <c r="C7" t="n">
        <f>cost_disc_7!E7</f>
        <v>197333639.77886701</v>
      </c>
      <c r="D7" t="n">
        <f>cost_disc_7!F7</f>
        <v>34366419.682977498</v>
      </c>
      <c r="E7" t="n">
        <f>cost_disc_7!G7</f>
        <v>162967220.09588999</v>
      </c>
      <c r="F7" t="n">
        <f>cost_disc_3!E7</f>
        <v>210463146.968701</v>
      </c>
      <c r="G7" t="n">
        <f>cost_disc_3!F7</f>
        <v>40024001.054627299</v>
      </c>
      <c r="H7" t="n">
        <f>cost_disc_3!G7</f>
        <v>170439145.914074</v>
      </c>
    </row>
    <row r="8">
      <c r="B8" t="s">
        <v>14</v>
      </c>
      <c r="C8" t="n">
        <f>cost_disc_7!E8</f>
        <v>1970360827.4933</v>
      </c>
      <c r="D8" t="n">
        <f>cost_disc_7!F8</f>
        <v>372389743.929039</v>
      </c>
      <c r="E8" t="n">
        <f>cost_disc_7!G8</f>
        <v>1597971083.56426</v>
      </c>
      <c r="F8" t="n">
        <f>cost_disc_3!E8</f>
        <v>2158645626.97615</v>
      </c>
      <c r="G8" t="n">
        <f>cost_disc_3!F8</f>
        <v>450537013.99988502</v>
      </c>
      <c r="H8" t="n">
        <f>cost_disc_3!G8</f>
        <v>1708108612.97627</v>
      </c>
    </row>
    <row r="9">
      <c r="B9" t="s">
        <v>15</v>
      </c>
      <c r="C9" t="n">
        <f>cost_disc_7!E9</f>
        <v>1830697233.6798</v>
      </c>
      <c r="D9" t="n">
        <f>cost_disc_7!F9</f>
        <v>359665770.929259</v>
      </c>
      <c r="E9" t="n">
        <f>cost_disc_7!G9</f>
        <v>1471031462.75054</v>
      </c>
      <c r="F9" t="n">
        <f>cost_disc_3!E9</f>
        <v>2084860186.48612</v>
      </c>
      <c r="G9" t="n">
        <f>cost_disc_3!F9</f>
        <v>452041623.74105799</v>
      </c>
      <c r="H9" t="n">
        <f>cost_disc_3!G9</f>
        <v>1632818562.74507</v>
      </c>
    </row>
    <row r="10">
      <c r="B10" t="s">
        <v>16</v>
      </c>
      <c r="C10" t="n">
        <f>cost_disc_7!E10</f>
        <v>1707299876.75245</v>
      </c>
      <c r="D10" t="n">
        <f>cost_disc_7!F10</f>
        <v>355412411.16669798</v>
      </c>
      <c r="E10" t="n">
        <f>cost_disc_7!G10</f>
        <v>1351887465.5857501</v>
      </c>
      <c r="F10" t="n">
        <f>cost_disc_3!E10</f>
        <v>2020553215.94945</v>
      </c>
      <c r="G10" t="n">
        <f>cost_disc_3!F10</f>
        <v>464043250.61811203</v>
      </c>
      <c r="H10" t="n">
        <f>cost_disc_3!G10</f>
        <v>1556509965.3313401</v>
      </c>
    </row>
    <row r="11">
      <c r="B11" t="s">
        <v>17</v>
      </c>
      <c r="C11" t="n">
        <f>cost_disc_7!E11</f>
        <v>1592740152.9841599</v>
      </c>
      <c r="D11" t="n">
        <f>cost_disc_7!F11</f>
        <v>344736115.78674197</v>
      </c>
      <c r="E11" t="n">
        <f>cost_disc_7!G11</f>
        <v>1248004037.1974199</v>
      </c>
      <c r="F11" t="n">
        <f>cost_disc_3!E11</f>
        <v>1958904258.8443501</v>
      </c>
      <c r="G11" t="n">
        <f>cost_disc_3!F11</f>
        <v>467583532.74722999</v>
      </c>
      <c r="H11" t="n">
        <f>cost_disc_3!G11</f>
        <v>1491320726.09712</v>
      </c>
    </row>
    <row r="12">
      <c r="B12" t="s">
        <v>18</v>
      </c>
      <c r="C12" t="n">
        <f>cost_disc_7!E12</f>
        <v>1445581685.6252501</v>
      </c>
      <c r="D12" t="n">
        <f>cost_disc_7!F12</f>
        <v>331738122.80058402</v>
      </c>
      <c r="E12" t="n">
        <f>cost_disc_7!G12</f>
        <v>1113843562.8246701</v>
      </c>
      <c r="F12" t="n">
        <f>cost_disc_3!E12</f>
        <v>1845405658.3909299</v>
      </c>
      <c r="G12" t="n">
        <f>cost_disc_3!F12</f>
        <v>467427607.750036</v>
      </c>
      <c r="H12" t="n">
        <f>cost_disc_3!G12</f>
        <v>1377978050.6408999</v>
      </c>
    </row>
    <row r="13">
      <c r="B13" t="s">
        <v>19</v>
      </c>
      <c r="C13" t="n">
        <f>cost_disc_7!E13</f>
        <v>1350995392.4800301</v>
      </c>
      <c r="D13" t="n">
        <f>cost_disc_7!F13</f>
        <v>317993986.45010501</v>
      </c>
      <c r="E13" t="n">
        <f>cost_disc_7!G13</f>
        <v>1033001406.02993</v>
      </c>
      <c r="F13" t="n">
        <f>cost_disc_3!E13</f>
        <v>1792470300.86708</v>
      </c>
      <c r="G13" t="n">
        <f>cost_disc_3!F13</f>
        <v>465462220.46979702</v>
      </c>
      <c r="H13" t="n">
        <f>cost_disc_3!G13</f>
        <v>1327008080.39728</v>
      </c>
    </row>
    <row r="14">
      <c r="B14" t="s">
        <v>20</v>
      </c>
      <c r="C14" t="n">
        <f>cost_disc_7!E14</f>
        <v>1261269950.2574401</v>
      </c>
      <c r="D14" t="n">
        <f>cost_disc_7!F14</f>
        <v>300445814.22346097</v>
      </c>
      <c r="E14" t="n">
        <f>cost_disc_7!G14</f>
        <v>960824136.03397703</v>
      </c>
      <c r="F14" t="n">
        <f>cost_disc_3!E14</f>
        <v>1739185588.89855</v>
      </c>
      <c r="G14" t="n">
        <f>cost_disc_3!F14</f>
        <v>456854850.90579301</v>
      </c>
      <c r="H14" t="n">
        <f>cost_disc_3!G14</f>
        <v>1282330737.9927599</v>
      </c>
    </row>
    <row r="15">
      <c r="B15" t="s">
        <v>21</v>
      </c>
      <c r="C15" t="n">
        <f>cost_disc_7!E15</f>
        <v>1180214904.8947001</v>
      </c>
      <c r="D15" t="n">
        <f>cost_disc_7!F15</f>
        <v>286682708.07774299</v>
      </c>
      <c r="E15" t="n">
        <f>cost_disc_7!G15</f>
        <v>893532196.816957</v>
      </c>
      <c r="F15" t="n">
        <f>cost_disc_3!E15</f>
        <v>1691455001.9024601</v>
      </c>
      <c r="G15" t="n">
        <f>cost_disc_3!F15</f>
        <v>452856008.17780203</v>
      </c>
      <c r="H15" t="n">
        <f>cost_disc_3!G15</f>
        <v>1238598993.7246599</v>
      </c>
    </row>
    <row r="16">
      <c r="B16" t="s">
        <v>22</v>
      </c>
      <c r="C16" t="n">
        <f>cost_disc_7!E16</f>
        <v>1104761240.2845299</v>
      </c>
      <c r="D16" t="n">
        <f>cost_disc_7!F16</f>
        <v>268009070.98911801</v>
      </c>
      <c r="E16" t="n">
        <f>cost_disc_7!G16</f>
        <v>836752169.29541194</v>
      </c>
      <c r="F16" t="n">
        <f>cost_disc_3!E16</f>
        <v>1645593125.0343599</v>
      </c>
      <c r="G16" t="n">
        <f>cost_disc_3!F16</f>
        <v>439799450.16732597</v>
      </c>
      <c r="H16" t="n">
        <f>cost_disc_3!G16</f>
        <v>1205793674.8670299</v>
      </c>
    </row>
    <row r="17">
      <c r="B17" t="s">
        <v>23</v>
      </c>
      <c r="C17" t="n">
        <f>cost_disc_7!E17</f>
        <v>1034590198.75597</v>
      </c>
      <c r="D17" t="n">
        <f>cost_disc_7!F17</f>
        <v>250840758.215727</v>
      </c>
      <c r="E17" t="n">
        <f>cost_disc_7!G17</f>
        <v>783749440.54024005</v>
      </c>
      <c r="F17" t="n">
        <f>cost_disc_3!E17</f>
        <v>1601660948.7158501</v>
      </c>
      <c r="G17" t="n">
        <f>cost_disc_3!F17</f>
        <v>427611962.90923101</v>
      </c>
      <c r="H17" t="n">
        <f>cost_disc_3!G17</f>
        <v>1174048985.8066199</v>
      </c>
    </row>
    <row r="18">
      <c r="B18" t="s">
        <v>24</v>
      </c>
      <c r="C18" t="n">
        <f>cost_disc_7!E18</f>
        <v>14932865970.6859</v>
      </c>
      <c r="D18" t="n">
        <f>cost_disc_7!F18</f>
        <v>3272328654.36057</v>
      </c>
      <c r="E18" t="n">
        <f>cost_disc_7!G18</f>
        <v>11660537316.3253</v>
      </c>
      <c r="F18" t="n">
        <f>cost_disc_3!E18</f>
        <v>19009000557.631001</v>
      </c>
      <c r="G18" t="n">
        <f>cost_disc_3!F18</f>
        <v>4639440817.4077301</v>
      </c>
      <c r="H18" t="n">
        <f>cost_disc_3!G18</f>
        <v>14369559740.223301</v>
      </c>
    </row>
    <row r="19">
      <c r="B19" t="s">
        <v>25</v>
      </c>
      <c r="C19" t="n">
        <f>cost_disc_7!E19</f>
        <v>1786730078.4976201</v>
      </c>
      <c r="D19" t="n">
        <f>cost_disc_7!F19</f>
        <v>391536898.87481999</v>
      </c>
      <c r="E19" t="n">
        <f>cost_disc_7!G19</f>
        <v>1395193179.6228001</v>
      </c>
      <c r="F19" t="n">
        <f>cost_disc_3!E19</f>
        <v>1787407653.4806199</v>
      </c>
      <c r="G19" t="n">
        <f>cost_disc_3!F19</f>
        <v>436244504.268583</v>
      </c>
      <c r="H19" t="n">
        <f>cost_disc_3!G19</f>
        <v>1351163149.2120399</v>
      </c>
    </row>
    <row r="22" ht="16.149999999999999" customHeight="1">
      <c r="B22" s="1" t="s">
        <v>89</v>
      </c>
      <c r="C22" s="1" t="s">
        <v>90</v>
      </c>
      <c r="D22" s="52"/>
      <c r="E22" s="52"/>
      <c r="F22" s="52"/>
      <c r="G22" s="52"/>
    </row>
    <row r="23" ht="16.5" customHeight="1">
      <c r="B23" s="19"/>
      <c r="C23" s="71" t="s">
        <v>91</v>
      </c>
      <c r="D23" s="71"/>
      <c r="E23" s="72"/>
      <c r="F23" s="73" t="s">
        <v>92</v>
      </c>
      <c r="G23" s="71"/>
      <c r="H23" s="71"/>
    </row>
    <row r="24" ht="39.75" customHeight="1">
      <c r="B24" s="8" t="s">
        <v>63</v>
      </c>
      <c r="C24" s="66" t="s">
        <v>93</v>
      </c>
      <c r="D24" s="66" t="s">
        <v>82</v>
      </c>
      <c r="E24" s="66" t="s">
        <v>94</v>
      </c>
      <c r="F24" s="69" t="s">
        <v>93</v>
      </c>
      <c r="G24" s="70" t="s">
        <v>82</v>
      </c>
      <c r="H24" s="70" t="s">
        <v>94</v>
      </c>
    </row>
    <row r="25">
      <c r="B25" s="4" t="n">
        <v>2023</v>
      </c>
      <c r="C25" s="7" t="n">
        <f>F5/1000000</f>
        <v>103.45823044102799</v>
      </c>
      <c r="D25" s="7" t="n">
        <f t="shared" ref="D25:E25" si="0">G5/1000000</f>
        <v>23.396738717061503</v>
      </c>
      <c r="E25" s="7" t="n">
        <f t="shared" si="0"/>
        <v>80.061491723966597</v>
      </c>
      <c r="F25" s="75" t="n">
        <f>C5/1000000</f>
        <v>104.71570416697701</v>
      </c>
      <c r="G25" s="76" t="n">
        <f t="shared" ref="G25:H25" si="1">D5/1000000</f>
        <v>21.680146829356701</v>
      </c>
      <c r="H25" s="7" t="n">
        <f t="shared" si="1"/>
        <v>83.035557337620403</v>
      </c>
    </row>
    <row r="26">
      <c r="B26" s="4" t="n">
        <v>2024</v>
      </c>
      <c r="C26" s="7" t="n">
        <f t="shared" ref="C26:C39" si="2">F6/1000000</f>
        <v>156.34526815600202</v>
      </c>
      <c r="D26" s="7" t="n">
        <f t="shared" ref="D26:D39" si="3">G6/1000000</f>
        <v>31.802556149771899</v>
      </c>
      <c r="E26" s="7" t="n">
        <f t="shared" ref="E26:E39" si="4">H6/1000000</f>
        <v>124.54271200622999</v>
      </c>
      <c r="F26" s="75" t="n">
        <f t="shared" ref="F26:F39" si="5">C6/1000000</f>
        <v>152.30516353242601</v>
      </c>
      <c r="G26" s="7" t="n">
        <f t="shared" ref="G26:G39" si="6">D6/1000000</f>
        <v>28.367585279759002</v>
      </c>
      <c r="H26" s="7" t="n">
        <f t="shared" ref="H26:H39" si="7">E6/1000000</f>
        <v>123.937578252667</v>
      </c>
    </row>
    <row r="27">
      <c r="B27" s="4" t="n">
        <v>2025</v>
      </c>
      <c r="C27" s="7" t="n">
        <f t="shared" si="2"/>
        <v>210.46314696870101</v>
      </c>
      <c r="D27" s="7" t="n">
        <f t="shared" si="3"/>
        <v>40.024001054627298</v>
      </c>
      <c r="E27" s="7" t="n">
        <f t="shared" si="4"/>
        <v>170.439145914074</v>
      </c>
      <c r="F27" s="75" t="n">
        <f t="shared" si="5"/>
        <v>197.333639778867</v>
      </c>
      <c r="G27" s="7" t="n">
        <f t="shared" si="6"/>
        <v>34.366419682977501</v>
      </c>
      <c r="H27" s="7" t="n">
        <f t="shared" si="7"/>
        <v>162.96722009588999</v>
      </c>
    </row>
    <row r="28">
      <c r="B28" s="4" t="n">
        <v>2026</v>
      </c>
      <c r="C28" s="7" t="n">
        <f t="shared" si="2"/>
        <v>2158.6456269761502</v>
      </c>
      <c r="D28" s="7" t="n">
        <f t="shared" si="3"/>
        <v>450.537013999885</v>
      </c>
      <c r="E28" s="7" t="n">
        <f t="shared" si="4"/>
        <v>1708.10861297627</v>
      </c>
      <c r="F28" s="75" t="n">
        <f t="shared" si="5"/>
        <v>1970.3608274932999</v>
      </c>
      <c r="G28" s="7" t="n">
        <f t="shared" si="6"/>
        <v>372.38974392903901</v>
      </c>
      <c r="H28" s="7" t="n">
        <f t="shared" si="7"/>
        <v>1597.97108356426</v>
      </c>
    </row>
    <row r="29">
      <c r="B29" s="4" t="n">
        <v>2027</v>
      </c>
      <c r="C29" s="7" t="n">
        <f t="shared" si="2"/>
        <v>2084.8601864861198</v>
      </c>
      <c r="D29" s="7" t="n">
        <f t="shared" si="3"/>
        <v>452.041623741058</v>
      </c>
      <c r="E29" s="7" t="n">
        <f t="shared" si="4"/>
        <v>1632.81856274507</v>
      </c>
      <c r="F29" s="75" t="n">
        <f t="shared" si="5"/>
        <v>1830.6972336798001</v>
      </c>
      <c r="G29" s="7" t="n">
        <f t="shared" si="6"/>
        <v>359.665770929259</v>
      </c>
      <c r="H29" s="7" t="n">
        <f t="shared" si="7"/>
        <v>1471.03146275054</v>
      </c>
    </row>
    <row r="30">
      <c r="B30" s="4" t="n">
        <v>2028</v>
      </c>
      <c r="C30" s="7" t="n">
        <f t="shared" si="2"/>
        <v>2020.5532159494501</v>
      </c>
      <c r="D30" s="7" t="n">
        <f t="shared" si="3"/>
        <v>464.04325061811204</v>
      </c>
      <c r="E30" s="7" t="n">
        <f t="shared" si="4"/>
        <v>1556.50996533134</v>
      </c>
      <c r="F30" s="75" t="n">
        <f t="shared" si="5"/>
        <v>1707.29987675245</v>
      </c>
      <c r="G30" s="7" t="n">
        <f t="shared" si="6"/>
        <v>355.41241116669801</v>
      </c>
      <c r="H30" s="7" t="n">
        <f t="shared" si="7"/>
        <v>1351.8874655857501</v>
      </c>
    </row>
    <row r="31">
      <c r="B31" s="4" t="n">
        <v>2029</v>
      </c>
      <c r="C31" s="7" t="n">
        <f t="shared" si="2"/>
        <v>1958.9042588443501</v>
      </c>
      <c r="D31" s="7" t="n">
        <f t="shared" si="3"/>
        <v>467.58353274722998</v>
      </c>
      <c r="E31" s="7" t="n">
        <f t="shared" si="4"/>
        <v>1491.3207260971201</v>
      </c>
      <c r="F31" s="75" t="n">
        <f t="shared" si="5"/>
        <v>1592.74015298416</v>
      </c>
      <c r="G31" s="7" t="n">
        <f t="shared" si="6"/>
        <v>344.73611578674195</v>
      </c>
      <c r="H31" s="7" t="n">
        <f t="shared" si="7"/>
        <v>1248.0040371974198</v>
      </c>
    </row>
    <row r="32">
      <c r="B32" s="4" t="n">
        <v>2030</v>
      </c>
      <c r="C32" s="7" t="n">
        <f t="shared" si="2"/>
        <v>1845.4056583909298</v>
      </c>
      <c r="D32" s="7" t="n">
        <f t="shared" si="3"/>
        <v>467.42760775003597</v>
      </c>
      <c r="E32" s="7" t="n">
        <f t="shared" si="4"/>
        <v>1377.9780506408999</v>
      </c>
      <c r="F32" s="75" t="n">
        <f t="shared" si="5"/>
        <v>1445.5816856252502</v>
      </c>
      <c r="G32" s="7" t="n">
        <f t="shared" si="6"/>
        <v>331.73812280058399</v>
      </c>
      <c r="H32" s="7" t="n">
        <f t="shared" si="7"/>
        <v>1113.84356282467</v>
      </c>
    </row>
    <row r="33">
      <c r="B33" s="4" t="n">
        <v>2031</v>
      </c>
      <c r="C33" s="7" t="n">
        <f t="shared" si="2"/>
        <v>1792.4703008670799</v>
      </c>
      <c r="D33" s="7" t="n">
        <f t="shared" si="3"/>
        <v>465.46222046979699</v>
      </c>
      <c r="E33" s="7" t="n">
        <f t="shared" si="4"/>
        <v>1327.0080803972801</v>
      </c>
      <c r="F33" s="75" t="n">
        <f t="shared" si="5"/>
        <v>1350.99539248003</v>
      </c>
      <c r="G33" s="7" t="n">
        <f t="shared" si="6"/>
        <v>317.99398645010501</v>
      </c>
      <c r="H33" s="7" t="n">
        <f t="shared" si="7"/>
        <v>1033.00140602993</v>
      </c>
    </row>
    <row r="34" ht="14.45" customHeight="1">
      <c r="B34" s="4" t="n">
        <v>2032</v>
      </c>
      <c r="C34" s="7" t="n">
        <f t="shared" si="2"/>
        <v>1739.1855888985501</v>
      </c>
      <c r="D34" s="7" t="n">
        <f t="shared" si="3"/>
        <v>456.854850905793</v>
      </c>
      <c r="E34" s="7" t="n">
        <f t="shared" si="4"/>
        <v>1282.3307379927599</v>
      </c>
      <c r="F34" s="75" t="n">
        <f t="shared" si="5"/>
        <v>1261.2699502574401</v>
      </c>
      <c r="G34" s="7" t="n">
        <f t="shared" si="6"/>
        <v>300.44581422346096</v>
      </c>
      <c r="H34" s="7" t="n">
        <f t="shared" si="7"/>
        <v>960.82413603397708</v>
      </c>
    </row>
    <row r="35" ht="14.45" customHeight="1">
      <c r="B35" s="4" t="n">
        <v>2033</v>
      </c>
      <c r="C35" s="7" t="n">
        <f t="shared" si="2"/>
        <v>1691.45500190246</v>
      </c>
      <c r="D35" s="7" t="n">
        <f t="shared" si="3"/>
        <v>452.85600817780204</v>
      </c>
      <c r="E35" s="7" t="n">
        <f t="shared" si="4"/>
        <v>1238.59899372466</v>
      </c>
      <c r="F35" s="75" t="n">
        <f t="shared" si="5"/>
        <v>1180.2149048947001</v>
      </c>
      <c r="G35" s="7" t="n">
        <f t="shared" si="6"/>
        <v>286.68270807774297</v>
      </c>
      <c r="H35" s="7" t="n">
        <f t="shared" si="7"/>
        <v>893.53219681695703</v>
      </c>
    </row>
    <row r="36" ht="14.45" customHeight="1">
      <c r="B36" s="4" t="n">
        <v>2034</v>
      </c>
      <c r="C36" s="7" t="n">
        <f t="shared" si="2"/>
        <v>1645.5931250343599</v>
      </c>
      <c r="D36" s="7" t="n">
        <f t="shared" si="3"/>
        <v>439.79945016732597</v>
      </c>
      <c r="E36" s="7" t="n">
        <f t="shared" si="4"/>
        <v>1205.7936748670299</v>
      </c>
      <c r="F36" s="75" t="n">
        <f t="shared" si="5"/>
        <v>1104.76124028453</v>
      </c>
      <c r="G36" s="7" t="n">
        <f t="shared" si="6"/>
        <v>268.00907098911802</v>
      </c>
      <c r="H36" s="7" t="n">
        <f t="shared" si="7"/>
        <v>836.75216929541193</v>
      </c>
    </row>
    <row r="37" ht="14.45" customHeight="1">
      <c r="B37" s="8" t="n">
        <v>2035</v>
      </c>
      <c r="C37" s="14" t="n">
        <f t="shared" si="2"/>
        <v>1601.6609487158501</v>
      </c>
      <c r="D37" s="14" t="n">
        <f t="shared" si="3"/>
        <v>427.61196290923101</v>
      </c>
      <c r="E37" s="14" t="n">
        <f t="shared" si="4"/>
        <v>1174.0489858066198</v>
      </c>
      <c r="F37" s="77" t="n">
        <f t="shared" si="5"/>
        <v>1034.5901987559701</v>
      </c>
      <c r="G37" s="14" t="n">
        <f t="shared" si="6"/>
        <v>250.84075821572699</v>
      </c>
      <c r="H37" s="14" t="n">
        <f t="shared" si="7"/>
        <v>783.74944054024002</v>
      </c>
    </row>
    <row r="38">
      <c r="B38" s="4" t="s">
        <v>24</v>
      </c>
      <c r="C38" s="7" t="n">
        <f t="shared" si="2"/>
        <v>19009.000557631</v>
      </c>
      <c r="D38" s="7" t="n">
        <f t="shared" si="3"/>
        <v>4639.4408174077298</v>
      </c>
      <c r="E38" s="7" t="n">
        <f t="shared" si="4"/>
        <v>14369.559740223302</v>
      </c>
      <c r="F38" s="75" t="n">
        <f t="shared" si="5"/>
        <v>14932.8659706859</v>
      </c>
      <c r="G38" s="7" t="n">
        <f t="shared" si="6"/>
        <v>3272.32865436057</v>
      </c>
      <c r="H38" s="7" t="n">
        <f t="shared" si="7"/>
        <v>11660.537316325301</v>
      </c>
    </row>
    <row r="39" ht="15" customHeight="1">
      <c r="B39" s="5" t="s">
        <v>25</v>
      </c>
      <c r="C39" s="68" t="n">
        <f t="shared" si="2"/>
        <v>1787.40765348062</v>
      </c>
      <c r="D39" s="68" t="n">
        <f t="shared" si="3"/>
        <v>436.244504268583</v>
      </c>
      <c r="E39" s="68" t="n">
        <f t="shared" si="4"/>
        <v>1351.16314921204</v>
      </c>
      <c r="F39" s="78" t="n">
        <f t="shared" si="5"/>
        <v>1786.7300784976201</v>
      </c>
      <c r="G39" s="68" t="n">
        <f t="shared" si="6"/>
        <v>391.53689887482</v>
      </c>
      <c r="H39" s="68" t="n">
        <f t="shared" si="7"/>
        <v>1395.1931796228</v>
      </c>
    </row>
    <row r="40" ht="15" customHeight="1">
      <c r="B40" s="4"/>
    </row>
    <row r="41" ht="16.149999999999999" customHeight="1">
      <c r="B41" s="1" t="s">
        <v>88</v>
      </c>
      <c r="C41" s="1" t="s">
        <v>90</v>
      </c>
      <c r="D41" s="52"/>
      <c r="E41" s="52"/>
      <c r="F41" s="52"/>
      <c r="G41" s="52"/>
    </row>
    <row r="42" ht="16.5" customHeight="1">
      <c r="B42" s="19"/>
      <c r="C42" s="71" t="s">
        <v>91</v>
      </c>
      <c r="D42" s="71"/>
      <c r="E42" s="72"/>
      <c r="F42" s="73" t="s">
        <v>92</v>
      </c>
      <c r="G42" s="71"/>
      <c r="H42" s="71"/>
    </row>
    <row r="43" ht="39.75" customHeight="1">
      <c r="B43" s="8" t="s">
        <v>63</v>
      </c>
      <c r="C43" s="66" t="s">
        <v>93</v>
      </c>
      <c r="D43" s="66" t="s">
        <v>82</v>
      </c>
      <c r="E43" s="66" t="s">
        <v>94</v>
      </c>
      <c r="F43" s="69" t="s">
        <v>93</v>
      </c>
      <c r="G43" s="70" t="s">
        <v>82</v>
      </c>
      <c r="H43" s="70" t="s">
        <v>94</v>
      </c>
    </row>
    <row r="44">
      <c r="B44" s="4" t="n">
        <v>2023</v>
      </c>
      <c r="C44" s="23" t="n">
        <f>ROUND(C25,2-(1+INT(LOG10(ABS(C25)))))</f>
        <v>100</v>
      </c>
      <c r="D44" s="23" t="n">
        <f>ROUND(D25,2-(1+INT(LOG10(ABS(D25)))))</f>
        <v>23</v>
      </c>
      <c r="E44" s="79" t="n">
        <f>ROUND(E25,2-(1+INT(LOG10(ABS(E25)))))</f>
        <v>80</v>
      </c>
      <c r="F44" s="23" t="n">
        <f>ROUND(F25,2-(1+INT(LOG10(ABS(F25)))))</f>
        <v>100</v>
      </c>
      <c r="G44" s="23" t="n">
        <f>ROUND(G25,2-(1+INT(LOG10(ABS(G25)))))</f>
        <v>22</v>
      </c>
      <c r="H44" s="74" t="n">
        <f>ROUND(H25,2-(1+INT(LOG10(ABS(H25)))))</f>
        <v>83</v>
      </c>
    </row>
    <row r="45">
      <c r="B45" s="4" t="n">
        <v>2024</v>
      </c>
      <c r="C45" s="23" t="n">
        <f>ROUND(C26,2-(1+INT(LOG10(ABS(C26)))))</f>
        <v>160</v>
      </c>
      <c r="D45" s="23" t="n">
        <f>ROUND(D26,2-(1+INT(LOG10(ABS(D26)))))</f>
        <v>32</v>
      </c>
      <c r="E45" s="80" t="n">
        <f>ROUND(E26,2-(1+INT(LOG10(ABS(E26)))))</f>
        <v>120</v>
      </c>
      <c r="F45" s="23" t="n">
        <f>ROUND(F26,2-(1+INT(LOG10(ABS(F26)))))</f>
        <v>150</v>
      </c>
      <c r="G45" s="23" t="n">
        <f>ROUND(G26,2-(1+INT(LOG10(ABS(G26)))))</f>
        <v>28</v>
      </c>
      <c r="H45" s="74" t="n">
        <f>ROUND(H26,2-(1+INT(LOG10(ABS(H26)))))</f>
        <v>120</v>
      </c>
    </row>
    <row r="46">
      <c r="B46" s="4" t="n">
        <v>2025</v>
      </c>
      <c r="C46" s="23" t="n">
        <f>ROUND(C27,2-(1+INT(LOG10(ABS(C27)))))</f>
        <v>210</v>
      </c>
      <c r="D46" s="23" t="n">
        <f>ROUND(D27,2-(1+INT(LOG10(ABS(D27)))))</f>
        <v>40</v>
      </c>
      <c r="E46" s="80" t="n">
        <f>ROUND(E27,2-(1+INT(LOG10(ABS(E27)))))</f>
        <v>170</v>
      </c>
      <c r="F46" s="23" t="n">
        <f>ROUND(F27,2-(1+INT(LOG10(ABS(F27)))))</f>
        <v>200</v>
      </c>
      <c r="G46" s="23" t="n">
        <f>ROUND(G27,2-(1+INT(LOG10(ABS(G27)))))</f>
        <v>34</v>
      </c>
      <c r="H46" s="74" t="n">
        <f>ROUND(H27,2-(1+INT(LOG10(ABS(H27)))))</f>
        <v>160</v>
      </c>
    </row>
    <row r="47">
      <c r="B47" s="4" t="n">
        <v>2026</v>
      </c>
      <c r="C47" s="23" t="n">
        <f>ROUND(C28,2-(1+INT(LOG10(ABS(C28)))))</f>
        <v>2200</v>
      </c>
      <c r="D47" s="23" t="n">
        <f>ROUND(D28,2-(1+INT(LOG10(ABS(D28)))))</f>
        <v>450</v>
      </c>
      <c r="E47" s="81" t="n">
        <f>ROUND(E28,2-(1+INT(LOG10(ABS(E28)))))</f>
        <v>1700</v>
      </c>
      <c r="F47" s="23" t="n">
        <f>ROUND(F28,2-(1+INT(LOG10(ABS(F28)))))</f>
        <v>2000</v>
      </c>
      <c r="G47" s="23" t="n">
        <f>ROUND(G28,2-(1+INT(LOG10(ABS(G28)))))</f>
        <v>370</v>
      </c>
      <c r="H47" s="23" t="n">
        <f>ROUND(H28,2-(1+INT(LOG10(ABS(H28)))))</f>
        <v>1600</v>
      </c>
    </row>
    <row r="48">
      <c r="B48" s="4" t="n">
        <v>2027</v>
      </c>
      <c r="C48" s="23" t="n">
        <f>ROUND(C29,2-(1+INT(LOG10(ABS(C29)))))</f>
        <v>2100</v>
      </c>
      <c r="D48" s="23" t="n">
        <f>ROUND(D29,2-(1+INT(LOG10(ABS(D29)))))</f>
        <v>450</v>
      </c>
      <c r="E48" s="81" t="n">
        <f>ROUND(E29,2-(1+INT(LOG10(ABS(E29)))))</f>
        <v>1600</v>
      </c>
      <c r="F48" s="23" t="n">
        <f>ROUND(F29,2-(1+INT(LOG10(ABS(F29)))))</f>
        <v>1800</v>
      </c>
      <c r="G48" s="23" t="n">
        <f>ROUND(G29,2-(1+INT(LOG10(ABS(G29)))))</f>
        <v>360</v>
      </c>
      <c r="H48" s="23" t="n">
        <f>ROUND(H29,2-(1+INT(LOG10(ABS(H29)))))</f>
        <v>1500</v>
      </c>
    </row>
    <row r="49">
      <c r="B49" s="4" t="n">
        <v>2028</v>
      </c>
      <c r="C49" s="23" t="n">
        <f>ROUND(C30,2-(1+INT(LOG10(ABS(C30)))))</f>
        <v>2000</v>
      </c>
      <c r="D49" s="23" t="n">
        <f>ROUND(D30,2-(1+INT(LOG10(ABS(D30)))))</f>
        <v>460</v>
      </c>
      <c r="E49" s="81" t="n">
        <f>ROUND(E30,2-(1+INT(LOG10(ABS(E30)))))</f>
        <v>1600</v>
      </c>
      <c r="F49" s="23" t="n">
        <f>ROUND(F30,2-(1+INT(LOG10(ABS(F30)))))</f>
        <v>1700</v>
      </c>
      <c r="G49" s="23" t="n">
        <f>ROUND(G30,2-(1+INT(LOG10(ABS(G30)))))</f>
        <v>360</v>
      </c>
      <c r="H49" s="23" t="n">
        <f>ROUND(H30,2-(1+INT(LOG10(ABS(H30)))))</f>
        <v>1400</v>
      </c>
    </row>
    <row r="50">
      <c r="B50" s="4" t="n">
        <v>2029</v>
      </c>
      <c r="C50" s="23" t="n">
        <f>ROUND(C31,2-(1+INT(LOG10(ABS(C31)))))</f>
        <v>2000</v>
      </c>
      <c r="D50" s="23" t="n">
        <f>ROUND(D31,2-(1+INT(LOG10(ABS(D31)))))</f>
        <v>470</v>
      </c>
      <c r="E50" s="81" t="n">
        <f>ROUND(E31,2-(1+INT(LOG10(ABS(E31)))))</f>
        <v>1500</v>
      </c>
      <c r="F50" s="23" t="n">
        <f>ROUND(F31,2-(1+INT(LOG10(ABS(F31)))))</f>
        <v>1600</v>
      </c>
      <c r="G50" s="23" t="n">
        <f>ROUND(G31,2-(1+INT(LOG10(ABS(G31)))))</f>
        <v>340</v>
      </c>
      <c r="H50" s="23" t="n">
        <f>ROUND(H31,2-(1+INT(LOG10(ABS(H31)))))</f>
        <v>1200</v>
      </c>
    </row>
    <row r="51">
      <c r="B51" s="4" t="n">
        <v>2030</v>
      </c>
      <c r="C51" s="23" t="n">
        <f>ROUND(C32,2-(1+INT(LOG10(ABS(C32)))))</f>
        <v>1800</v>
      </c>
      <c r="D51" s="23" t="n">
        <f>ROUND(D32,2-(1+INT(LOG10(ABS(D32)))))</f>
        <v>470</v>
      </c>
      <c r="E51" s="81" t="n">
        <f>ROUND(E32,2-(1+INT(LOG10(ABS(E32)))))</f>
        <v>1400</v>
      </c>
      <c r="F51" s="23" t="n">
        <f>ROUND(F32,2-(1+INT(LOG10(ABS(F32)))))</f>
        <v>1400</v>
      </c>
      <c r="G51" s="23" t="n">
        <f>ROUND(G32,2-(1+INT(LOG10(ABS(G32)))))</f>
        <v>330</v>
      </c>
      <c r="H51" s="23" t="n">
        <f>ROUND(H32,2-(1+INT(LOG10(ABS(H32)))))</f>
        <v>1100</v>
      </c>
    </row>
    <row r="52">
      <c r="B52" s="4" t="n">
        <v>2031</v>
      </c>
      <c r="C52" s="23" t="n">
        <f>ROUND(C33,2-(1+INT(LOG10(ABS(C33)))))</f>
        <v>1800</v>
      </c>
      <c r="D52" s="23" t="n">
        <f>ROUND(D33,2-(1+INT(LOG10(ABS(D33)))))</f>
        <v>470</v>
      </c>
      <c r="E52" s="81" t="n">
        <f>ROUND(E33,2-(1+INT(LOG10(ABS(E33)))))</f>
        <v>1300</v>
      </c>
      <c r="F52" s="23" t="n">
        <f>ROUND(F33,2-(1+INT(LOG10(ABS(F33)))))</f>
        <v>1400</v>
      </c>
      <c r="G52" s="23" t="n">
        <f>ROUND(G33,2-(1+INT(LOG10(ABS(G33)))))</f>
        <v>320</v>
      </c>
      <c r="H52" s="23" t="n">
        <f>ROUND(H33,2-(1+INT(LOG10(ABS(H33)))))</f>
        <v>1000</v>
      </c>
    </row>
    <row r="53">
      <c r="B53" s="4" t="n">
        <v>2032</v>
      </c>
      <c r="C53" s="23" t="n">
        <f>ROUND(C34,2-(1+INT(LOG10(ABS(C34)))))</f>
        <v>1700</v>
      </c>
      <c r="D53" s="23" t="n">
        <f>ROUND(D34,2-(1+INT(LOG10(ABS(D34)))))</f>
        <v>460</v>
      </c>
      <c r="E53" s="81" t="n">
        <f>ROUND(E34,2-(1+INT(LOG10(ABS(E34)))))</f>
        <v>1300</v>
      </c>
      <c r="F53" s="23" t="n">
        <f>ROUND(F34,2-(1+INT(LOG10(ABS(F34)))))</f>
        <v>1300</v>
      </c>
      <c r="G53" s="23" t="n">
        <f>ROUND(G34,2-(1+INT(LOG10(ABS(G34)))))</f>
        <v>300</v>
      </c>
      <c r="H53" s="23" t="n">
        <f>ROUND(H34,2-(1+INT(LOG10(ABS(H34)))))</f>
        <v>960</v>
      </c>
    </row>
    <row r="54">
      <c r="B54" s="4" t="n">
        <v>2033</v>
      </c>
      <c r="C54" s="23" t="n">
        <f>ROUND(C35,2-(1+INT(LOG10(ABS(C35)))))</f>
        <v>1700</v>
      </c>
      <c r="D54" s="23" t="n">
        <f>ROUND(D35,2-(1+INT(LOG10(ABS(D35)))))</f>
        <v>450</v>
      </c>
      <c r="E54" s="81" t="n">
        <f>ROUND(E35,2-(1+INT(LOG10(ABS(E35)))))</f>
        <v>1200</v>
      </c>
      <c r="F54" s="23" t="n">
        <f>ROUND(F35,2-(1+INT(LOG10(ABS(F35)))))</f>
        <v>1200</v>
      </c>
      <c r="G54" s="23" t="n">
        <f>ROUND(G35,2-(1+INT(LOG10(ABS(G35)))))</f>
        <v>290</v>
      </c>
      <c r="H54" s="23" t="n">
        <f>ROUND(H35,2-(1+INT(LOG10(ABS(H35)))))</f>
        <v>890</v>
      </c>
    </row>
    <row r="55">
      <c r="B55" s="4" t="n">
        <v>2034</v>
      </c>
      <c r="C55" s="23" t="n">
        <f>ROUND(C36,2-(1+INT(LOG10(ABS(C36)))))</f>
        <v>1600</v>
      </c>
      <c r="D55" s="23" t="n">
        <f>ROUND(D36,2-(1+INT(LOG10(ABS(D36)))))</f>
        <v>440</v>
      </c>
      <c r="E55" s="81" t="n">
        <f>ROUND(E36,2-(1+INT(LOG10(ABS(E36)))))</f>
        <v>1200</v>
      </c>
      <c r="F55" s="23" t="n">
        <f>ROUND(F36,2-(1+INT(LOG10(ABS(F36)))))</f>
        <v>1100</v>
      </c>
      <c r="G55" s="23" t="n">
        <f>ROUND(G36,2-(1+INT(LOG10(ABS(G36)))))</f>
        <v>270</v>
      </c>
      <c r="H55" s="23" t="n">
        <f>ROUND(H36,2-(1+INT(LOG10(ABS(H36)))))</f>
        <v>840</v>
      </c>
    </row>
    <row r="56" ht="15" customHeight="1">
      <c r="B56" s="8" t="n">
        <v>2035</v>
      </c>
      <c r="C56" s="25" t="n">
        <f>ROUND(C37,2-(1+INT(LOG10(ABS(C37)))))</f>
        <v>1600</v>
      </c>
      <c r="D56" s="25" t="n">
        <f>ROUND(D37,2-(1+INT(LOG10(ABS(D37)))))</f>
        <v>430</v>
      </c>
      <c r="E56" s="82" t="n">
        <f>ROUND(E37,2-(1+INT(LOG10(ABS(E37)))))</f>
        <v>1200</v>
      </c>
      <c r="F56" s="25" t="n">
        <f>ROUND(F37,2-(1+INT(LOG10(ABS(F37)))))</f>
        <v>1000</v>
      </c>
      <c r="G56" s="25" t="n">
        <f>ROUND(G37,2-(1+INT(LOG10(ABS(G37)))))</f>
        <v>250</v>
      </c>
      <c r="H56" s="25" t="n">
        <f>ROUND(H37,2-(1+INT(LOG10(ABS(H37)))))</f>
        <v>780</v>
      </c>
    </row>
    <row r="57">
      <c r="B57" s="4" t="s">
        <v>24</v>
      </c>
      <c r="C57" s="23" t="n">
        <f>ROUND(C38,2-(1+INT(LOG10(ABS(C38)))))</f>
        <v>19000</v>
      </c>
      <c r="D57" s="23" t="n">
        <f>ROUND(D38,2-(1+INT(LOG10(ABS(D38)))))</f>
        <v>4600</v>
      </c>
      <c r="E57" s="83" t="n">
        <f>ROUND(E38,2-(1+INT(LOG10(ABS(E38)))))</f>
        <v>14000</v>
      </c>
      <c r="F57" s="23" t="n">
        <f>ROUND(F38,2-(1+INT(LOG10(ABS(F38)))))</f>
        <v>15000</v>
      </c>
      <c r="G57" s="23" t="n">
        <f>ROUND(G38,2-(1+INT(LOG10(ABS(G38)))))</f>
        <v>3300</v>
      </c>
      <c r="H57" s="23" t="n">
        <f>ROUND(H38,2-(1+INT(LOG10(ABS(H38)))))</f>
        <v>12000</v>
      </c>
    </row>
    <row r="58" ht="15" customHeight="1">
      <c r="B58" s="5" t="s">
        <v>25</v>
      </c>
      <c r="C58" s="65" t="n">
        <f>ROUND(C39,2-(1+INT(LOG10(ABS(C39)))))</f>
        <v>1800</v>
      </c>
      <c r="D58" s="65" t="n">
        <f>ROUND(D39,2-(1+INT(LOG10(ABS(D39)))))</f>
        <v>440</v>
      </c>
      <c r="E58" s="84" t="n">
        <f>ROUND(E39,2-(1+INT(LOG10(ABS(E39)))))</f>
        <v>1400</v>
      </c>
      <c r="F58" s="65" t="n">
        <f>ROUND(F39,2-(1+INT(LOG10(ABS(F39)))))</f>
        <v>1800</v>
      </c>
      <c r="G58" s="65" t="n">
        <f>ROUND(G39,2-(1+INT(LOG10(ABS(G39)))))</f>
        <v>390</v>
      </c>
      <c r="H58" s="65" t="n">
        <f>ROUND(H39,2-(1+INT(LOG10(ABS(H39)))))</f>
        <v>1400</v>
      </c>
    </row>
    <row r="59" ht="15" customHeight="1"/>
    <row r="60" ht="15" customHeight="1"/>
  </sheetData>
  <mergeCells count="4">
    <mergeCell ref="C23:E23"/>
    <mergeCell ref="F23:H23"/>
    <mergeCell ref="C42:E42"/>
    <mergeCell ref="F42:H42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2" max="2" width="34" hidden="0" customWidth="1"/>
    <col min="3" max="3" width="18.7109375" hidden="0" customWidth="1"/>
    <col min="4" max="4" width="20" hidden="0" customWidth="1"/>
    <col min="5" max="5" width="21.7109375" hidden="0" customWidth="1"/>
    <col min="8" max="8" width="38.5703125" hidden="0" customWidth="1"/>
    <col min="10" max="10" width="14.42578125" hidden="0" customWidth="1"/>
  </cols>
  <sheetData>
    <row r="2" ht="16.5" customHeight="1">
      <c r="B2" s="85" t="s">
        <v>89</v>
      </c>
      <c r="C2" s="85" t="s">
        <v>461</v>
      </c>
      <c r="H2" s="85" t="s">
        <v>89</v>
      </c>
      <c r="I2" s="85" t="s">
        <v>461</v>
      </c>
    </row>
    <row r="3" ht="15.75" customHeight="1">
      <c r="B3" s="19"/>
      <c r="C3" s="19" t="s">
        <v>137</v>
      </c>
      <c r="D3" s="19"/>
      <c r="E3" s="19"/>
      <c r="H3" s="19"/>
      <c r="I3" s="19" t="s">
        <v>137</v>
      </c>
      <c r="J3" s="19"/>
      <c r="K3" s="19"/>
    </row>
    <row r="4">
      <c r="B4" s="20"/>
      <c r="C4" s="88" t="s">
        <v>135</v>
      </c>
      <c r="D4" s="12" t="s">
        <v>136</v>
      </c>
      <c r="E4" s="88" t="s">
        <v>133</v>
      </c>
      <c r="H4" s="20"/>
      <c r="I4" s="88" t="s">
        <v>135</v>
      </c>
      <c r="J4" s="12" t="s">
        <v>134</v>
      </c>
      <c r="K4" s="88" t="s">
        <v>133</v>
      </c>
    </row>
    <row r="5">
      <c r="B5" s="4" t="s">
        <v>132</v>
      </c>
      <c r="C5" s="4"/>
      <c r="D5" s="4"/>
      <c r="E5" s="4"/>
      <c r="H5" s="4" t="s">
        <v>132</v>
      </c>
      <c r="I5" s="4"/>
      <c r="J5" s="4"/>
      <c r="K5" s="4"/>
    </row>
    <row r="6">
      <c r="B6" s="4" t="s">
        <v>34</v>
      </c>
      <c r="C6" s="10"/>
      <c r="D6" s="10"/>
      <c r="E6" s="10"/>
      <c r="H6" s="4" t="s">
        <v>34</v>
      </c>
      <c r="I6" s="10"/>
      <c r="J6" s="10"/>
      <c r="K6" s="10"/>
    </row>
    <row r="7">
      <c r="B7" s="86" t="s">
        <v>129</v>
      </c>
      <c r="C7" s="10" t="n">
        <f>-emissions_less!C6</f>
        <v>30223.6758876645</v>
      </c>
      <c r="D7" s="10" t="n">
        <f>-emissions!C6</f>
        <v>144749.704666198</v>
      </c>
      <c r="E7" s="10" t="n">
        <f xml:space="preserve"> -emissions_more!C6</f>
        <v>144856.39633378701</v>
      </c>
      <c r="H7" s="86" t="s">
        <v>129</v>
      </c>
      <c r="I7" s="3" t="n">
        <f t="shared" ref="I7:K8" si="0">ROUND(C7,2-(1+INT(LOG10(ABS(C7)))))</f>
        <v>30000</v>
      </c>
      <c r="J7" s="3" t="n">
        <f t="shared" si="0"/>
        <v>140000</v>
      </c>
      <c r="K7" s="3" t="n">
        <f t="shared" si="0"/>
        <v>140000</v>
      </c>
    </row>
    <row r="8">
      <c r="B8" s="66" t="s">
        <v>128</v>
      </c>
      <c r="C8" s="12" t="n">
        <f>-emissions_less!D6</f>
        <v>30314.5092231081</v>
      </c>
      <c r="D8" s="12" t="n">
        <f xml:space="preserve"> -emissions!D6</f>
        <v>61459.941762223803</v>
      </c>
      <c r="E8" s="12" t="n">
        <f>-emissions_more!D6</f>
        <v>61489.599346834497</v>
      </c>
      <c r="H8" s="66" t="s">
        <v>128</v>
      </c>
      <c r="I8" s="16" t="n">
        <f t="shared" si="0"/>
        <v>30000</v>
      </c>
      <c r="J8" s="16" t="n">
        <f t="shared" si="0"/>
        <v>61000</v>
      </c>
      <c r="K8" s="16" t="n">
        <f t="shared" si="0"/>
        <v>61000</v>
      </c>
    </row>
    <row r="9">
      <c r="B9" s="4" t="s">
        <v>127</v>
      </c>
      <c r="C9" s="62"/>
      <c r="D9" s="62"/>
      <c r="E9" s="62"/>
      <c r="H9" s="4" t="s">
        <v>127</v>
      </c>
      <c r="I9" s="62"/>
      <c r="J9" s="62"/>
      <c r="K9" s="62"/>
    </row>
    <row r="10">
      <c r="B10" s="86" t="s">
        <v>126</v>
      </c>
      <c r="C10" s="10" t="n">
        <f>cost_undisc_3_less!E5/1000000</f>
        <v>75.959084806799495</v>
      </c>
      <c r="D10" s="10" t="n">
        <f>cost_undisc_3!E5/1000000</f>
        <v>109.75883667488701</v>
      </c>
      <c r="E10" s="10" t="n">
        <f>cost_undisc_3_more!E5/1000000</f>
        <v>110.38548829255799</v>
      </c>
      <c r="H10" s="86" t="s">
        <v>126</v>
      </c>
      <c r="I10" s="26" t="n">
        <f t="shared" ref="I10:K11" si="1">ROUND(C10,2-(1+INT(LOG10(ABS(C10)))))</f>
        <v>76</v>
      </c>
      <c r="J10" s="26" t="n">
        <f t="shared" si="1"/>
        <v>110</v>
      </c>
      <c r="K10" s="26" t="n">
        <f t="shared" si="1"/>
        <v>110</v>
      </c>
    </row>
    <row r="11">
      <c r="B11" s="87" t="s">
        <v>125</v>
      </c>
      <c r="C11" s="21" t="n">
        <f xml:space="preserve"> cost_undisc_3_less!G5/1000000</f>
        <v>71.612431333026308</v>
      </c>
      <c r="D11" s="21" t="n">
        <f>cost_undisc_3!G5/1000000</f>
        <v>84.937236569956099</v>
      </c>
      <c r="E11" s="21" t="n">
        <f xml:space="preserve"> cost_undisc_3_more!G5/1000000</f>
        <v>85.544764767356398</v>
      </c>
      <c r="H11" s="87" t="s">
        <v>125</v>
      </c>
      <c r="I11" s="26" t="n">
        <f t="shared" si="1"/>
        <v>72</v>
      </c>
      <c r="J11" s="26" t="n">
        <f t="shared" si="1"/>
        <v>85</v>
      </c>
      <c r="K11" s="26" t="n">
        <f t="shared" si="1"/>
        <v>86</v>
      </c>
    </row>
    <row r="12">
      <c r="B12" s="19" t="s">
        <v>131</v>
      </c>
      <c r="C12" s="19"/>
      <c r="D12" s="19"/>
      <c r="E12" s="19"/>
      <c r="H12" s="19" t="s">
        <v>131</v>
      </c>
      <c r="I12" s="19"/>
      <c r="J12" s="19"/>
      <c r="K12" s="19"/>
    </row>
    <row r="13">
      <c r="B13" s="4" t="s">
        <v>34</v>
      </c>
      <c r="C13" s="10"/>
      <c r="D13" s="10"/>
      <c r="E13" s="10"/>
      <c r="H13" s="4" t="s">
        <v>34</v>
      </c>
      <c r="I13" s="10"/>
      <c r="J13" s="10"/>
      <c r="K13" s="10"/>
    </row>
    <row r="14">
      <c r="B14" s="86" t="s">
        <v>129</v>
      </c>
      <c r="C14" s="10" t="n">
        <f>-emissions_less!$C$9</f>
        <v>1264101.1656034801</v>
      </c>
      <c r="D14" s="10" t="n">
        <f>-emissions!C9</f>
        <v>3474045.0513627399</v>
      </c>
      <c r="E14" s="10" t="n">
        <f>-emissions_more!C9</f>
        <v>3497194.1615191498</v>
      </c>
      <c r="H14" s="86" t="s">
        <v>129</v>
      </c>
      <c r="I14" s="3" t="n">
        <f t="shared" ref="I14:K15" si="2">ROUND(C14,2-(1+INT(LOG10(ABS(C14)))))</f>
        <v>1300000</v>
      </c>
      <c r="J14" s="3" t="n">
        <f t="shared" si="2"/>
        <v>3500000</v>
      </c>
      <c r="K14" s="3" t="n">
        <f t="shared" si="2"/>
        <v>3500000</v>
      </c>
    </row>
    <row r="15">
      <c r="B15" s="66" t="s">
        <v>128</v>
      </c>
      <c r="C15" s="12" t="n">
        <f xml:space="preserve"> -emissions_less!$D$9</f>
        <v>317711.14339855401</v>
      </c>
      <c r="D15" s="12" t="n">
        <f>-emissions!D9</f>
        <v>920986.15536067495</v>
      </c>
      <c r="E15" s="12" t="n">
        <f xml:space="preserve"> -emissions_more!D9</f>
        <v>927421.02238111896</v>
      </c>
      <c r="H15" s="66" t="s">
        <v>128</v>
      </c>
      <c r="I15" s="3" t="n">
        <f t="shared" si="2"/>
        <v>320000</v>
      </c>
      <c r="J15" s="3" t="n">
        <f t="shared" si="2"/>
        <v>920000</v>
      </c>
      <c r="K15" s="3" t="n">
        <f t="shared" si="2"/>
        <v>930000</v>
      </c>
    </row>
    <row r="16">
      <c r="B16" s="4" t="s">
        <v>127</v>
      </c>
      <c r="C16" s="17"/>
      <c r="D16" s="17"/>
      <c r="E16" s="17"/>
      <c r="H16" s="4" t="s">
        <v>127</v>
      </c>
      <c r="I16" s="17"/>
      <c r="J16" s="17"/>
      <c r="K16" s="17"/>
    </row>
    <row r="17">
      <c r="B17" s="86" t="s">
        <v>126</v>
      </c>
      <c r="C17" s="10" t="n">
        <f xml:space="preserve"> cost_undisc_3_less!E8/1000000</f>
        <v>1158.52558434458</v>
      </c>
      <c r="D17" s="10" t="n">
        <f>cost_undisc_3!E8/1000000</f>
        <v>2502.4619109545201</v>
      </c>
      <c r="E17" s="10" t="n">
        <f xml:space="preserve"> cost_undisc_3_more!E8/ 1000000</f>
        <v>2583.4589084239401</v>
      </c>
      <c r="H17" s="86" t="s">
        <v>126</v>
      </c>
      <c r="I17" s="23" t="n">
        <f t="shared" ref="I17:K18" si="3">ROUND(C17,2-(1+INT(LOG10(ABS(C17)))))</f>
        <v>1200</v>
      </c>
      <c r="J17" s="23" t="n">
        <f t="shared" si="3"/>
        <v>2500</v>
      </c>
      <c r="K17" s="23" t="n">
        <f t="shared" si="3"/>
        <v>2600</v>
      </c>
    </row>
    <row r="18">
      <c r="B18" s="87" t="s">
        <v>125</v>
      </c>
      <c r="C18" s="21" t="n">
        <f>cost_undisc_3_less!G8/1000000</f>
        <v>973.21337318300493</v>
      </c>
      <c r="D18" s="21" t="n">
        <f>cost_undisc_3!G8/1000000</f>
        <v>1980.1660311119201</v>
      </c>
      <c r="E18" s="21" t="n">
        <f>cost_undisc_3_more!G8/1000000</f>
        <v>2057.6256051919399</v>
      </c>
      <c r="H18" s="87" t="s">
        <v>125</v>
      </c>
      <c r="I18" s="23" t="n">
        <f t="shared" si="3"/>
        <v>970</v>
      </c>
      <c r="J18" s="23" t="n">
        <f t="shared" si="3"/>
        <v>2000</v>
      </c>
      <c r="K18" s="23" t="n">
        <f t="shared" si="3"/>
        <v>2100</v>
      </c>
    </row>
    <row r="19">
      <c r="B19" s="19" t="s">
        <v>130</v>
      </c>
      <c r="C19" s="19"/>
      <c r="D19" s="19"/>
      <c r="E19" s="19"/>
      <c r="H19" s="19" t="s">
        <v>130</v>
      </c>
      <c r="I19" s="19"/>
      <c r="J19" s="19"/>
      <c r="K19" s="19"/>
    </row>
    <row r="20">
      <c r="B20" s="4" t="s">
        <v>34</v>
      </c>
      <c r="C20" s="10"/>
      <c r="D20" s="10"/>
      <c r="E20" s="10"/>
      <c r="H20" s="4" t="s">
        <v>34</v>
      </c>
      <c r="I20" s="10"/>
      <c r="J20" s="10"/>
      <c r="K20" s="10"/>
    </row>
    <row r="21">
      <c r="B21" s="86" t="s">
        <v>129</v>
      </c>
      <c r="C21" s="10" t="n">
        <f>-emissions_less!$C$18</f>
        <v>1211246.9471156499</v>
      </c>
      <c r="D21" s="10" t="n">
        <f>-emissions!C18</f>
        <v>3528938.66855611</v>
      </c>
      <c r="E21" s="10" t="n">
        <f>-emissions_more!C18</f>
        <v>3545888.9484384698</v>
      </c>
      <c r="H21" s="86" t="s">
        <v>129</v>
      </c>
      <c r="I21" s="3" t="n">
        <f t="shared" ref="I21:K22" si="4">ROUND(C21,2-(1+INT(LOG10(ABS(C21)))))</f>
        <v>1200000</v>
      </c>
      <c r="J21" s="3" t="n">
        <f t="shared" si="4"/>
        <v>3500000</v>
      </c>
      <c r="K21" s="3" t="n">
        <f t="shared" si="4"/>
        <v>3500000</v>
      </c>
    </row>
    <row r="22">
      <c r="B22" s="66" t="s">
        <v>128</v>
      </c>
      <c r="C22" s="12" t="n">
        <f>-emissions_less!$D$18</f>
        <v>329932.26106707501</v>
      </c>
      <c r="D22" s="12" t="n">
        <f>-emissions!D18</f>
        <v>960561.36206828197</v>
      </c>
      <c r="E22" s="12" t="n">
        <f>-emissions_more!D18</f>
        <v>965273.11108434899</v>
      </c>
      <c r="H22" s="66" t="s">
        <v>128</v>
      </c>
      <c r="I22" s="16" t="n">
        <f t="shared" si="4"/>
        <v>330000</v>
      </c>
      <c r="J22" s="16" t="n">
        <f t="shared" si="4"/>
        <v>960000</v>
      </c>
      <c r="K22" s="16" t="n">
        <f t="shared" si="4"/>
        <v>970000</v>
      </c>
    </row>
    <row r="23">
      <c r="B23" s="4" t="s">
        <v>127</v>
      </c>
      <c r="C23" s="10"/>
      <c r="D23" s="10"/>
      <c r="E23" s="10"/>
      <c r="H23" s="4" t="s">
        <v>127</v>
      </c>
      <c r="I23" s="10"/>
      <c r="J23" s="10"/>
      <c r="K23" s="10"/>
    </row>
    <row r="24">
      <c r="B24" s="86" t="s">
        <v>126</v>
      </c>
      <c r="C24" s="10" t="n">
        <f xml:space="preserve"> cost_undisc_3_less!E17/1000000</f>
        <v>1340.1304090044898</v>
      </c>
      <c r="D24" s="10" t="n">
        <f>cost_undisc_3!E17/1000000</f>
        <v>2422.6558937292898</v>
      </c>
      <c r="E24" s="10" t="n">
        <f xml:space="preserve"> cost_undisc_3_more!E17/1000000</f>
        <v>2483.5856793217604</v>
      </c>
      <c r="H24" s="86" t="s">
        <v>126</v>
      </c>
      <c r="I24" s="23" t="n">
        <f t="shared" ref="I24:K25" si="5">ROUND(C24,2-(1+INT(LOG10(ABS(C24)))))</f>
        <v>1300</v>
      </c>
      <c r="J24" s="23" t="n">
        <f t="shared" si="5"/>
        <v>2400</v>
      </c>
      <c r="K24" s="23" t="n">
        <f t="shared" si="5"/>
        <v>2500</v>
      </c>
    </row>
    <row r="25">
      <c r="B25" s="87" t="s">
        <v>125</v>
      </c>
      <c r="C25" s="21" t="n">
        <f>cost_undisc_3_less!G17/1000000</f>
        <v>1124.8733051853399</v>
      </c>
      <c r="D25" s="21" t="n">
        <f xml:space="preserve"> cost_undisc_3!G17/1000000</f>
        <v>1775.8544324076599</v>
      </c>
      <c r="E25" s="21" t="n">
        <f xml:space="preserve"> cost_undisc_3_more!G17/1000000</f>
        <v>1833.62021698085</v>
      </c>
      <c r="H25" s="87" t="s">
        <v>125</v>
      </c>
      <c r="I25" s="65" t="n">
        <f t="shared" si="5"/>
        <v>1100</v>
      </c>
      <c r="J25" s="65" t="n">
        <f t="shared" si="5"/>
        <v>1800</v>
      </c>
      <c r="K25" s="65" t="n">
        <f t="shared" si="5"/>
        <v>1800</v>
      </c>
    </row>
    <row r="26" ht="15" customHeight="1"/>
  </sheetData>
  <mergeCells count="10">
    <mergeCell ref="B12:E12"/>
    <mergeCell ref="H12:K12"/>
    <mergeCell ref="B19:E19"/>
    <mergeCell ref="H19:K19"/>
    <mergeCell ref="B3:B4"/>
    <mergeCell ref="C3:E3"/>
    <mergeCell ref="H3:H4"/>
    <mergeCell ref="I3:K3"/>
    <mergeCell ref="B5:E5"/>
    <mergeCell ref="H5:K5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 ht="18.600000000000001" customHeight="1">
      <c r="B2" s="1" t="s">
        <v>118</v>
      </c>
      <c r="C2" s="1" t="s">
        <v>457</v>
      </c>
    </row>
    <row r="3" ht="15.6" customHeight="1">
      <c r="B3" s="96"/>
      <c r="C3" s="93" t="s">
        <v>119</v>
      </c>
      <c r="D3" s="93"/>
      <c r="E3" s="93"/>
      <c r="F3" s="93"/>
    </row>
    <row r="4">
      <c r="B4" s="4" t="s">
        <v>63</v>
      </c>
      <c r="C4" s="94" t="n">
        <v>0.05</v>
      </c>
      <c r="D4" s="89" t="n">
        <v>0.03</v>
      </c>
      <c r="E4" s="90" t="n">
        <v>2.5000000000000001E-2</v>
      </c>
      <c r="F4" s="89" t="n">
        <v>0.03</v>
      </c>
    </row>
    <row r="5" ht="42.6" customHeight="1">
      <c r="B5" s="91"/>
      <c r="C5" s="20" t="s">
        <v>120</v>
      </c>
      <c r="D5" s="20" t="s">
        <v>120</v>
      </c>
      <c r="E5" s="20" t="s">
        <v>120</v>
      </c>
      <c r="F5" s="20" t="s">
        <v>458</v>
      </c>
    </row>
    <row r="6">
      <c r="B6" s="4" t="n">
        <v>2023</v>
      </c>
      <c r="C6" s="95" t="n">
        <f>ROUND('SC-GHG'!G6/'BEA GDP Deflator'!$D$14,2-(1+INT(LOG10(ABS('SC-GHG'!G6/'BEA GDP Deflator'!$D$14)))))</f>
        <v>740</v>
      </c>
      <c r="D6" s="95" t="n">
        <f>ROUND('SC-GHG'!H6/'BEA GDP Deflator'!$D$14,2-(1+INT(LOG10(ABS('SC-GHG'!H6/'BEA GDP Deflator'!$D$14)))))</f>
        <v>1600</v>
      </c>
      <c r="E6" s="95" t="n">
        <f>ROUND('SC-GHG'!I6/'BEA GDP Deflator'!$D$14,2-(1+INT(LOG10(ABS('SC-GHG'!I6/'BEA GDP Deflator'!$D$14)))))</f>
        <v>2100</v>
      </c>
      <c r="F6" s="95" t="n">
        <f>ROUND('SC-GHG'!J6/'BEA GDP Deflator'!$D$14,2-(1+INT(LOG10(ABS('SC-GHG'!J6/'BEA GDP Deflator'!$D$14)))))</f>
        <v>4200</v>
      </c>
    </row>
    <row r="7">
      <c r="B7" s="4" t="n">
        <v>2024</v>
      </c>
      <c r="C7" s="95" t="n">
        <f>ROUND('SC-GHG'!G7/'BEA GDP Deflator'!$D$14,2-(1+INT(LOG10(ABS('SC-GHG'!G7/'BEA GDP Deflator'!$D$14)))))</f>
        <v>770</v>
      </c>
      <c r="D7" s="95" t="n">
        <f>ROUND('SC-GHG'!H7/'BEA GDP Deflator'!$D$14,2-(1+INT(LOG10(ABS('SC-GHG'!H7/'BEA GDP Deflator'!$D$14)))))</f>
        <v>1700</v>
      </c>
      <c r="E7" s="95" t="n">
        <f>ROUND('SC-GHG'!I7/'BEA GDP Deflator'!$D$14,2-(1+INT(LOG10(ABS('SC-GHG'!I7/'BEA GDP Deflator'!$D$14)))))</f>
        <v>2100</v>
      </c>
      <c r="F7" s="95" t="n">
        <f>ROUND('SC-GHG'!J7/'BEA GDP Deflator'!$D$14,2-(1+INT(LOG10(ABS('SC-GHG'!J7/'BEA GDP Deflator'!$D$14)))))</f>
        <v>4400</v>
      </c>
    </row>
    <row r="8">
      <c r="B8" s="4" t="n">
        <v>2025</v>
      </c>
      <c r="C8" s="95" t="n">
        <f>ROUND('SC-GHG'!G8/'BEA GDP Deflator'!$D$14,2-(1+INT(LOG10(ABS('SC-GHG'!G8/'BEA GDP Deflator'!$D$14)))))</f>
        <v>790</v>
      </c>
      <c r="D8" s="95" t="n">
        <f>ROUND('SC-GHG'!H8/'BEA GDP Deflator'!$D$14,2-(1+INT(LOG10(ABS('SC-GHG'!H8/'BEA GDP Deflator'!$D$14)))))</f>
        <v>1700</v>
      </c>
      <c r="E8" s="95" t="n">
        <f>ROUND('SC-GHG'!I8/'BEA GDP Deflator'!$D$14,2-(1+INT(LOG10(ABS('SC-GHG'!I8/'BEA GDP Deflator'!$D$14)))))</f>
        <v>2200</v>
      </c>
      <c r="F8" s="95" t="n">
        <f>ROUND('SC-GHG'!J8/'BEA GDP Deflator'!$D$14,2-(1+INT(LOG10(ABS('SC-GHG'!J8/'BEA GDP Deflator'!$D$14)))))</f>
        <v>4500</v>
      </c>
    </row>
    <row r="9">
      <c r="B9" s="4" t="n">
        <v>2026</v>
      </c>
      <c r="C9" s="95" t="n">
        <f>ROUND('SC-GHG'!G9/'BEA GDP Deflator'!$D$14,2-(1+INT(LOG10(ABS('SC-GHG'!G9/'BEA GDP Deflator'!$D$14)))))</f>
        <v>820</v>
      </c>
      <c r="D9" s="95" t="n">
        <f>ROUND('SC-GHG'!H9/'BEA GDP Deflator'!$D$14,2-(1+INT(LOG10(ABS('SC-GHG'!H9/'BEA GDP Deflator'!$D$14)))))</f>
        <v>1700</v>
      </c>
      <c r="E9" s="95" t="n">
        <f>ROUND('SC-GHG'!I9/'BEA GDP Deflator'!$D$14,2-(1+INT(LOG10(ABS('SC-GHG'!I9/'BEA GDP Deflator'!$D$14)))))</f>
        <v>2300</v>
      </c>
      <c r="F9" s="95" t="n">
        <f>ROUND('SC-GHG'!J9/'BEA GDP Deflator'!$D$14,2-(1+INT(LOG10(ABS('SC-GHG'!J9/'BEA GDP Deflator'!$D$14)))))</f>
        <v>4600</v>
      </c>
    </row>
    <row r="10">
      <c r="B10" s="4" t="n">
        <v>2027</v>
      </c>
      <c r="C10" s="95" t="n">
        <f>ROUND('SC-GHG'!G10/'BEA GDP Deflator'!$D$14,2-(1+INT(LOG10(ABS('SC-GHG'!G10/'BEA GDP Deflator'!$D$14)))))</f>
        <v>850</v>
      </c>
      <c r="D10" s="95" t="n">
        <f>ROUND('SC-GHG'!H10/'BEA GDP Deflator'!$D$14,2-(1+INT(LOG10(ABS('SC-GHG'!H10/'BEA GDP Deflator'!$D$14)))))</f>
        <v>1800</v>
      </c>
      <c r="E10" s="95" t="n">
        <f>ROUND('SC-GHG'!I10/'BEA GDP Deflator'!$D$14,2-(1+INT(LOG10(ABS('SC-GHG'!I10/'BEA GDP Deflator'!$D$14)))))</f>
        <v>2300</v>
      </c>
      <c r="F10" s="95" t="n">
        <f>ROUND('SC-GHG'!J10/'BEA GDP Deflator'!$D$14,2-(1+INT(LOG10(ABS('SC-GHG'!J10/'BEA GDP Deflator'!$D$14)))))</f>
        <v>4700</v>
      </c>
    </row>
    <row r="11">
      <c r="B11" s="4" t="n">
        <v>2028</v>
      </c>
      <c r="C11" s="95" t="n">
        <f>ROUND('SC-GHG'!G11/'BEA GDP Deflator'!$D$14,2-(1+INT(LOG10(ABS('SC-GHG'!G11/'BEA GDP Deflator'!$D$14)))))</f>
        <v>870</v>
      </c>
      <c r="D11" s="95" t="n">
        <f>ROUND('SC-GHG'!H11/'BEA GDP Deflator'!$D$14,2-(1+INT(LOG10(ABS('SC-GHG'!H11/'BEA GDP Deflator'!$D$14)))))</f>
        <v>1800</v>
      </c>
      <c r="E11" s="95" t="n">
        <f>ROUND('SC-GHG'!I11/'BEA GDP Deflator'!$D$14,2-(1+INT(LOG10(ABS('SC-GHG'!I11/'BEA GDP Deflator'!$D$14)))))</f>
        <v>2400</v>
      </c>
      <c r="F11" s="95" t="n">
        <f>ROUND('SC-GHG'!J11/'BEA GDP Deflator'!$D$14,2-(1+INT(LOG10(ABS('SC-GHG'!J11/'BEA GDP Deflator'!$D$14)))))</f>
        <v>4900</v>
      </c>
    </row>
    <row r="12">
      <c r="B12" s="4" t="n">
        <v>2029</v>
      </c>
      <c r="C12" s="95" t="n">
        <f>ROUND('SC-GHG'!G12/'BEA GDP Deflator'!$D$14,2-(1+INT(LOG10(ABS('SC-GHG'!G12/'BEA GDP Deflator'!$D$14)))))</f>
        <v>900</v>
      </c>
      <c r="D12" s="95" t="n">
        <f>ROUND('SC-GHG'!H12/'BEA GDP Deflator'!$D$14,2-(1+INT(LOG10(ABS('SC-GHG'!H12/'BEA GDP Deflator'!$D$14)))))</f>
        <v>1900</v>
      </c>
      <c r="E12" s="95" t="n">
        <f>ROUND('SC-GHG'!I12/'BEA GDP Deflator'!$D$14,2-(1+INT(LOG10(ABS('SC-GHG'!I12/'BEA GDP Deflator'!$D$14)))))</f>
        <v>2400</v>
      </c>
      <c r="F12" s="95" t="n">
        <f>ROUND('SC-GHG'!J12/'BEA GDP Deflator'!$D$14,2-(1+INT(LOG10(ABS('SC-GHG'!J12/'BEA GDP Deflator'!$D$14)))))</f>
        <v>5000</v>
      </c>
    </row>
    <row r="13">
      <c r="B13" s="4" t="n">
        <v>2030</v>
      </c>
      <c r="C13" s="95" t="n">
        <f>ROUND('SC-GHG'!G13/'BEA GDP Deflator'!$D$14,2-(1+INT(LOG10(ABS('SC-GHG'!G13/'BEA GDP Deflator'!$D$14)))))</f>
        <v>930</v>
      </c>
      <c r="D13" s="95" t="n">
        <f>ROUND('SC-GHG'!H13/'BEA GDP Deflator'!$D$14,2-(1+INT(LOG10(ABS('SC-GHG'!H13/'BEA GDP Deflator'!$D$14)))))</f>
        <v>1900</v>
      </c>
      <c r="E13" s="95" t="n">
        <f>ROUND('SC-GHG'!I13/'BEA GDP Deflator'!$D$14,2-(1+INT(LOG10(ABS('SC-GHG'!I13/'BEA GDP Deflator'!$D$14)))))</f>
        <v>2500</v>
      </c>
      <c r="F13" s="95" t="n">
        <f>ROUND('SC-GHG'!J13/'BEA GDP Deflator'!$D$14,2-(1+INT(LOG10(ABS('SC-GHG'!J13/'BEA GDP Deflator'!$D$14)))))</f>
        <v>5100</v>
      </c>
    </row>
    <row r="14">
      <c r="B14" s="4" t="n">
        <v>2031</v>
      </c>
      <c r="C14" s="95" t="n">
        <f>ROUND('SC-GHG'!G14/'BEA GDP Deflator'!$D$14,2-(1+INT(LOG10(ABS('SC-GHG'!G14/'BEA GDP Deflator'!$D$14)))))</f>
        <v>960</v>
      </c>
      <c r="D14" s="95" t="n">
        <f>ROUND('SC-GHG'!H14/'BEA GDP Deflator'!$D$14,2-(1+INT(LOG10(ABS('SC-GHG'!H14/'BEA GDP Deflator'!$D$14)))))</f>
        <v>2000</v>
      </c>
      <c r="E14" s="95" t="n">
        <f>ROUND('SC-GHG'!I14/'BEA GDP Deflator'!$D$14,2-(1+INT(LOG10(ABS('SC-GHG'!I14/'BEA GDP Deflator'!$D$14)))))</f>
        <v>2500</v>
      </c>
      <c r="F14" s="95" t="n">
        <f>ROUND('SC-GHG'!J14/'BEA GDP Deflator'!$D$14,2-(1+INT(LOG10(ABS('SC-GHG'!J14/'BEA GDP Deflator'!$D$14)))))</f>
        <v>5300</v>
      </c>
    </row>
    <row r="15">
      <c r="B15" s="4" t="n">
        <v>2032</v>
      </c>
      <c r="C15" s="95" t="n">
        <f>ROUND('SC-GHG'!G15/'BEA GDP Deflator'!$D$14,2-(1+INT(LOG10(ABS('SC-GHG'!G15/'BEA GDP Deflator'!$D$14)))))</f>
        <v>990</v>
      </c>
      <c r="D15" s="95" t="n">
        <f>ROUND('SC-GHG'!H15/'BEA GDP Deflator'!$D$14,2-(1+INT(LOG10(ABS('SC-GHG'!H15/'BEA GDP Deflator'!$D$14)))))</f>
        <v>2000</v>
      </c>
      <c r="E15" s="95" t="n">
        <f>ROUND('SC-GHG'!I15/'BEA GDP Deflator'!$D$14,2-(1+INT(LOG10(ABS('SC-GHG'!I15/'BEA GDP Deflator'!$D$14)))))</f>
        <v>2600</v>
      </c>
      <c r="F15" s="95" t="n">
        <f>ROUND('SC-GHG'!J15/'BEA GDP Deflator'!$D$14,2-(1+INT(LOG10(ABS('SC-GHG'!J15/'BEA GDP Deflator'!$D$14)))))</f>
        <v>5400</v>
      </c>
    </row>
    <row r="16">
      <c r="B16" s="4" t="n">
        <v>2033</v>
      </c>
      <c r="C16" s="95" t="n">
        <f>ROUND('SC-GHG'!G16/'BEA GDP Deflator'!$D$14,2-(1+INT(LOG10(ABS('SC-GHG'!G16/'BEA GDP Deflator'!$D$14)))))</f>
        <v>1000</v>
      </c>
      <c r="D16" s="95" t="n">
        <f>ROUND('SC-GHG'!H16/'BEA GDP Deflator'!$D$14,2-(1+INT(LOG10(ABS('SC-GHG'!H16/'BEA GDP Deflator'!$D$14)))))</f>
        <v>2100</v>
      </c>
      <c r="E16" s="95" t="n">
        <f>ROUND('SC-GHG'!I16/'BEA GDP Deflator'!$D$14,2-(1+INT(LOG10(ABS('SC-GHG'!I16/'BEA GDP Deflator'!$D$14)))))</f>
        <v>2700</v>
      </c>
      <c r="F16" s="95" t="n">
        <f>ROUND('SC-GHG'!J16/'BEA GDP Deflator'!$D$14,2-(1+INT(LOG10(ABS('SC-GHG'!J16/'BEA GDP Deflator'!$D$14)))))</f>
        <v>5600</v>
      </c>
    </row>
    <row r="17">
      <c r="B17" s="4" t="n">
        <v>2034</v>
      </c>
      <c r="C17" s="95" t="n">
        <f>ROUND('SC-GHG'!G17/'BEA GDP Deflator'!$D$14,2-(1+INT(LOG10(ABS('SC-GHG'!G17/'BEA GDP Deflator'!$D$14)))))</f>
        <v>1100</v>
      </c>
      <c r="D17" s="95" t="n">
        <f>ROUND('SC-GHG'!H17/'BEA GDP Deflator'!$D$14,2-(1+INT(LOG10(ABS('SC-GHG'!H17/'BEA GDP Deflator'!$D$14)))))</f>
        <v>2200</v>
      </c>
      <c r="E17" s="95" t="n">
        <f>ROUND('SC-GHG'!I17/'BEA GDP Deflator'!$D$14,2-(1+INT(LOG10(ABS('SC-GHG'!I17/'BEA GDP Deflator'!$D$14)))))</f>
        <v>2700</v>
      </c>
      <c r="F17" s="95" t="n">
        <f>ROUND('SC-GHG'!J17/'BEA GDP Deflator'!$D$14,2-(1+INT(LOG10(ABS('SC-GHG'!J17/'BEA GDP Deflator'!$D$14)))))</f>
        <v>5700</v>
      </c>
    </row>
    <row r="18">
      <c r="B18" s="54" t="n">
        <v>2035</v>
      </c>
      <c r="C18" s="92" t="n">
        <f>ROUND('SC-GHG'!G18/'BEA GDP Deflator'!$D$14,2-(1+INT(LOG10(ABS('SC-GHG'!G18/'BEA GDP Deflator'!$D$14)))))</f>
        <v>1100</v>
      </c>
      <c r="D18" s="92" t="n">
        <f>ROUND('SC-GHG'!H18/'BEA GDP Deflator'!$D$14,2-(1+INT(LOG10(ABS('SC-GHG'!H18/'BEA GDP Deflator'!$D$14)))))</f>
        <v>2200</v>
      </c>
      <c r="E18" s="92" t="n">
        <f>ROUND('SC-GHG'!I18/'BEA GDP Deflator'!$D$14,2-(1+INT(LOG10(ABS('SC-GHG'!I18/'BEA GDP Deflator'!$D$14)))))</f>
        <v>2800</v>
      </c>
      <c r="F18" s="92" t="n">
        <f>ROUND('SC-GHG'!J18/'BEA GDP Deflator'!$D$14,2-(1+INT(LOG10(ABS('SC-GHG'!J18/'BEA GDP Deflator'!$D$14)))))</f>
        <v>5900</v>
      </c>
    </row>
  </sheetData>
  <mergeCells count="1">
    <mergeCell ref="C3:F3"/>
  </mergeCell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6" max="6" width="18.7109375" hidden="0" customWidth="1"/>
  </cols>
  <sheetData>
    <row r="2">
      <c r="B2" t="str">
        <f>cb_undisc!B2</f>
        <v>year</v>
      </c>
      <c r="C2" t="str">
        <f>cb_undisc!C2</f>
        <v>5.0%_CH4_undisc</v>
      </c>
      <c r="D2" t="str">
        <f>cb_undisc!D2</f>
        <v>3.0%_CH4_undisc</v>
      </c>
      <c r="E2" t="str">
        <f>cb_undisc!E2</f>
        <v>2.5%_CH4_undisc</v>
      </c>
      <c r="F2" t="str">
        <f>cb_undisc!F2</f>
        <v>3% 95th Pct._CH4_undisc</v>
      </c>
    </row>
    <row r="3">
      <c r="B3" t="str">
        <f>cb_undisc!B3</f>
        <v>2023</v>
      </c>
      <c r="C3" t="n">
        <f>cb_undisc!C3</f>
        <v>96.972244811092395</v>
      </c>
      <c r="D3" t="n">
        <f>cb_undisc!D3</f>
        <v>210.95968176113101</v>
      </c>
      <c r="E3" t="n">
        <f>cb_undisc!E3</f>
        <v>275.00960968034099</v>
      </c>
      <c r="F3" t="n">
        <f>cb_undisc!F3</f>
        <v>556.83565028855605</v>
      </c>
    </row>
    <row r="4">
      <c r="B4" t="str">
        <f>cb_undisc!B4</f>
        <v>2024</v>
      </c>
      <c r="C4" t="n">
        <f>cb_undisc!C4</f>
        <v>154.31468244526101</v>
      </c>
      <c r="D4" t="n">
        <f>cb_undisc!D4</f>
        <v>333.25600440335103</v>
      </c>
      <c r="E4" t="n">
        <f>cb_undisc!E4</f>
        <v>433.29155489309801</v>
      </c>
      <c r="F4" t="n">
        <f>cb_undisc!F4</f>
        <v>880.54086838078604</v>
      </c>
    </row>
    <row r="5">
      <c r="B5" t="str">
        <f>cb_undisc!B5</f>
        <v>2025</v>
      </c>
      <c r="C5" t="n">
        <f>cb_undisc!C5</f>
        <v>218.48063077631701</v>
      </c>
      <c r="D5" t="n">
        <f>cb_undisc!D5</f>
        <v>468.59465114525199</v>
      </c>
      <c r="E5" t="n">
        <f>cb_undisc!E5</f>
        <v>607.73350056221796</v>
      </c>
      <c r="F5" t="n">
        <f>cb_undisc!F5</f>
        <v>1239.33318595783</v>
      </c>
    </row>
    <row r="6">
      <c r="B6" t="str">
        <f>cb_undisc!B6</f>
        <v>2026</v>
      </c>
      <c r="C6" t="n">
        <f>cb_undisc!C6</f>
        <v>2581.7464887359502</v>
      </c>
      <c r="D6" t="n">
        <f>cb_undisc!D6</f>
        <v>5501.6013299306496</v>
      </c>
      <c r="E6" t="n">
        <f>cb_undisc!E6</f>
        <v>7118.26217431433</v>
      </c>
      <c r="F6" t="n">
        <f>cb_undisc!F6</f>
        <v>14563.861190231701</v>
      </c>
    </row>
    <row r="7">
      <c r="B7" t="str">
        <f>cb_undisc!B7</f>
        <v>2027</v>
      </c>
      <c r="C7" t="n">
        <f>cb_undisc!C7</f>
        <v>2669.4928432793699</v>
      </c>
      <c r="D7" t="n">
        <f>cb_undisc!D7</f>
        <v>5654.0249480228204</v>
      </c>
      <c r="E7" t="n">
        <f>cb_undisc!E7</f>
        <v>7298.9816190439797</v>
      </c>
      <c r="F7" t="n">
        <f>cb_undisc!F7</f>
        <v>14980.306270921599</v>
      </c>
    </row>
    <row r="8">
      <c r="B8" t="str">
        <f>cb_undisc!B8</f>
        <v>2028</v>
      </c>
      <c r="C8" t="n">
        <f>cb_undisc!C8</f>
        <v>2759.6450542899802</v>
      </c>
      <c r="D8" t="n">
        <f>cb_undisc!D8</f>
        <v>5811.4400863484198</v>
      </c>
      <c r="E8" t="n">
        <f>cb_undisc!E8</f>
        <v>7486.1003310770002</v>
      </c>
      <c r="F8" t="n">
        <f>cb_undisc!F8</f>
        <v>15410.0227020941</v>
      </c>
    </row>
    <row r="9">
      <c r="B9" t="str">
        <f>cb_undisc!B9</f>
        <v>2029</v>
      </c>
      <c r="C9" t="n">
        <f>cb_undisc!C9</f>
        <v>2849.7330501578599</v>
      </c>
      <c r="D9" t="n">
        <f>cb_undisc!D9</f>
        <v>5968.6004278954497</v>
      </c>
      <c r="E9" t="n">
        <f>cb_undisc!E9</f>
        <v>7672.8330972700096</v>
      </c>
      <c r="F9" t="n">
        <f>cb_undisc!F9</f>
        <v>15839.1088538976</v>
      </c>
    </row>
    <row r="10">
      <c r="B10" t="str">
        <f>cb_undisc!B10</f>
        <v>2030</v>
      </c>
      <c r="C10" t="n">
        <f>cb_undisc!C10</f>
        <v>2939.6898913790901</v>
      </c>
      <c r="D10" t="n">
        <f>cb_undisc!D10</f>
        <v>6125.3790417545197</v>
      </c>
      <c r="E10" t="n">
        <f>cb_undisc!E10</f>
        <v>7859.0263192469201</v>
      </c>
      <c r="F10" t="n">
        <f>cb_undisc!F10</f>
        <v>16267.2228234412</v>
      </c>
    </row>
    <row r="11">
      <c r="B11" t="str">
        <f>cb_undisc!B11</f>
        <v>2031</v>
      </c>
      <c r="C11" t="n">
        <f>cb_undisc!C11</f>
        <v>3051.9889100290802</v>
      </c>
      <c r="D11" t="n">
        <f>cb_undisc!D11</f>
        <v>6308.3550340259399</v>
      </c>
      <c r="E11" t="n">
        <f>cb_undisc!E11</f>
        <v>8071.3431268026197</v>
      </c>
      <c r="F11" t="n">
        <f>cb_undisc!F11</f>
        <v>16774.239277527398</v>
      </c>
    </row>
    <row r="12">
      <c r="B12" t="str">
        <f>cb_undisc!B12</f>
        <v>2032</v>
      </c>
      <c r="C12" t="n">
        <f>cb_undisc!C12</f>
        <v>3165.0555772985699</v>
      </c>
      <c r="D12" t="n">
        <f>cb_undisc!D12</f>
        <v>6492.7636559576104</v>
      </c>
      <c r="E12" t="n">
        <f>cb_undisc!E12</f>
        <v>8285.4277493981899</v>
      </c>
      <c r="F12" t="n">
        <f>cb_undisc!F12</f>
        <v>17285.132502171</v>
      </c>
    </row>
    <row r="13">
      <c r="B13" t="str">
        <f>cb_undisc!B13</f>
        <v>2033</v>
      </c>
      <c r="C13" t="n">
        <f>cb_undisc!C13</f>
        <v>3279.6246320219402</v>
      </c>
      <c r="D13" t="n">
        <f>cb_undisc!D13</f>
        <v>6680.08203304371</v>
      </c>
      <c r="E13" t="n">
        <f>cb_undisc!E13</f>
        <v>8503.1485616677201</v>
      </c>
      <c r="F13" t="n">
        <f>cb_undisc!F13</f>
        <v>17803.841280743</v>
      </c>
    </row>
    <row r="14">
      <c r="B14" t="str">
        <f>cb_undisc!B14</f>
        <v>2034</v>
      </c>
      <c r="C14" t="n">
        <f>cb_undisc!C14</f>
        <v>3394.6684545775202</v>
      </c>
      <c r="D14" t="n">
        <f>cb_undisc!D14</f>
        <v>6868.1841043179202</v>
      </c>
      <c r="E14" t="n">
        <f>cb_undisc!E14</f>
        <v>8721.7844450784796</v>
      </c>
      <c r="F14" t="n">
        <f>cb_undisc!F14</f>
        <v>18324.719438437802</v>
      </c>
    </row>
    <row r="15">
      <c r="B15" t="str">
        <f>cb_undisc!B15</f>
        <v>2035</v>
      </c>
      <c r="C15" t="n">
        <f>cb_undisc!C15</f>
        <v>3510.7712571018001</v>
      </c>
      <c r="D15" t="n">
        <f>cb_undisc!D15</f>
        <v>7058.2426428910303</v>
      </c>
      <c r="E15" t="n">
        <f>cb_undisc!E15</f>
        <v>8942.8205060383207</v>
      </c>
      <c r="F15" t="n">
        <f>cb_undisc!F15</f>
        <v>18850.8936209651</v>
      </c>
    </row>
    <row r="19" ht="18.600000000000001" customHeight="1">
      <c r="B19" s="1" t="s">
        <v>121</v>
      </c>
      <c r="C19" s="1" t="s">
        <v>459</v>
      </c>
    </row>
    <row r="20" ht="15.6" customHeight="1">
      <c r="B20" s="13"/>
      <c r="C20" s="13" t="s">
        <v>122</v>
      </c>
      <c r="D20" s="13"/>
      <c r="E20" s="13"/>
      <c r="F20" s="99"/>
    </row>
    <row r="21">
      <c r="B21" s="100" t="s">
        <v>63</v>
      </c>
      <c r="C21" s="94" t="n">
        <v>0.05</v>
      </c>
      <c r="D21" s="94" t="n">
        <v>0.03</v>
      </c>
      <c r="E21" s="97" t="n">
        <v>2.5000000000000001E-2</v>
      </c>
      <c r="F21" s="94" t="n">
        <v>0.03</v>
      </c>
    </row>
    <row r="22" ht="42.6" customHeight="1">
      <c r="B22" s="8"/>
      <c r="C22" s="8" t="s">
        <v>120</v>
      </c>
      <c r="D22" s="8" t="s">
        <v>120</v>
      </c>
      <c r="E22" s="8" t="s">
        <v>120</v>
      </c>
      <c r="F22" s="8" t="s">
        <v>458</v>
      </c>
    </row>
    <row r="23">
      <c r="B23" s="4" t="n">
        <v>2023</v>
      </c>
      <c r="C23" s="95" t="n">
        <f>ROUND(C3,2-(1+INT(LOG10(ABS(C3)))))</f>
        <v>97</v>
      </c>
      <c r="D23" s="95" t="n">
        <f t="shared" ref="D23:F23" si="0">ROUND(D3,2-(1+INT(LOG10(ABS(D3)))))</f>
        <v>210</v>
      </c>
      <c r="E23" s="95" t="n">
        <f t="shared" si="0"/>
        <v>280</v>
      </c>
      <c r="F23" s="95" t="n">
        <f t="shared" si="0"/>
        <v>560</v>
      </c>
    </row>
    <row r="24">
      <c r="B24" s="4" t="n">
        <v>2024</v>
      </c>
      <c r="C24" s="95" t="n">
        <f t="shared" ref="C24:F24" si="1">ROUND(C4,2-(1+INT(LOG10(ABS(C4)))))</f>
        <v>150</v>
      </c>
      <c r="D24" s="95" t="n">
        <f t="shared" si="1"/>
        <v>330</v>
      </c>
      <c r="E24" s="95" t="n">
        <f t="shared" si="1"/>
        <v>430</v>
      </c>
      <c r="F24" s="95" t="n">
        <f t="shared" si="1"/>
        <v>880</v>
      </c>
    </row>
    <row r="25">
      <c r="B25" s="4" t="n">
        <v>2025</v>
      </c>
      <c r="C25" s="95" t="n">
        <f t="shared" ref="C25:F25" si="2">ROUND(C5,2-(1+INT(LOG10(ABS(C5)))))</f>
        <v>220</v>
      </c>
      <c r="D25" s="95" t="n">
        <f t="shared" si="2"/>
        <v>470</v>
      </c>
      <c r="E25" s="95" t="n">
        <f t="shared" si="2"/>
        <v>610</v>
      </c>
      <c r="F25" s="95" t="n">
        <f t="shared" si="2"/>
        <v>1200</v>
      </c>
    </row>
    <row r="26">
      <c r="B26" s="4" t="n">
        <v>2026</v>
      </c>
      <c r="C26" s="95" t="n">
        <f t="shared" ref="C26:F26" si="3">ROUND(C6,2-(1+INT(LOG10(ABS(C6)))))</f>
        <v>2600</v>
      </c>
      <c r="D26" s="95" t="n">
        <f t="shared" si="3"/>
        <v>5500</v>
      </c>
      <c r="E26" s="95" t="n">
        <f t="shared" si="3"/>
        <v>7100</v>
      </c>
      <c r="F26" s="95" t="n">
        <f t="shared" si="3"/>
        <v>15000</v>
      </c>
    </row>
    <row r="27">
      <c r="B27" s="4" t="n">
        <v>2027</v>
      </c>
      <c r="C27" s="95" t="n">
        <f t="shared" ref="C27:F27" si="4">ROUND(C7,2-(1+INT(LOG10(ABS(C7)))))</f>
        <v>2700</v>
      </c>
      <c r="D27" s="95" t="n">
        <f t="shared" si="4"/>
        <v>5700</v>
      </c>
      <c r="E27" s="95" t="n">
        <f t="shared" si="4"/>
        <v>7300</v>
      </c>
      <c r="F27" s="95" t="n">
        <f t="shared" si="4"/>
        <v>15000</v>
      </c>
    </row>
    <row r="28">
      <c r="B28" s="4" t="n">
        <v>2028</v>
      </c>
      <c r="C28" s="95" t="n">
        <f t="shared" ref="C28:F28" si="5">ROUND(C8,2-(1+INT(LOG10(ABS(C8)))))</f>
        <v>2800</v>
      </c>
      <c r="D28" s="95" t="n">
        <f t="shared" si="5"/>
        <v>5800</v>
      </c>
      <c r="E28" s="95" t="n">
        <f t="shared" si="5"/>
        <v>7500</v>
      </c>
      <c r="F28" s="95" t="n">
        <f t="shared" si="5"/>
        <v>15000</v>
      </c>
    </row>
    <row r="29">
      <c r="B29" s="4" t="n">
        <v>2029</v>
      </c>
      <c r="C29" s="95" t="n">
        <f t="shared" ref="C29:F29" si="6">ROUND(C9,2-(1+INT(LOG10(ABS(C9)))))</f>
        <v>2800</v>
      </c>
      <c r="D29" s="95" t="n">
        <f t="shared" si="6"/>
        <v>6000</v>
      </c>
      <c r="E29" s="95" t="n">
        <f t="shared" si="6"/>
        <v>7700</v>
      </c>
      <c r="F29" s="95" t="n">
        <f t="shared" si="6"/>
        <v>16000</v>
      </c>
    </row>
    <row r="30">
      <c r="B30" s="4" t="n">
        <v>2030</v>
      </c>
      <c r="C30" s="95" t="n">
        <f t="shared" ref="C30:F30" si="7">ROUND(C10,2-(1+INT(LOG10(ABS(C10)))))</f>
        <v>2900</v>
      </c>
      <c r="D30" s="95" t="n">
        <f t="shared" si="7"/>
        <v>6100</v>
      </c>
      <c r="E30" s="95" t="n">
        <f t="shared" si="7"/>
        <v>7900</v>
      </c>
      <c r="F30" s="95" t="n">
        <f t="shared" si="7"/>
        <v>16000</v>
      </c>
    </row>
    <row r="31">
      <c r="B31" s="4" t="n">
        <v>2031</v>
      </c>
      <c r="C31" s="95" t="n">
        <f t="shared" ref="C31:F31" si="8">ROUND(C11,2-(1+INT(LOG10(ABS(C11)))))</f>
        <v>3100</v>
      </c>
      <c r="D31" s="95" t="n">
        <f t="shared" si="8"/>
        <v>6300</v>
      </c>
      <c r="E31" s="95" t="n">
        <f t="shared" si="8"/>
        <v>8100</v>
      </c>
      <c r="F31" s="95" t="n">
        <f t="shared" si="8"/>
        <v>17000</v>
      </c>
    </row>
    <row r="32">
      <c r="B32" s="4" t="n">
        <v>2032</v>
      </c>
      <c r="C32" s="95" t="n">
        <f t="shared" ref="C32:F32" si="9">ROUND(C12,2-(1+INT(LOG10(ABS(C12)))))</f>
        <v>3200</v>
      </c>
      <c r="D32" s="95" t="n">
        <f t="shared" si="9"/>
        <v>6500</v>
      </c>
      <c r="E32" s="95" t="n">
        <f t="shared" si="9"/>
        <v>8300</v>
      </c>
      <c r="F32" s="95" t="n">
        <f t="shared" si="9"/>
        <v>17000</v>
      </c>
    </row>
    <row r="33">
      <c r="B33" s="4" t="n">
        <v>2033</v>
      </c>
      <c r="C33" s="95" t="n">
        <f t="shared" ref="C33:F33" si="10">ROUND(C13,2-(1+INT(LOG10(ABS(C13)))))</f>
        <v>3300</v>
      </c>
      <c r="D33" s="95" t="n">
        <f t="shared" si="10"/>
        <v>6700</v>
      </c>
      <c r="E33" s="95" t="n">
        <f t="shared" si="10"/>
        <v>8500</v>
      </c>
      <c r="F33" s="95" t="n">
        <f t="shared" si="10"/>
        <v>18000</v>
      </c>
    </row>
    <row r="34">
      <c r="B34" s="4" t="n">
        <v>2034</v>
      </c>
      <c r="C34" s="95" t="n">
        <f t="shared" ref="C34:F34" si="11">ROUND(C14,2-(1+INT(LOG10(ABS(C14)))))</f>
        <v>3400</v>
      </c>
      <c r="D34" s="95" t="n">
        <f t="shared" si="11"/>
        <v>6900</v>
      </c>
      <c r="E34" s="95" t="n">
        <f t="shared" si="11"/>
        <v>8700</v>
      </c>
      <c r="F34" s="95" t="n">
        <f t="shared" si="11"/>
        <v>18000</v>
      </c>
    </row>
    <row r="35" ht="15" customHeight="1">
      <c r="B35" s="5" t="n">
        <v>2035</v>
      </c>
      <c r="C35" s="98" t="n">
        <f t="shared" ref="C35:F35" si="12">ROUND(C15,2-(1+INT(LOG10(ABS(C15)))))</f>
        <v>3500</v>
      </c>
      <c r="D35" s="98" t="n">
        <f t="shared" si="12"/>
        <v>7100</v>
      </c>
      <c r="E35" s="98" t="n">
        <f t="shared" si="12"/>
        <v>8900</v>
      </c>
      <c r="F35" s="98" t="n">
        <f t="shared" si="12"/>
        <v>19000</v>
      </c>
    </row>
    <row r="36" ht="15" customHeight="1"/>
    <row r="38">
      <c r="F38" s="67"/>
    </row>
    <row r="39">
      <c r="F39" s="67"/>
    </row>
  </sheetData>
  <mergeCells count="2">
    <mergeCell ref="C20:F20"/>
    <mergeCell ref="B21:B22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tr">
        <f>cb_disc!B2</f>
        <v>year</v>
      </c>
      <c r="C2" t="str">
        <f>cb_disc!C2</f>
        <v>5.0%_CH4_disc</v>
      </c>
      <c r="D2" t="str">
        <f>cb_disc!D2</f>
        <v>3.0%_CH4_disc</v>
      </c>
      <c r="E2" t="str">
        <f>cb_disc!E2</f>
        <v>2.5%_CH4_disc</v>
      </c>
      <c r="F2" t="str">
        <f>cb_disc!F2</f>
        <v>3% 95th Pct._CH4_disc</v>
      </c>
    </row>
    <row r="3">
      <c r="B3" t="str">
        <f>cb_disc!B3</f>
        <v>2023</v>
      </c>
      <c r="C3" t="n">
        <f>cb_disc!C3</f>
        <v>87.9566846359115</v>
      </c>
      <c r="D3" t="n">
        <f>cb_disc!D3</f>
        <v>198.849733020201</v>
      </c>
      <c r="E3" t="n">
        <f>cb_disc!E3</f>
        <v>261.75810558509602</v>
      </c>
      <c r="F3" t="n">
        <f>cb_disc!F3</f>
        <v>524.87100602182704</v>
      </c>
    </row>
    <row r="4">
      <c r="B4" t="str">
        <f>cb_disc!B4</f>
        <v>2024</v>
      </c>
      <c r="C4" t="n">
        <f>cb_disc!C4</f>
        <v>133.302824701661</v>
      </c>
      <c r="D4" t="n">
        <f>cb_disc!D4</f>
        <v>304.97645285908698</v>
      </c>
      <c r="E4" t="n">
        <f>cb_disc!E4</f>
        <v>402.354282630233</v>
      </c>
      <c r="F4" t="n">
        <f>cb_disc!F4</f>
        <v>805.81963141826498</v>
      </c>
    </row>
    <row r="5">
      <c r="B5" t="str">
        <f>cb_disc!B5</f>
        <v>2025</v>
      </c>
      <c r="C5" t="n">
        <f>cb_disc!C5</f>
        <v>179.74455563376799</v>
      </c>
      <c r="D5" t="n">
        <f>cb_disc!D5</f>
        <v>416.34027826512698</v>
      </c>
      <c r="E5" t="n">
        <f>cb_disc!E5</f>
        <v>550.57655670075405</v>
      </c>
      <c r="F5" t="n">
        <f>cb_disc!F5</f>
        <v>1101.1314837756199</v>
      </c>
    </row>
    <row r="6">
      <c r="B6" t="str">
        <f>cb_disc!B6</f>
        <v>2026</v>
      </c>
      <c r="C6" t="n">
        <f>cb_disc!C6</f>
        <v>2022.8659291126801</v>
      </c>
      <c r="D6" t="n">
        <f>cb_disc!D6</f>
        <v>4745.7296353777701</v>
      </c>
      <c r="E6" t="n">
        <f>cb_disc!E6</f>
        <v>6291.5065430963596</v>
      </c>
      <c r="F6" t="n">
        <f>cb_disc!F6</f>
        <v>12562.914597245501</v>
      </c>
    </row>
    <row r="7">
      <c r="B7" t="str">
        <f>cb_disc!B7</f>
        <v>2027</v>
      </c>
      <c r="C7" t="n">
        <f>cb_disc!C7</f>
        <v>1992.0166608663601</v>
      </c>
      <c r="D7" t="n">
        <f>cb_disc!D7</f>
        <v>4735.1568808657303</v>
      </c>
      <c r="E7" t="n">
        <f>cb_disc!E7</f>
        <v>6293.8889748049596</v>
      </c>
      <c r="F7" t="n">
        <f>cb_disc!F7</f>
        <v>12545.770662196201</v>
      </c>
    </row>
    <row r="8">
      <c r="B8" t="str">
        <f>cb_disc!B8</f>
        <v>2028</v>
      </c>
      <c r="C8" t="n">
        <f>cb_disc!C8</f>
        <v>1961.2282178698199</v>
      </c>
      <c r="D8" t="n">
        <f>cb_disc!D8</f>
        <v>4725.2326028903799</v>
      </c>
      <c r="E8" t="n">
        <f>cb_disc!E8</f>
        <v>6297.7959548815597</v>
      </c>
      <c r="F8" t="n">
        <f>cb_disc!F8</f>
        <v>12529.7586486811</v>
      </c>
    </row>
    <row r="9">
      <c r="B9" t="str">
        <f>cb_disc!B9</f>
        <v>2029</v>
      </c>
      <c r="C9" t="n">
        <f>cb_disc!C9</f>
        <v>1928.8114996209099</v>
      </c>
      <c r="D9" t="n">
        <f>cb_disc!D9</f>
        <v>4711.6682937107698</v>
      </c>
      <c r="E9" t="n">
        <f>cb_disc!E9</f>
        <v>6297.4514530055603</v>
      </c>
      <c r="F9" t="n">
        <f>cb_disc!F9</f>
        <v>12503.5387925704</v>
      </c>
    </row>
    <row r="10">
      <c r="B10" t="str">
        <f>cb_disc!B10</f>
        <v>2030</v>
      </c>
      <c r="C10" t="n">
        <f>cb_disc!C10</f>
        <v>1894.9503148982899</v>
      </c>
      <c r="D10" t="n">
        <f>cb_disc!D10</f>
        <v>4694.5929895476302</v>
      </c>
      <c r="E10" t="n">
        <f>cb_disc!E10</f>
        <v>6292.9452697090201</v>
      </c>
      <c r="F10" t="n">
        <f>cb_disc!F10</f>
        <v>12467.471760647501</v>
      </c>
    </row>
    <row r="11">
      <c r="B11" t="str">
        <f>cb_disc!B11</f>
        <v>2031</v>
      </c>
      <c r="C11" t="n">
        <f>cb_disc!C11</f>
        <v>1873.6564415262701</v>
      </c>
      <c r="D11" t="n">
        <f>cb_disc!D11</f>
        <v>4694.0085938268303</v>
      </c>
      <c r="E11" t="n">
        <f>cb_disc!E11</f>
        <v>6305.3203504381399</v>
      </c>
      <c r="F11" t="n">
        <f>cb_disc!F11</f>
        <v>12481.609373429799</v>
      </c>
    </row>
    <row r="12">
      <c r="B12" t="str">
        <f>cb_disc!B12</f>
        <v>2032</v>
      </c>
      <c r="C12" t="n">
        <f>cb_disc!C12</f>
        <v>1850.54244485399</v>
      </c>
      <c r="D12" t="n">
        <f>cb_disc!D12</f>
        <v>4690.5106089909405</v>
      </c>
      <c r="E12" t="n">
        <f>cb_disc!E12</f>
        <v>6314.6955272622999</v>
      </c>
      <c r="F12" t="n">
        <f>cb_disc!F12</f>
        <v>12487.1474883971</v>
      </c>
    </row>
    <row r="13">
      <c r="B13" t="str">
        <f>cb_disc!B13</f>
        <v>2033</v>
      </c>
      <c r="C13" t="n">
        <f>cb_disc!C13</f>
        <v>1826.21771268663</v>
      </c>
      <c r="D13" t="n">
        <f>cb_disc!D13</f>
        <v>4685.2751360154298</v>
      </c>
      <c r="E13" t="n">
        <f>cb_disc!E13</f>
        <v>6322.5661544425902</v>
      </c>
      <c r="F13" t="n">
        <f>cb_disc!F13</f>
        <v>12487.256064462201</v>
      </c>
    </row>
    <row r="14">
      <c r="B14" t="str">
        <f>cb_disc!B14</f>
        <v>2034</v>
      </c>
      <c r="C14" t="n">
        <f>cb_disc!C14</f>
        <v>1800.26515982453</v>
      </c>
      <c r="D14" t="n">
        <f>cb_disc!D14</f>
        <v>4676.89916915513</v>
      </c>
      <c r="E14" t="n">
        <f>cb_disc!E14</f>
        <v>6326.9601485216999</v>
      </c>
      <c r="F14" t="n">
        <f>cb_disc!F14</f>
        <v>12478.2422566033</v>
      </c>
    </row>
    <row r="15">
      <c r="B15" t="str">
        <f>cb_disc!B15</f>
        <v>2035</v>
      </c>
      <c r="C15" t="n">
        <f>cb_disc!C15</f>
        <v>1773.1780522599099</v>
      </c>
      <c r="D15" t="n">
        <f>cb_disc!D15</f>
        <v>4666.3298890035303</v>
      </c>
      <c r="E15" t="n">
        <f>cb_disc!E15</f>
        <v>6329.0772789231796</v>
      </c>
      <c r="F15" t="n">
        <f>cb_disc!F15</f>
        <v>12462.661428412601</v>
      </c>
    </row>
    <row r="16">
      <c r="B16" t="str">
        <f>cb_disc!B16</f>
        <v>PV</v>
      </c>
      <c r="C16" t="n">
        <f>cb_disc!C16</f>
        <v>19324.7364984907</v>
      </c>
      <c r="D16" t="n">
        <f>cb_disc!D16</f>
        <v>47945.5702635286</v>
      </c>
      <c r="E16" t="n">
        <f>cb_disc!E16</f>
        <v>64286.896600001397</v>
      </c>
      <c r="F16" t="n">
        <f>cb_disc!F16</f>
        <v>127438.19319386101</v>
      </c>
    </row>
    <row r="17">
      <c r="B17" t="str">
        <f>cb_disc!B17</f>
        <v>EAV</v>
      </c>
      <c r="C17" t="n">
        <f>cb_disc!C17</f>
        <v>2057.22961061154</v>
      </c>
      <c r="D17" t="n">
        <f>cb_disc!D17</f>
        <v>4508.30010655772</v>
      </c>
      <c r="E17" t="n">
        <f>cb_disc!E17</f>
        <v>5853.2107720221402</v>
      </c>
      <c r="F17" t="n">
        <f>cb_disc!F17</f>
        <v>11982.955188509801</v>
      </c>
    </row>
    <row r="21" ht="18.600000000000001" customHeight="1">
      <c r="B21" s="1" t="s">
        <v>123</v>
      </c>
      <c r="C21" s="1" t="s">
        <v>460</v>
      </c>
    </row>
    <row r="22" ht="15.6" customHeight="1">
      <c r="B22" s="13"/>
      <c r="C22" s="13" t="s">
        <v>124</v>
      </c>
      <c r="D22" s="13"/>
      <c r="E22" s="13"/>
      <c r="F22" s="99"/>
    </row>
    <row r="23">
      <c r="B23" s="100" t="s">
        <v>63</v>
      </c>
      <c r="C23" s="94" t="n">
        <v>0.05</v>
      </c>
      <c r="D23" s="94" t="n">
        <v>0.03</v>
      </c>
      <c r="E23" s="97" t="n">
        <v>2.5000000000000001E-2</v>
      </c>
      <c r="F23" s="94" t="n">
        <v>0.03</v>
      </c>
    </row>
    <row r="24" ht="42.6" customHeight="1">
      <c r="B24" s="8"/>
      <c r="C24" s="8" t="s">
        <v>120</v>
      </c>
      <c r="D24" s="8" t="s">
        <v>120</v>
      </c>
      <c r="E24" s="8" t="s">
        <v>120</v>
      </c>
      <c r="F24" s="8" t="s">
        <v>458</v>
      </c>
    </row>
    <row r="25">
      <c r="B25" s="4" t="n">
        <v>2023</v>
      </c>
      <c r="C25" s="95" t="n">
        <f>ROUND(C3,2-(1+INT(LOG10(ABS(C3)))))</f>
        <v>88</v>
      </c>
      <c r="D25" s="95" t="n">
        <f t="shared" ref="D25:F25" si="0">ROUND(D3,2-(1+INT(LOG10(ABS(D3)))))</f>
        <v>200</v>
      </c>
      <c r="E25" s="95" t="n">
        <f t="shared" si="0"/>
        <v>260</v>
      </c>
      <c r="F25" s="95" t="n">
        <f t="shared" si="0"/>
        <v>520</v>
      </c>
    </row>
    <row r="26">
      <c r="B26" s="4" t="n">
        <v>2024</v>
      </c>
      <c r="C26" s="95" t="n">
        <f t="shared" ref="C26:F39" si="1">ROUND(C4,2-(1+INT(LOG10(ABS(C4)))))</f>
        <v>130</v>
      </c>
      <c r="D26" s="95" t="n">
        <f t="shared" si="1"/>
        <v>300</v>
      </c>
      <c r="E26" s="95" t="n">
        <f t="shared" si="1"/>
        <v>400</v>
      </c>
      <c r="F26" s="95" t="n">
        <f t="shared" si="1"/>
        <v>810</v>
      </c>
    </row>
    <row r="27">
      <c r="B27" s="4" t="n">
        <v>2025</v>
      </c>
      <c r="C27" s="95" t="n">
        <f t="shared" si="1"/>
        <v>180</v>
      </c>
      <c r="D27" s="95" t="n">
        <f t="shared" si="1"/>
        <v>420</v>
      </c>
      <c r="E27" s="95" t="n">
        <f t="shared" si="1"/>
        <v>550</v>
      </c>
      <c r="F27" s="95" t="n">
        <f t="shared" si="1"/>
        <v>1100</v>
      </c>
    </row>
    <row r="28">
      <c r="B28" s="4" t="n">
        <v>2026</v>
      </c>
      <c r="C28" s="95" t="n">
        <f t="shared" si="1"/>
        <v>2000</v>
      </c>
      <c r="D28" s="95" t="n">
        <f t="shared" si="1"/>
        <v>4700</v>
      </c>
      <c r="E28" s="95" t="n">
        <f t="shared" si="1"/>
        <v>6300</v>
      </c>
      <c r="F28" s="95" t="n">
        <f t="shared" si="1"/>
        <v>13000</v>
      </c>
    </row>
    <row r="29">
      <c r="B29" s="4" t="n">
        <v>2027</v>
      </c>
      <c r="C29" s="95" t="n">
        <f t="shared" si="1"/>
        <v>2000</v>
      </c>
      <c r="D29" s="95" t="n">
        <f t="shared" si="1"/>
        <v>4700</v>
      </c>
      <c r="E29" s="95" t="n">
        <f t="shared" si="1"/>
        <v>6300</v>
      </c>
      <c r="F29" s="95" t="n">
        <f t="shared" si="1"/>
        <v>13000</v>
      </c>
    </row>
    <row r="30">
      <c r="B30" s="4" t="n">
        <v>2028</v>
      </c>
      <c r="C30" s="95" t="n">
        <f t="shared" si="1"/>
        <v>2000</v>
      </c>
      <c r="D30" s="95" t="n">
        <f t="shared" si="1"/>
        <v>4700</v>
      </c>
      <c r="E30" s="95" t="n">
        <f t="shared" si="1"/>
        <v>6300</v>
      </c>
      <c r="F30" s="95" t="n">
        <f t="shared" si="1"/>
        <v>13000</v>
      </c>
    </row>
    <row r="31">
      <c r="B31" s="4" t="n">
        <v>2029</v>
      </c>
      <c r="C31" s="95" t="n">
        <f t="shared" si="1"/>
        <v>1900</v>
      </c>
      <c r="D31" s="95" t="n">
        <f t="shared" si="1"/>
        <v>4700</v>
      </c>
      <c r="E31" s="95" t="n">
        <f t="shared" si="1"/>
        <v>6300</v>
      </c>
      <c r="F31" s="95" t="n">
        <f t="shared" si="1"/>
        <v>13000</v>
      </c>
    </row>
    <row r="32">
      <c r="B32" s="4" t="n">
        <v>2030</v>
      </c>
      <c r="C32" s="95" t="n">
        <f t="shared" si="1"/>
        <v>1900</v>
      </c>
      <c r="D32" s="95" t="n">
        <f t="shared" si="1"/>
        <v>4700</v>
      </c>
      <c r="E32" s="95" t="n">
        <f t="shared" si="1"/>
        <v>6300</v>
      </c>
      <c r="F32" s="95" t="n">
        <f t="shared" si="1"/>
        <v>12000</v>
      </c>
    </row>
    <row r="33">
      <c r="B33" s="4" t="n">
        <v>2031</v>
      </c>
      <c r="C33" s="95" t="n">
        <f t="shared" si="1"/>
        <v>1900</v>
      </c>
      <c r="D33" s="95" t="n">
        <f t="shared" si="1"/>
        <v>4700</v>
      </c>
      <c r="E33" s="95" t="n">
        <f t="shared" si="1"/>
        <v>6300</v>
      </c>
      <c r="F33" s="95" t="n">
        <f t="shared" si="1"/>
        <v>12000</v>
      </c>
    </row>
    <row r="34">
      <c r="B34" s="4" t="n">
        <v>2032</v>
      </c>
      <c r="C34" s="95" t="n">
        <f t="shared" si="1"/>
        <v>1900</v>
      </c>
      <c r="D34" s="95" t="n">
        <f t="shared" si="1"/>
        <v>4700</v>
      </c>
      <c r="E34" s="95" t="n">
        <f t="shared" si="1"/>
        <v>6300</v>
      </c>
      <c r="F34" s="95" t="n">
        <f t="shared" si="1"/>
        <v>12000</v>
      </c>
    </row>
    <row r="35">
      <c r="B35" s="4" t="n">
        <v>2033</v>
      </c>
      <c r="C35" s="95" t="n">
        <f t="shared" si="1"/>
        <v>1800</v>
      </c>
      <c r="D35" s="95" t="n">
        <f t="shared" si="1"/>
        <v>4700</v>
      </c>
      <c r="E35" s="95" t="n">
        <f t="shared" si="1"/>
        <v>6300</v>
      </c>
      <c r="F35" s="95" t="n">
        <f t="shared" si="1"/>
        <v>12000</v>
      </c>
    </row>
    <row r="36">
      <c r="B36" s="4" t="n">
        <v>2034</v>
      </c>
      <c r="C36" s="95" t="n">
        <f t="shared" si="1"/>
        <v>1800</v>
      </c>
      <c r="D36" s="95" t="n">
        <f t="shared" si="1"/>
        <v>4700</v>
      </c>
      <c r="E36" s="95" t="n">
        <f t="shared" si="1"/>
        <v>6300</v>
      </c>
      <c r="F36" s="95" t="n">
        <f t="shared" si="1"/>
        <v>12000</v>
      </c>
    </row>
    <row r="37" ht="15" customHeight="1">
      <c r="B37" s="4" t="n">
        <v>2035</v>
      </c>
      <c r="C37" s="95" t="n">
        <f t="shared" si="1"/>
        <v>1800</v>
      </c>
      <c r="D37" s="95" t="n">
        <f t="shared" si="1"/>
        <v>4700</v>
      </c>
      <c r="E37" s="95" t="n">
        <f t="shared" si="1"/>
        <v>6300</v>
      </c>
      <c r="F37" s="95" t="n">
        <f t="shared" si="1"/>
        <v>12000</v>
      </c>
    </row>
    <row r="38">
      <c r="B38" s="100" t="s">
        <v>24</v>
      </c>
      <c r="C38" s="101" t="n">
        <f t="shared" si="1"/>
        <v>19000</v>
      </c>
      <c r="D38" s="101" t="n">
        <f t="shared" si="1"/>
        <v>48000</v>
      </c>
      <c r="E38" s="101" t="n">
        <f t="shared" si="1"/>
        <v>64000</v>
      </c>
      <c r="F38" s="101" t="n">
        <f t="shared" si="1"/>
        <v>130000</v>
      </c>
    </row>
    <row r="39" ht="15" customHeight="1">
      <c r="B39" s="5" t="s">
        <v>25</v>
      </c>
      <c r="C39" s="98" t="n">
        <f t="shared" si="1"/>
        <v>2100</v>
      </c>
      <c r="D39" s="98" t="n">
        <f t="shared" si="1"/>
        <v>4500</v>
      </c>
      <c r="E39" s="98" t="n">
        <f t="shared" si="1"/>
        <v>5900</v>
      </c>
      <c r="F39" s="98" t="n">
        <f t="shared" si="1"/>
        <v>12000</v>
      </c>
    </row>
    <row r="40" ht="15" customHeight="1"/>
  </sheetData>
  <mergeCells count="2">
    <mergeCell ref="C22:F22"/>
    <mergeCell ref="B23:B24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7" max="7" width="12.42578125" hidden="0" customWidth="1"/>
  </cols>
  <sheetData>
    <row r="2">
      <c r="B2" t="s">
        <v>0</v>
      </c>
      <c r="C2" t="s">
        <v>163</v>
      </c>
      <c r="D2" t="s">
        <v>164</v>
      </c>
      <c r="E2" t="s">
        <v>165</v>
      </c>
      <c r="F2" t="s">
        <v>166</v>
      </c>
      <c r="G2" t="s">
        <v>167</v>
      </c>
    </row>
    <row r="3">
      <c r="B3" t="s">
        <v>11</v>
      </c>
      <c r="C3" t="n">
        <f xml:space="preserve"> secondary_emissions_tbl!C7</f>
        <v>20.826478515404101</v>
      </c>
      <c r="D3" t="n">
        <f xml:space="preserve"> secondary_emissions_tbl!D7</f>
        <v>55.041407504996599</v>
      </c>
      <c r="E3" t="n">
        <f xml:space="preserve"> secondary_emissions_tbl!E7</f>
        <v>10.115718136053401</v>
      </c>
      <c r="F3" t="n">
        <f xml:space="preserve"> secondary_emissions_tbl!F7</f>
        <v>0.38082703571024701</v>
      </c>
      <c r="G3" t="n">
        <f xml:space="preserve"> secondary_emissions_tbl!G7</f>
        <v>43381.749247313703</v>
      </c>
    </row>
    <row r="4">
      <c r="B4" t="s">
        <v>12</v>
      </c>
      <c r="C4" t="n">
        <f xml:space="preserve"> secondary_emissions_tbl!C8</f>
        <v>29.336481382254501</v>
      </c>
      <c r="D4" t="n">
        <f xml:space="preserve"> secondary_emissions_tbl!D8</f>
        <v>77.532129367386901</v>
      </c>
      <c r="E4" t="n">
        <f xml:space="preserve"> secondary_emissions_tbl!E8</f>
        <v>14.249148099952199</v>
      </c>
      <c r="F4" t="n">
        <f xml:space="preserve"> secondary_emissions_tbl!F8</f>
        <v>0.53643851670408205</v>
      </c>
      <c r="G4" t="n">
        <f xml:space="preserve"> secondary_emissions_tbl!G8</f>
        <v>61108.164694388201</v>
      </c>
    </row>
    <row r="5">
      <c r="B5" t="s">
        <v>13</v>
      </c>
      <c r="C5" t="n">
        <f xml:space="preserve"> secondary_emissions_tbl!C9</f>
        <v>37.220425461380898</v>
      </c>
      <c r="D5" t="n">
        <f xml:space="preserve"> secondary_emissions_tbl!D9</f>
        <v>98.368267290792502</v>
      </c>
      <c r="E5" t="n">
        <f xml:space="preserve"> secondary_emissions_tbl!E9</f>
        <v>18.0784923669565</v>
      </c>
      <c r="F5" t="n">
        <f xml:space="preserve"> secondary_emissions_tbl!F9</f>
        <v>0.68060206557953695</v>
      </c>
      <c r="G5" t="n">
        <f xml:space="preserve"> secondary_emissions_tbl!G9</f>
        <v>77530.493839833303</v>
      </c>
    </row>
    <row r="6">
      <c r="B6" t="s">
        <v>14</v>
      </c>
      <c r="C6" t="n">
        <f xml:space="preserve"> secondary_emissions_tbl!C10</f>
        <v>43.658897277371501</v>
      </c>
      <c r="D6" t="n">
        <f xml:space="preserve"> secondary_emissions_tbl!D10</f>
        <v>115.384228518767</v>
      </c>
      <c r="E6" t="n">
        <f xml:space="preserve"> secondary_emissions_tbl!E10</f>
        <v>21.2057501061519</v>
      </c>
      <c r="F6" t="n">
        <f xml:space="preserve"> secondary_emissions_tbl!F10</f>
        <v>0.79833412164336404</v>
      </c>
      <c r="G6" t="n">
        <f xml:space="preserve"> secondary_emissions_tbl!G10</f>
        <v>90941.8907618144</v>
      </c>
    </row>
    <row r="7">
      <c r="B7" t="s">
        <v>15</v>
      </c>
      <c r="C7" t="n">
        <f xml:space="preserve"> secondary_emissions_tbl!C11</f>
        <v>48.718368078340497</v>
      </c>
      <c r="D7" t="n">
        <f xml:space="preserve"> secondary_emissions_tbl!D11</f>
        <v>128.75568706418599</v>
      </c>
      <c r="E7" t="n">
        <f xml:space="preserve"> secondary_emissions_tbl!E11</f>
        <v>23.663207352336801</v>
      </c>
      <c r="F7" t="n">
        <f xml:space="preserve"> secondary_emissions_tbl!F11</f>
        <v>0.89085015914679799</v>
      </c>
      <c r="G7" t="n">
        <f xml:space="preserve"> secondary_emissions_tbl!G11</f>
        <v>101480.815690933</v>
      </c>
    </row>
    <row r="8">
      <c r="B8" t="s">
        <v>16</v>
      </c>
      <c r="C8" t="n">
        <f xml:space="preserve"> secondary_emissions_tbl!C12</f>
        <v>53.099735149110003</v>
      </c>
      <c r="D8" t="n">
        <f xml:space="preserve"> secondary_emissions_tbl!D12</f>
        <v>140.33501432264799</v>
      </c>
      <c r="E8" t="n">
        <f xml:space="preserve"> secondary_emissions_tbl!E12</f>
        <v>25.7912999295677</v>
      </c>
      <c r="F8" t="n">
        <f xml:space="preserve"> secondary_emissions_tbl!F12</f>
        <v>0.97096658558372495</v>
      </c>
      <c r="G8" t="n">
        <f xml:space="preserve"> secondary_emissions_tbl!G12</f>
        <v>110607.244217195</v>
      </c>
    </row>
    <row r="9">
      <c r="B9" t="s">
        <v>17</v>
      </c>
      <c r="C9" t="n">
        <f xml:space="preserve"> secondary_emissions_tbl!C13</f>
        <v>56.688433755271802</v>
      </c>
      <c r="D9" t="n">
        <f xml:space="preserve"> secondary_emissions_tbl!D13</f>
        <v>149.81943206750401</v>
      </c>
      <c r="E9" t="n">
        <f xml:space="preserve"> secondary_emissions_tbl!E13</f>
        <v>27.534382109703401</v>
      </c>
      <c r="F9" t="n">
        <f xml:space="preserve"> secondary_emissions_tbl!F13</f>
        <v>1.03658850295354</v>
      </c>
      <c r="G9" t="n">
        <f xml:space="preserve"> secondary_emissions_tbl!G13</f>
        <v>118082.53692889999</v>
      </c>
    </row>
    <row r="10">
      <c r="B10" t="s">
        <v>18</v>
      </c>
      <c r="C10" t="n">
        <f xml:space="preserve"> secondary_emissions_tbl!C14</f>
        <v>59.529873879815199</v>
      </c>
      <c r="D10" t="n">
        <f xml:space="preserve"> secondary_emissions_tbl!D14</f>
        <v>157.32895239665399</v>
      </c>
      <c r="E10" t="n">
        <f xml:space="preserve"> secondary_emissions_tbl!E14</f>
        <v>28.9145101701959</v>
      </c>
      <c r="F10" t="n">
        <f xml:space="preserve"> secondary_emissions_tbl!F14</f>
        <v>1.0885462652309099</v>
      </c>
      <c r="G10" t="n">
        <f xml:space="preserve"> secondary_emissions_tbl!G14</f>
        <v>124001.28324470299</v>
      </c>
    </row>
    <row r="11">
      <c r="B11" t="s">
        <v>19</v>
      </c>
      <c r="C11" t="n">
        <f xml:space="preserve"> secondary_emissions_tbl!C15</f>
        <v>61.894073283305403</v>
      </c>
      <c r="D11" t="n">
        <f xml:space="preserve"> secondary_emissions_tbl!D15</f>
        <v>163.57719367730701</v>
      </c>
      <c r="E11" t="n">
        <f xml:space="preserve"> secondary_emissions_tbl!E15</f>
        <v>30.0628355947483</v>
      </c>
      <c r="F11" t="n">
        <f xml:space="preserve"> secondary_emissions_tbl!F15</f>
        <v>1.1317773400375799</v>
      </c>
      <c r="G11" t="n">
        <f xml:space="preserve"> secondary_emissions_tbl!G15</f>
        <v>128925.932681573</v>
      </c>
    </row>
    <row r="12">
      <c r="B12" t="s">
        <v>20</v>
      </c>
      <c r="C12" t="n">
        <f xml:space="preserve"> secondary_emissions_tbl!C16</f>
        <v>63.848761492617903</v>
      </c>
      <c r="D12" t="n">
        <f xml:space="preserve"> secondary_emissions_tbl!D16</f>
        <v>168.74315537334701</v>
      </c>
      <c r="E12" t="n">
        <f xml:space="preserve"> secondary_emissions_tbl!E16</f>
        <v>31.012255582128699</v>
      </c>
      <c r="F12" t="n">
        <f xml:space="preserve"> secondary_emissions_tbl!F16</f>
        <v>1.16752021015073</v>
      </c>
      <c r="G12" t="n">
        <f xml:space="preserve"> secondary_emissions_tbl!G16</f>
        <v>132997.56647652099</v>
      </c>
    </row>
    <row r="13">
      <c r="B13" t="s">
        <v>21</v>
      </c>
      <c r="C13" t="n">
        <f xml:space="preserve"> secondary_emissions_tbl!C17</f>
        <v>65.790723381695798</v>
      </c>
      <c r="D13" t="n">
        <f xml:space="preserve"> secondary_emissions_tbl!D17</f>
        <v>173.87548322305301</v>
      </c>
      <c r="E13" t="n">
        <f xml:space="preserve"> secondary_emissions_tbl!E17</f>
        <v>31.955494213966499</v>
      </c>
      <c r="F13" t="n">
        <f xml:space="preserve"> secondary_emissions_tbl!F17</f>
        <v>1.20303037040815</v>
      </c>
      <c r="G13" t="n">
        <f xml:space="preserve"> secondary_emissions_tbl!G17</f>
        <v>137042.69122756799</v>
      </c>
    </row>
    <row r="14">
      <c r="B14" t="s">
        <v>22</v>
      </c>
      <c r="C14" t="n">
        <f xml:space="preserve"> secondary_emissions_tbl!C18</f>
        <v>67.339751770222605</v>
      </c>
      <c r="D14" t="n">
        <f xml:space="preserve"> secondary_emissions_tbl!D18</f>
        <v>177.96934396416</v>
      </c>
      <c r="E14" t="n">
        <f xml:space="preserve"> secondary_emissions_tbl!E18</f>
        <v>32.707879431251001</v>
      </c>
      <c r="F14" t="n">
        <f xml:space="preserve"> secondary_emissions_tbl!F18</f>
        <v>1.2313554609412101</v>
      </c>
      <c r="G14" t="n">
        <f xml:space="preserve"> secondary_emissions_tbl!G18</f>
        <v>140269.331827338</v>
      </c>
    </row>
    <row r="15">
      <c r="B15" t="s">
        <v>23</v>
      </c>
      <c r="C15" t="n">
        <f xml:space="preserve"> secondary_emissions_tbl!C19</f>
        <v>68.701283338870198</v>
      </c>
      <c r="D15" t="n">
        <f xml:space="preserve"> secondary_emissions_tbl!D19</f>
        <v>181.56767739558501</v>
      </c>
      <c r="E15" t="n">
        <f xml:space="preserve"> secondary_emissions_tbl!E19</f>
        <v>33.369194764594099</v>
      </c>
      <c r="F15" t="n">
        <f xml:space="preserve"> secondary_emissions_tbl!F19</f>
        <v>1.2562520381964799</v>
      </c>
      <c r="G15" t="n">
        <f xml:space="preserve"> secondary_emissions_tbl!G19</f>
        <v>143105.414800256</v>
      </c>
    </row>
    <row r="16">
      <c r="B16" t="s">
        <v>26</v>
      </c>
      <c r="C16" t="n">
        <f xml:space="preserve"> secondary_emissions_tbl!C20</f>
        <v>676.65328676566003</v>
      </c>
      <c r="D16" t="n">
        <f xml:space="preserve"> secondary_emissions_tbl!D20</f>
        <v>1788.2979721663901</v>
      </c>
      <c r="E16" t="n">
        <f xml:space="preserve"> secondary_emissions_tbl!E20</f>
        <v>328.66016785760598</v>
      </c>
      <c r="F16" t="n">
        <f xml:space="preserve"> secondary_emissions_tbl!F20</f>
        <v>12.3730886722864</v>
      </c>
      <c r="G16" t="n">
        <f xml:space="preserve"> secondary_emissions_tbl!G20</f>
        <v>1409475.1156383399</v>
      </c>
    </row>
    <row r="18" ht="15" customHeight="1"/>
    <row r="19" ht="15" customHeight="1">
      <c r="B19" s="37" t="s">
        <v>462</v>
      </c>
      <c r="C19" s="37" t="s">
        <v>463</v>
      </c>
    </row>
    <row r="20" ht="30.6" customHeight="1">
      <c r="B20" s="13" t="s">
        <v>63</v>
      </c>
      <c r="C20" s="13" t="s">
        <v>168</v>
      </c>
      <c r="D20" s="13" t="s">
        <v>169</v>
      </c>
      <c r="E20" s="13" t="s">
        <v>170</v>
      </c>
      <c r="F20" s="13" t="s">
        <v>171</v>
      </c>
      <c r="G20" s="13" t="s">
        <v>172</v>
      </c>
    </row>
    <row r="21">
      <c r="B21" s="4" t="str">
        <f>B3</f>
        <v>2023</v>
      </c>
      <c r="C21" s="3" t="n">
        <f>ROUND(C3,2-(1+INT(LOG10(ABS(C3)))))</f>
        <v>21</v>
      </c>
      <c r="D21" s="3" t="n">
        <f t="shared" ref="D21:G21" si="0">ROUND(D3,2-(1+INT(LOG10(ABS(D3)))))</f>
        <v>55</v>
      </c>
      <c r="E21" s="3" t="n">
        <f t="shared" si="0"/>
        <v>10</v>
      </c>
      <c r="F21" s="3" t="n">
        <f t="shared" si="0"/>
        <v>0.38</v>
      </c>
      <c r="G21" s="3" t="n">
        <f t="shared" si="0"/>
        <v>43000</v>
      </c>
    </row>
    <row r="22">
      <c r="B22" s="4" t="str">
        <f t="shared" ref="B22:B33" si="1">B4</f>
        <v>2024</v>
      </c>
      <c r="C22" s="3" t="n">
        <f t="shared" ref="C22:G22" si="2">ROUND(C4,2-(1+INT(LOG10(ABS(C4)))))</f>
        <v>29</v>
      </c>
      <c r="D22" s="3" t="n">
        <f t="shared" si="2"/>
        <v>78</v>
      </c>
      <c r="E22" s="3" t="n">
        <f t="shared" si="2"/>
        <v>14</v>
      </c>
      <c r="F22" s="3" t="n">
        <f t="shared" si="2"/>
        <v>0.54</v>
      </c>
      <c r="G22" s="3" t="n">
        <f t="shared" si="2"/>
        <v>61000</v>
      </c>
    </row>
    <row r="23">
      <c r="B23" s="4" t="str">
        <f t="shared" si="1"/>
        <v>2025</v>
      </c>
      <c r="C23" s="3" t="n">
        <f t="shared" ref="C23:G23" si="3">ROUND(C5,2-(1+INT(LOG10(ABS(C5)))))</f>
        <v>37</v>
      </c>
      <c r="D23" s="3" t="n">
        <f t="shared" si="3"/>
        <v>98</v>
      </c>
      <c r="E23" s="3" t="n">
        <f t="shared" si="3"/>
        <v>18</v>
      </c>
      <c r="F23" s="3" t="n">
        <f t="shared" si="3"/>
        <v>0.68</v>
      </c>
      <c r="G23" s="3" t="n">
        <f t="shared" si="3"/>
        <v>78000</v>
      </c>
    </row>
    <row r="24">
      <c r="B24" s="4" t="str">
        <f t="shared" si="1"/>
        <v>2026</v>
      </c>
      <c r="C24" s="3" t="n">
        <f t="shared" ref="C24:G24" si="4">ROUND(C6,2-(1+INT(LOG10(ABS(C6)))))</f>
        <v>44</v>
      </c>
      <c r="D24" s="3" t="n">
        <f t="shared" si="4"/>
        <v>120</v>
      </c>
      <c r="E24" s="3" t="n">
        <f t="shared" si="4"/>
        <v>21</v>
      </c>
      <c r="F24" s="3" t="n">
        <f t="shared" si="4"/>
        <v>0.8</v>
      </c>
      <c r="G24" s="3" t="n">
        <f t="shared" si="4"/>
        <v>91000</v>
      </c>
    </row>
    <row r="25">
      <c r="B25" s="4" t="str">
        <f t="shared" si="1"/>
        <v>2027</v>
      </c>
      <c r="C25" s="3" t="n">
        <f t="shared" ref="C25:G25" si="5">ROUND(C7,2-(1+INT(LOG10(ABS(C7)))))</f>
        <v>49</v>
      </c>
      <c r="D25" s="3" t="n">
        <f t="shared" si="5"/>
        <v>130</v>
      </c>
      <c r="E25" s="3" t="n">
        <f t="shared" si="5"/>
        <v>24</v>
      </c>
      <c r="F25" s="3" t="n">
        <f t="shared" si="5"/>
        <v>0.89</v>
      </c>
      <c r="G25" s="3" t="n">
        <f t="shared" si="5"/>
        <v>100000</v>
      </c>
    </row>
    <row r="26">
      <c r="B26" s="4" t="str">
        <f t="shared" si="1"/>
        <v>2028</v>
      </c>
      <c r="C26" s="3" t="n">
        <f t="shared" ref="C26:G26" si="6">ROUND(C8,2-(1+INT(LOG10(ABS(C8)))))</f>
        <v>53</v>
      </c>
      <c r="D26" s="3" t="n">
        <f t="shared" si="6"/>
        <v>140</v>
      </c>
      <c r="E26" s="3" t="n">
        <f t="shared" si="6"/>
        <v>26</v>
      </c>
      <c r="F26" s="3" t="n">
        <f t="shared" si="6"/>
        <v>0.97</v>
      </c>
      <c r="G26" s="3" t="n">
        <f t="shared" si="6"/>
        <v>110000</v>
      </c>
    </row>
    <row r="27">
      <c r="B27" s="4" t="str">
        <f t="shared" si="1"/>
        <v>2029</v>
      </c>
      <c r="C27" s="3" t="n">
        <f t="shared" ref="C27:G27" si="7">ROUND(C9,2-(1+INT(LOG10(ABS(C9)))))</f>
        <v>57</v>
      </c>
      <c r="D27" s="3" t="n">
        <f t="shared" si="7"/>
        <v>150</v>
      </c>
      <c r="E27" s="3" t="n">
        <f t="shared" si="7"/>
        <v>28</v>
      </c>
      <c r="F27" s="3" t="n">
        <f t="shared" si="7"/>
        <v>1</v>
      </c>
      <c r="G27" s="3" t="n">
        <f t="shared" si="7"/>
        <v>120000</v>
      </c>
    </row>
    <row r="28">
      <c r="B28" s="4" t="str">
        <f t="shared" si="1"/>
        <v>2030</v>
      </c>
      <c r="C28" s="3" t="n">
        <f t="shared" ref="C28:G28" si="8">ROUND(C10,2-(1+INT(LOG10(ABS(C10)))))</f>
        <v>60</v>
      </c>
      <c r="D28" s="3" t="n">
        <f t="shared" si="8"/>
        <v>160</v>
      </c>
      <c r="E28" s="3" t="n">
        <f t="shared" si="8"/>
        <v>29</v>
      </c>
      <c r="F28" s="3" t="n">
        <f t="shared" si="8"/>
        <v>1.1000000000000001</v>
      </c>
      <c r="G28" s="3" t="n">
        <f t="shared" si="8"/>
        <v>120000</v>
      </c>
    </row>
    <row r="29">
      <c r="B29" s="4" t="str">
        <f t="shared" si="1"/>
        <v>2031</v>
      </c>
      <c r="C29" s="3" t="n">
        <f t="shared" ref="C29:G29" si="9">ROUND(C11,2-(1+INT(LOG10(ABS(C11)))))</f>
        <v>62</v>
      </c>
      <c r="D29" s="3" t="n">
        <f t="shared" si="9"/>
        <v>160</v>
      </c>
      <c r="E29" s="3" t="n">
        <f t="shared" si="9"/>
        <v>30</v>
      </c>
      <c r="F29" s="3" t="n">
        <f t="shared" si="9"/>
        <v>1.1000000000000001</v>
      </c>
      <c r="G29" s="3" t="n">
        <f t="shared" si="9"/>
        <v>130000</v>
      </c>
    </row>
    <row r="30">
      <c r="B30" s="4" t="str">
        <f t="shared" si="1"/>
        <v>2032</v>
      </c>
      <c r="C30" s="3" t="n">
        <f t="shared" ref="C30:G30" si="10">ROUND(C12,2-(1+INT(LOG10(ABS(C12)))))</f>
        <v>64</v>
      </c>
      <c r="D30" s="3" t="n">
        <f t="shared" si="10"/>
        <v>170</v>
      </c>
      <c r="E30" s="3" t="n">
        <f t="shared" si="10"/>
        <v>31</v>
      </c>
      <c r="F30" s="3" t="n">
        <f t="shared" si="10"/>
        <v>1.2</v>
      </c>
      <c r="G30" s="3" t="n">
        <f t="shared" si="10"/>
        <v>130000</v>
      </c>
    </row>
    <row r="31">
      <c r="B31" s="4" t="str">
        <f t="shared" si="1"/>
        <v>2033</v>
      </c>
      <c r="C31" s="3" t="n">
        <f t="shared" ref="C31:G31" si="11">ROUND(C13,2-(1+INT(LOG10(ABS(C13)))))</f>
        <v>66</v>
      </c>
      <c r="D31" s="3" t="n">
        <f t="shared" si="11"/>
        <v>170</v>
      </c>
      <c r="E31" s="3" t="n">
        <f t="shared" si="11"/>
        <v>32</v>
      </c>
      <c r="F31" s="3" t="n">
        <f t="shared" si="11"/>
        <v>1.2</v>
      </c>
      <c r="G31" s="3" t="n">
        <f t="shared" si="11"/>
        <v>140000</v>
      </c>
    </row>
    <row r="32">
      <c r="B32" s="4" t="str">
        <f>B14</f>
        <v>2034</v>
      </c>
      <c r="C32" s="3" t="n">
        <f t="shared" ref="C32:G32" si="12">ROUND(C14,2-(1+INT(LOG10(ABS(C14)))))</f>
        <v>67</v>
      </c>
      <c r="D32" s="3" t="n">
        <f t="shared" si="12"/>
        <v>180</v>
      </c>
      <c r="E32" s="3" t="n">
        <f t="shared" si="12"/>
        <v>33</v>
      </c>
      <c r="F32" s="3" t="n">
        <f t="shared" si="12"/>
        <v>1.2</v>
      </c>
      <c r="G32" s="3" t="n">
        <f t="shared" si="12"/>
        <v>140000</v>
      </c>
    </row>
    <row r="33" ht="15" customHeight="1">
      <c r="B33" s="4" t="str">
        <f t="shared" si="1"/>
        <v>2035</v>
      </c>
      <c r="C33" s="3" t="n">
        <f t="shared" ref="C33:G33" si="13">ROUND(C15,2-(1+INT(LOG10(ABS(C15)))))</f>
        <v>69</v>
      </c>
      <c r="D33" s="3" t="n">
        <f t="shared" si="13"/>
        <v>180</v>
      </c>
      <c r="E33" s="3" t="n">
        <f t="shared" si="13"/>
        <v>33</v>
      </c>
      <c r="F33" s="3" t="n">
        <f t="shared" si="13"/>
        <v>1.3</v>
      </c>
      <c r="G33" s="3" t="n">
        <f t="shared" si="13"/>
        <v>140000</v>
      </c>
    </row>
    <row r="34" ht="15" customHeight="1">
      <c r="B34" s="9" t="str">
        <f>B16</f>
        <v>Total</v>
      </c>
      <c r="C34" s="2" t="n">
        <f t="shared" ref="C34:G34" si="14">ROUND(C16,2-(1+INT(LOG10(ABS(C16)))))</f>
        <v>680</v>
      </c>
      <c r="D34" s="2" t="n">
        <f t="shared" si="14"/>
        <v>1800</v>
      </c>
      <c r="E34" s="2" t="n">
        <f t="shared" si="14"/>
        <v>330</v>
      </c>
      <c r="F34" s="2" t="n">
        <f t="shared" si="14"/>
        <v>12</v>
      </c>
      <c r="G34" s="2" t="n">
        <f t="shared" si="14"/>
        <v>1400000</v>
      </c>
    </row>
    <row r="35" ht="15" customHeight="1"/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2" max="2" width="20.140625" hidden="0" customWidth="1"/>
    <col min="3" max="3" width="10.5703125" hidden="0" customWidth="1"/>
    <col min="6" max="6" width="14.7109375" hidden="0" customWidth="1"/>
  </cols>
  <sheetData>
    <row r="2" ht="16.149999999999999" customHeight="1">
      <c r="B2" s="1" t="s">
        <v>184</v>
      </c>
      <c r="C2" s="1" t="s">
        <v>176</v>
      </c>
    </row>
    <row r="3" ht="15" customHeight="1">
      <c r="B3" s="19" t="s">
        <v>63</v>
      </c>
      <c r="C3" s="104" t="n">
        <v>0.05</v>
      </c>
      <c r="D3" s="104" t="n">
        <v>0.03</v>
      </c>
      <c r="E3" s="105" t="n">
        <v>2.5000000000000001E-2</v>
      </c>
      <c r="F3" s="104" t="n">
        <v>0.03</v>
      </c>
    </row>
    <row r="4" ht="16.149999999999999" customHeight="1">
      <c r="B4" s="20"/>
      <c r="C4" s="8" t="s">
        <v>120</v>
      </c>
      <c r="D4" s="8" t="s">
        <v>120</v>
      </c>
      <c r="E4" s="8" t="s">
        <v>120</v>
      </c>
      <c r="F4" s="8" t="s">
        <v>466</v>
      </c>
    </row>
    <row r="5" ht="15.6" customHeight="1">
      <c r="B5" s="4" t="s">
        <v>464</v>
      </c>
      <c r="C5" s="52"/>
      <c r="D5" s="52"/>
      <c r="E5" s="52"/>
      <c r="F5" s="52"/>
    </row>
    <row r="6">
      <c r="B6" s="4" t="s">
        <v>135</v>
      </c>
      <c r="C6" s="95" t="n">
        <f>cb_disc_less!C16</f>
        <v>6770.5318358423501</v>
      </c>
      <c r="D6" s="95" t="n">
        <f>cb_disc_less!D16</f>
        <v>16798.006964227701</v>
      </c>
      <c r="E6" s="95" t="n">
        <f>cb_disc_less!E16</f>
        <v>22523.1672555277</v>
      </c>
      <c r="F6" s="95" t="n">
        <f>cb_disc_less!F16</f>
        <v>44648.453919029598</v>
      </c>
    </row>
    <row r="7">
      <c r="B7" s="4" t="s">
        <v>134</v>
      </c>
      <c r="C7" s="95" t="n">
        <f>cb_disc!C16</f>
        <v>19324.7364984907</v>
      </c>
      <c r="D7" s="95" t="n">
        <f>cb_disc!D16</f>
        <v>47945.5702635286</v>
      </c>
      <c r="E7" s="95" t="n">
        <f>cb_disc!E16</f>
        <v>64286.896600001397</v>
      </c>
      <c r="F7" s="95" t="n">
        <f>cb_disc!F16</f>
        <v>127438.19319386101</v>
      </c>
    </row>
    <row r="8">
      <c r="B8" s="4" t="s">
        <v>133</v>
      </c>
      <c r="C8" s="95" t="n">
        <f>cb_disc_more!C16</f>
        <v>19433.404665941802</v>
      </c>
      <c r="D8" s="95" t="n">
        <f>cb_disc_more!D16</f>
        <v>48214.533514336799</v>
      </c>
      <c r="E8" s="95" t="n">
        <f>cb_disc_more!E16</f>
        <v>64647.354625023399</v>
      </c>
      <c r="F8" s="95" t="n">
        <f>cb_disc_more!F16</f>
        <v>128152.94757867001</v>
      </c>
    </row>
    <row r="9" ht="15.6" customHeight="1">
      <c r="B9" s="4" t="s">
        <v>465</v>
      </c>
      <c r="C9" s="4"/>
      <c r="D9" s="4"/>
      <c r="E9" s="4"/>
      <c r="F9" s="4"/>
    </row>
    <row r="10">
      <c r="B10" s="4" t="s">
        <v>135</v>
      </c>
      <c r="C10" s="95" t="n">
        <f xml:space="preserve"> cb_disc_less!C17</f>
        <v>720.76214717705602</v>
      </c>
      <c r="D10" s="95" t="n">
        <f xml:space="preserve"> cb_disc_less!D17</f>
        <v>1579.5089342047499</v>
      </c>
      <c r="E10" s="95" t="n">
        <f xml:space="preserve"> cb_disc_less!E17</f>
        <v>2050.6954320782702</v>
      </c>
      <c r="F10" s="95" t="n">
        <f xml:space="preserve"> cb_disc_less!F17</f>
        <v>4198.2737603168298</v>
      </c>
    </row>
    <row r="11">
      <c r="B11" s="4" t="s">
        <v>134</v>
      </c>
      <c r="C11" s="95" t="n">
        <f>cb_disc!C17</f>
        <v>2057.22961061154</v>
      </c>
      <c r="D11" s="95" t="n">
        <f>cb_disc!D17</f>
        <v>4508.30010655772</v>
      </c>
      <c r="E11" s="95" t="n">
        <f>cb_disc!E17</f>
        <v>5853.2107720221402</v>
      </c>
      <c r="F11" s="95" t="n">
        <f>cb_disc!F17</f>
        <v>11982.955188509801</v>
      </c>
    </row>
    <row r="12" ht="15" customHeight="1">
      <c r="B12" s="8" t="s">
        <v>133</v>
      </c>
      <c r="C12" s="95" t="n">
        <f>cb_disc_more!C17</f>
        <v>2068.7979635269198</v>
      </c>
      <c r="D12" s="95" t="n">
        <f>cb_disc_more!D17</f>
        <v>4533.5905983719704</v>
      </c>
      <c r="E12" s="95" t="n">
        <f>cb_disc_more!E17</f>
        <v>5886.0298519047501</v>
      </c>
      <c r="F12" s="95" t="n">
        <f>cb_disc_more!F17</f>
        <v>12050.1632173533</v>
      </c>
    </row>
    <row r="13" ht="15" customHeight="1">
      <c r="B13" s="102" t="s">
        <v>153</v>
      </c>
      <c r="C13" s="102"/>
      <c r="D13" s="102"/>
      <c r="E13" s="102"/>
      <c r="F13" s="102"/>
    </row>
    <row r="14" ht="24.6" customHeight="1">
      <c r="B14" s="100" t="s">
        <v>154</v>
      </c>
      <c r="C14" s="100"/>
      <c r="D14" s="100"/>
      <c r="E14" s="100"/>
      <c r="F14" s="100"/>
    </row>
    <row r="15">
      <c r="B15" s="4" t="s">
        <v>135</v>
      </c>
      <c r="C15" s="3" t="n">
        <f>-emissions_less!C20</f>
        <v>12496212.913735855</v>
      </c>
      <c r="D15" s="3"/>
      <c r="E15" s="3"/>
      <c r="F15" s="3"/>
    </row>
    <row r="16">
      <c r="B16" s="4" t="s">
        <v>134</v>
      </c>
      <c r="C16" s="3" t="n">
        <f>-emissions!C20</f>
        <v>35668018.285049513</v>
      </c>
      <c r="D16" s="3"/>
      <c r="E16" s="3"/>
      <c r="F16" s="3"/>
    </row>
    <row r="17" ht="15" customHeight="1">
      <c r="B17" s="8" t="s">
        <v>133</v>
      </c>
      <c r="C17" s="3" t="n">
        <f>-emissions_more!C20</f>
        <v>35867964.038022943</v>
      </c>
      <c r="D17" s="3"/>
      <c r="E17" s="3"/>
      <c r="F17" s="3"/>
    </row>
    <row r="18" ht="26.45" customHeight="1">
      <c r="B18" s="100" t="s">
        <v>175</v>
      </c>
      <c r="C18" s="100"/>
      <c r="D18" s="100"/>
      <c r="E18" s="100"/>
      <c r="F18" s="100"/>
    </row>
    <row r="19">
      <c r="B19" s="4" t="s">
        <v>135</v>
      </c>
      <c r="C19" s="3" t="n">
        <f>-emissions_less!D20</f>
        <v>3394616.121789502</v>
      </c>
      <c r="D19" s="3"/>
      <c r="E19" s="3"/>
      <c r="F19" s="3"/>
    </row>
    <row r="20">
      <c r="B20" s="4" t="s">
        <v>134</v>
      </c>
      <c r="C20" s="3" t="n">
        <f>-emissions!D20</f>
        <v>9709401.0069108326</v>
      </c>
      <c r="D20" s="3"/>
      <c r="E20" s="3"/>
      <c r="F20" s="3"/>
    </row>
    <row r="21" ht="15" customHeight="1">
      <c r="B21" s="8" t="s">
        <v>133</v>
      </c>
      <c r="C21" s="3" t="n">
        <f>-emissions_more!D20</f>
        <v>9764980.8682097401</v>
      </c>
      <c r="D21" s="3"/>
      <c r="E21" s="3"/>
      <c r="F21" s="3"/>
    </row>
    <row r="22" ht="24.6" customHeight="1">
      <c r="B22" s="100" t="s">
        <v>155</v>
      </c>
      <c r="C22" s="100"/>
      <c r="D22" s="100"/>
      <c r="E22" s="100"/>
      <c r="F22" s="100"/>
    </row>
    <row r="23">
      <c r="B23" s="4" t="s">
        <v>135</v>
      </c>
      <c r="C23" s="3" t="n">
        <f>-emissions_less!E20</f>
        <v>154514.84373167332</v>
      </c>
      <c r="D23" s="3"/>
      <c r="E23" s="3"/>
      <c r="F23" s="3"/>
    </row>
    <row r="24">
      <c r="B24" s="4" t="s">
        <v>134</v>
      </c>
      <c r="C24" s="3" t="n">
        <f>-emissions!E20</f>
        <v>392281.43697567686</v>
      </c>
      <c r="D24" s="3"/>
      <c r="E24" s="3"/>
      <c r="F24" s="3"/>
    </row>
    <row r="25" ht="15" customHeight="1">
      <c r="B25" s="8" t="s">
        <v>133</v>
      </c>
      <c r="C25" s="16" t="n">
        <f>-emissions_more!E20</f>
        <v>394375.13035080628</v>
      </c>
      <c r="D25" s="16"/>
      <c r="E25" s="16"/>
      <c r="F25" s="16"/>
    </row>
    <row r="26">
      <c r="B26" s="103"/>
    </row>
    <row r="27" ht="16.149999999999999" customHeight="1">
      <c r="B27" s="1" t="s">
        <v>184</v>
      </c>
      <c r="C27" s="1" t="s">
        <v>176</v>
      </c>
    </row>
    <row r="28" ht="15" customHeight="1">
      <c r="B28" s="19" t="s">
        <v>63</v>
      </c>
      <c r="C28" s="104" t="n">
        <v>0.05</v>
      </c>
      <c r="D28" s="104" t="n">
        <v>0.03</v>
      </c>
      <c r="E28" s="105" t="n">
        <v>2.5000000000000001E-2</v>
      </c>
      <c r="F28" s="104" t="n">
        <v>0.03</v>
      </c>
    </row>
    <row r="29" ht="16.149999999999999" customHeight="1">
      <c r="B29" s="20"/>
      <c r="C29" s="8" t="s">
        <v>120</v>
      </c>
      <c r="D29" s="8" t="s">
        <v>120</v>
      </c>
      <c r="E29" s="8" t="s">
        <v>120</v>
      </c>
      <c r="F29" s="8" t="s">
        <v>466</v>
      </c>
    </row>
    <row r="30" ht="15.6" customHeight="1">
      <c r="B30" s="4" t="s">
        <v>464</v>
      </c>
      <c r="C30" s="52"/>
      <c r="D30" s="52"/>
      <c r="E30" s="52"/>
      <c r="F30" s="52"/>
    </row>
    <row r="31">
      <c r="B31" s="4" t="s">
        <v>135</v>
      </c>
      <c r="C31" s="95" t="n">
        <f t="shared" ref="C31:F33" si="0">ROUND(C6,2-(1+INT(LOG10(ABS(C6)))))</f>
        <v>6800</v>
      </c>
      <c r="D31" s="95" t="n">
        <f t="shared" si="0"/>
        <v>17000</v>
      </c>
      <c r="E31" s="95" t="n">
        <f t="shared" si="0"/>
        <v>23000</v>
      </c>
      <c r="F31" s="95" t="n">
        <f t="shared" si="0"/>
        <v>45000</v>
      </c>
    </row>
    <row r="32">
      <c r="B32" s="4" t="s">
        <v>134</v>
      </c>
      <c r="C32" s="95" t="n">
        <f t="shared" si="0"/>
        <v>19000</v>
      </c>
      <c r="D32" s="95" t="n">
        <f t="shared" si="0"/>
        <v>48000</v>
      </c>
      <c r="E32" s="95" t="n">
        <f t="shared" si="0"/>
        <v>64000</v>
      </c>
      <c r="F32" s="95" t="n">
        <f t="shared" si="0"/>
        <v>130000</v>
      </c>
    </row>
    <row r="33">
      <c r="B33" s="4" t="s">
        <v>133</v>
      </c>
      <c r="C33" s="95" t="n">
        <f t="shared" si="0"/>
        <v>19000</v>
      </c>
      <c r="D33" s="95" t="n">
        <f t="shared" si="0"/>
        <v>48000</v>
      </c>
      <c r="E33" s="95" t="n">
        <f t="shared" si="0"/>
        <v>65000</v>
      </c>
      <c r="F33" s="95" t="n">
        <f t="shared" si="0"/>
        <v>130000</v>
      </c>
    </row>
    <row r="34" ht="15.6" customHeight="1">
      <c r="B34" s="4" t="s">
        <v>465</v>
      </c>
      <c r="C34" s="95"/>
      <c r="D34" s="95"/>
      <c r="E34" s="95"/>
      <c r="F34" s="95"/>
    </row>
    <row r="35">
      <c r="B35" s="4" t="s">
        <v>135</v>
      </c>
      <c r="C35" s="95" t="n">
        <f>ROUND(C10,2-(1+INT(LOG10(ABS(C10)))))</f>
        <v>720</v>
      </c>
      <c r="D35" s="95" t="n">
        <f>ROUND(D10,2-(1+INT(LOG10(ABS(D10)))))</f>
        <v>1600</v>
      </c>
      <c r="E35" s="95" t="n">
        <f>ROUND(E10,2-(1+INT(LOG10(ABS(E10)))))</f>
        <v>2100</v>
      </c>
      <c r="F35" s="95" t="n">
        <f>ROUND(F10,2-(1+INT(LOG10(ABS(F10)))))</f>
        <v>4200</v>
      </c>
    </row>
    <row r="36">
      <c r="B36" s="4" t="s">
        <v>134</v>
      </c>
      <c r="C36" s="95" t="n">
        <f t="shared" ref="C36:F37" si="1">ROUND(C11,2-(1+INT(LOG10(ABS(C11)))))</f>
        <v>2100</v>
      </c>
      <c r="D36" s="95" t="n">
        <f t="shared" si="1"/>
        <v>4500</v>
      </c>
      <c r="E36" s="95" t="n">
        <f t="shared" si="1"/>
        <v>5900</v>
      </c>
      <c r="F36" s="95" t="n">
        <f t="shared" si="1"/>
        <v>12000</v>
      </c>
    </row>
    <row r="37" ht="15" customHeight="1">
      <c r="B37" s="8" t="s">
        <v>133</v>
      </c>
      <c r="C37" s="95" t="n">
        <f>ROUND(C12,2-(1+INT(LOG10(ABS(C12)))))</f>
        <v>2100</v>
      </c>
      <c r="D37" s="95" t="n">
        <f t="shared" si="1"/>
        <v>4500</v>
      </c>
      <c r="E37" s="95" t="n">
        <f t="shared" si="1"/>
        <v>5900</v>
      </c>
      <c r="F37" s="95" t="n">
        <f t="shared" si="1"/>
        <v>12000</v>
      </c>
    </row>
    <row r="38" ht="15" customHeight="1">
      <c r="B38" s="102" t="s">
        <v>153</v>
      </c>
      <c r="C38" s="102"/>
      <c r="D38" s="102"/>
      <c r="E38" s="102"/>
      <c r="F38" s="102"/>
    </row>
    <row r="39" ht="30.6" customHeight="1">
      <c r="B39" s="100" t="s">
        <v>154</v>
      </c>
      <c r="C39" s="100"/>
      <c r="D39" s="100"/>
      <c r="E39" s="100"/>
      <c r="F39" s="100"/>
    </row>
    <row r="40">
      <c r="B40" s="4" t="s">
        <v>135</v>
      </c>
      <c r="C40" s="3" t="n">
        <f>ROUND(C15,2-(1+INT(LOG10(ABS(C15)))))</f>
        <v>12000000</v>
      </c>
      <c r="D40" s="3"/>
      <c r="E40" s="3"/>
      <c r="F40" s="3"/>
    </row>
    <row r="41">
      <c r="B41" s="4" t="s">
        <v>134</v>
      </c>
      <c r="C41" s="3" t="n">
        <f>ROUND(C16,2-(1+INT(LOG10(ABS(C16)))))</f>
        <v>36000000</v>
      </c>
      <c r="D41" s="3"/>
      <c r="E41" s="3"/>
      <c r="F41" s="3"/>
    </row>
    <row r="42" ht="15" customHeight="1">
      <c r="B42" s="8" t="s">
        <v>133</v>
      </c>
      <c r="C42" s="16" t="n">
        <f>ROUND(C17,2-(1+INT(LOG10(ABS(C17)))))</f>
        <v>36000000</v>
      </c>
      <c r="D42" s="16"/>
      <c r="E42" s="16"/>
      <c r="F42" s="16"/>
    </row>
    <row r="43" ht="15.6" customHeight="1">
      <c r="B43" s="100" t="s">
        <v>175</v>
      </c>
      <c r="C43" s="100"/>
      <c r="D43" s="100"/>
      <c r="E43" s="100"/>
      <c r="F43" s="100"/>
    </row>
    <row r="44">
      <c r="B44" s="4" t="s">
        <v>135</v>
      </c>
      <c r="C44" s="3" t="n">
        <f>ROUND(C19,2-(1+INT(LOG10(ABS(C19)))))</f>
        <v>3400000</v>
      </c>
      <c r="D44" s="3"/>
      <c r="E44" s="3"/>
      <c r="F44" s="3"/>
    </row>
    <row r="45">
      <c r="B45" s="4" t="s">
        <v>134</v>
      </c>
      <c r="C45" s="3" t="n">
        <f>ROUND(C20,2-(1+INT(LOG10(ABS(C20)))))</f>
        <v>9700000</v>
      </c>
      <c r="D45" s="3"/>
      <c r="E45" s="3"/>
      <c r="F45" s="3"/>
    </row>
    <row r="46" ht="15" customHeight="1">
      <c r="B46" s="4" t="s">
        <v>133</v>
      </c>
      <c r="C46" s="3" t="n">
        <f>ROUND(C21,2-(1+INT(LOG10(ABS(C21)))))</f>
        <v>9800000</v>
      </c>
      <c r="D46" s="3"/>
      <c r="E46" s="3"/>
      <c r="F46" s="3"/>
    </row>
    <row r="47">
      <c r="B47" s="100" t="s">
        <v>155</v>
      </c>
      <c r="C47" s="100"/>
      <c r="D47" s="100"/>
      <c r="E47" s="100"/>
      <c r="F47" s="100"/>
    </row>
    <row r="48">
      <c r="B48" s="4" t="s">
        <v>135</v>
      </c>
      <c r="C48" s="3" t="n">
        <f>ROUND(C23,2-(1+INT(LOG10(ABS(C23)))))</f>
        <v>150000</v>
      </c>
      <c r="D48" s="3"/>
      <c r="E48" s="3"/>
      <c r="F48" s="3"/>
    </row>
    <row r="49">
      <c r="B49" s="4" t="s">
        <v>134</v>
      </c>
      <c r="C49" s="3" t="n">
        <f>ROUND(C24,2-(1+INT(LOG10(ABS(C24)))))</f>
        <v>390000</v>
      </c>
      <c r="D49" s="3"/>
      <c r="E49" s="3"/>
      <c r="F49" s="3"/>
    </row>
    <row r="50" ht="15" customHeight="1">
      <c r="B50" s="8" t="s">
        <v>133</v>
      </c>
      <c r="C50" s="16" t="n">
        <f>ROUND(C25,2-(1+INT(LOG10(ABS(C25)))))</f>
        <v>390000</v>
      </c>
      <c r="D50" s="16"/>
      <c r="E50" s="16"/>
      <c r="F50" s="16"/>
    </row>
  </sheetData>
  <mergeCells count="28">
    <mergeCell ref="B3:B4"/>
    <mergeCell ref="B13:F13"/>
    <mergeCell ref="B14:F14"/>
    <mergeCell ref="C15:F15"/>
    <mergeCell ref="C16:F16"/>
    <mergeCell ref="C17:F17"/>
    <mergeCell ref="B18:F18"/>
    <mergeCell ref="C19:F19"/>
    <mergeCell ref="C20:F20"/>
    <mergeCell ref="C21:F21"/>
    <mergeCell ref="B22:F22"/>
    <mergeCell ref="C23:F23"/>
    <mergeCell ref="C24:F24"/>
    <mergeCell ref="C25:F25"/>
    <mergeCell ref="B28:B29"/>
    <mergeCell ref="B38:F38"/>
    <mergeCell ref="B39:F39"/>
    <mergeCell ref="C40:F40"/>
    <mergeCell ref="C41:F41"/>
    <mergeCell ref="C42:F42"/>
    <mergeCell ref="C48:F48"/>
    <mergeCell ref="C49:F49"/>
    <mergeCell ref="C50:F50"/>
    <mergeCell ref="B43:F43"/>
    <mergeCell ref="C44:F44"/>
    <mergeCell ref="C45:F45"/>
    <mergeCell ref="C46:F46"/>
    <mergeCell ref="B47:F47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2" max="2" width="20.140625" hidden="0" customWidth="1"/>
    <col min="3" max="3" width="10.5703125" hidden="0" customWidth="1"/>
    <col min="6" max="6" width="14.7109375" hidden="0" customWidth="1"/>
  </cols>
  <sheetData>
    <row r="2" ht="16.149999999999999" customHeight="1">
      <c r="B2" s="1" t="s">
        <v>185</v>
      </c>
      <c r="C2" s="1" t="s">
        <v>178</v>
      </c>
    </row>
    <row r="3" ht="15" customHeight="1">
      <c r="B3" s="19" t="s">
        <v>63</v>
      </c>
      <c r="C3" s="104" t="n">
        <v>0.05</v>
      </c>
      <c r="D3" s="104" t="n">
        <v>0.03</v>
      </c>
      <c r="E3" s="105" t="n">
        <v>2.5000000000000001E-2</v>
      </c>
      <c r="F3" s="104" t="n">
        <v>0.03</v>
      </c>
    </row>
    <row r="4" ht="16.149999999999999" customHeight="1">
      <c r="B4" s="20"/>
      <c r="C4" s="8" t="s">
        <v>120</v>
      </c>
      <c r="D4" s="8" t="s">
        <v>120</v>
      </c>
      <c r="E4" s="8" t="s">
        <v>120</v>
      </c>
      <c r="F4" s="8" t="s">
        <v>174</v>
      </c>
    </row>
    <row r="5" ht="15.6" customHeight="1">
      <c r="B5" s="4" t="s">
        <v>464</v>
      </c>
      <c r="C5" s="52"/>
      <c r="D5" s="52"/>
      <c r="E5" s="52"/>
      <c r="F5" s="52"/>
    </row>
    <row r="6">
      <c r="B6" s="4" t="s">
        <v>135</v>
      </c>
      <c r="C6" s="95" t="n">
        <f>cb_disc_less_NSPS!C16</f>
        <v>803.80028083449304</v>
      </c>
      <c r="D6" s="95" t="n">
        <f>cb_disc_less_NSPS!D16</f>
        <v>2000.63961495018</v>
      </c>
      <c r="E6" s="95" t="n">
        <f>cb_disc_less_NSPS!E16</f>
        <v>2684.3455603349198</v>
      </c>
      <c r="F6" s="95" t="n">
        <f>cb_disc_less_NSPS!F16</f>
        <v>5319.2630216898197</v>
      </c>
    </row>
    <row r="7">
      <c r="B7" s="4" t="s">
        <v>134</v>
      </c>
      <c r="C7" s="95" t="n">
        <f>cb_disc_NSPS!C16</f>
        <v>4379.9255206855096</v>
      </c>
      <c r="D7" s="95" t="n">
        <f>cb_disc_NSPS!D16</f>
        <v>10917.4588774313</v>
      </c>
      <c r="E7" s="95" t="n">
        <f>cb_disc_NSPS!E16</f>
        <v>14652.567637624599</v>
      </c>
      <c r="F7" s="95" t="n">
        <f>cb_disc_NSPS!F16</f>
        <v>29030.285807079199</v>
      </c>
    </row>
    <row r="8">
      <c r="B8" s="4" t="s">
        <v>133</v>
      </c>
      <c r="C8" s="95" t="n">
        <f>cb_disc_more_NSPS!C16</f>
        <v>4383.3359128669299</v>
      </c>
      <c r="D8" s="95" t="n">
        <f>cb_disc_more_NSPS!D16</f>
        <v>10925.961558188301</v>
      </c>
      <c r="E8" s="95" t="n">
        <f>cb_disc_more_NSPS!E16</f>
        <v>14663.9797528777</v>
      </c>
      <c r="F8" s="95" t="n">
        <f>cb_disc_more_NSPS!F16</f>
        <v>29052.895359290102</v>
      </c>
    </row>
    <row r="9" ht="15.6" customHeight="1">
      <c r="B9" s="4" t="s">
        <v>465</v>
      </c>
      <c r="C9" s="4"/>
      <c r="D9" s="4"/>
      <c r="E9" s="4"/>
      <c r="F9" s="4"/>
    </row>
    <row r="10">
      <c r="B10" s="4" t="s">
        <v>135</v>
      </c>
      <c r="C10" s="95" t="n">
        <f xml:space="preserve"> cb_disc_less_NSPS!C17</f>
        <v>85.569173938270296</v>
      </c>
      <c r="D10" s="95" t="n">
        <f xml:space="preserve"> cb_disc_less_NSPS!D17</f>
        <v>188.11923061272799</v>
      </c>
      <c r="E10" s="95" t="n">
        <f xml:space="preserve"> cb_disc_less_NSPS!E17</f>
        <v>244.40502156051801</v>
      </c>
      <c r="F10" s="95" t="n">
        <f xml:space="preserve"> cb_disc_less_NSPS!F17</f>
        <v>500.16787610793301</v>
      </c>
    </row>
    <row r="11">
      <c r="B11" s="4" t="s">
        <v>134</v>
      </c>
      <c r="C11" s="95" t="n">
        <f>cb_disc_NSPS!C17</f>
        <v>466.26832268223302</v>
      </c>
      <c r="D11" s="95" t="n">
        <f>cb_disc_NSPS!D17</f>
        <v>1026.56367939591</v>
      </c>
      <c r="E11" s="95" t="n">
        <f>cb_disc_NSPS!E17</f>
        <v>1334.09094652619</v>
      </c>
      <c r="F11" s="95" t="n">
        <f>cb_disc_NSPS!F17</f>
        <v>2729.7045353324902</v>
      </c>
    </row>
    <row r="12" ht="15" customHeight="1">
      <c r="B12" s="8" t="s">
        <v>133</v>
      </c>
      <c r="C12" s="95" t="n">
        <f>cb_disc_more_NSPS!C17</f>
        <v>466.63137859142898</v>
      </c>
      <c r="D12" s="95" t="n">
        <f>cb_disc_more_NSPS!D17</f>
        <v>1027.3631825898899</v>
      </c>
      <c r="E12" s="95" t="n">
        <f>cb_disc_more_NSPS!E17</f>
        <v>1335.1299998864199</v>
      </c>
      <c r="F12" s="95" t="n">
        <f>cb_disc_more_NSPS!F17</f>
        <v>2731.8305012159099</v>
      </c>
    </row>
    <row r="13" ht="15" customHeight="1">
      <c r="B13" s="102" t="s">
        <v>153</v>
      </c>
      <c r="C13" s="102"/>
      <c r="D13" s="102"/>
      <c r="E13" s="102"/>
      <c r="F13" s="102"/>
    </row>
    <row r="14" ht="24.6" customHeight="1">
      <c r="B14" s="100" t="s">
        <v>154</v>
      </c>
      <c r="C14" s="100"/>
      <c r="D14" s="100"/>
      <c r="E14" s="100"/>
      <c r="F14" s="100"/>
    </row>
    <row r="15">
      <c r="B15" s="4" t="s">
        <v>135</v>
      </c>
      <c r="C15" s="3" t="n">
        <f>-emissions_less_NSPS!C20</f>
        <v>1913306.1267933925</v>
      </c>
      <c r="D15" s="3"/>
      <c r="E15" s="3"/>
      <c r="F15" s="3"/>
    </row>
    <row r="16">
      <c r="B16" s="4" t="s">
        <v>134</v>
      </c>
      <c r="C16" s="3" t="n">
        <f>-emissions_NSPS!C18</f>
        <v>8133762.0091957822</v>
      </c>
      <c r="D16" s="3"/>
      <c r="E16" s="3"/>
      <c r="F16" s="3"/>
    </row>
    <row r="17" ht="15" customHeight="1">
      <c r="B17" s="8" t="s">
        <v>133</v>
      </c>
      <c r="C17" s="3" t="n">
        <f>-emissions_more_NSPS!C20</f>
        <v>10105341.404991722</v>
      </c>
      <c r="D17" s="3"/>
      <c r="E17" s="3"/>
      <c r="F17" s="3"/>
    </row>
    <row r="18" ht="26.45" customHeight="1">
      <c r="B18" s="100" t="s">
        <v>175</v>
      </c>
      <c r="C18" s="100"/>
      <c r="D18" s="100"/>
      <c r="E18" s="100"/>
      <c r="F18" s="100"/>
    </row>
    <row r="19">
      <c r="B19" s="4" t="s">
        <v>135</v>
      </c>
      <c r="C19" s="3" t="n">
        <f>-emissions_less_NSPS!D20</f>
        <v>1361900.7840646005</v>
      </c>
      <c r="D19" s="3"/>
      <c r="E19" s="3"/>
      <c r="F19" s="3"/>
    </row>
    <row r="20">
      <c r="B20" s="4" t="s">
        <v>134</v>
      </c>
      <c r="C20" s="3" t="n">
        <f>-emissions_NSPS!D18</f>
        <v>2907952.8207497811</v>
      </c>
      <c r="D20" s="3"/>
      <c r="E20" s="3"/>
      <c r="F20" s="3"/>
    </row>
    <row r="21" ht="15" customHeight="1">
      <c r="B21" s="8" t="s">
        <v>133</v>
      </c>
      <c r="C21" s="3" t="n">
        <f>-emissions_more_NSPS!D20</f>
        <v>3603204.2300762478</v>
      </c>
      <c r="D21" s="3"/>
      <c r="E21" s="3"/>
      <c r="F21" s="3"/>
    </row>
    <row r="22" ht="24.6" customHeight="1">
      <c r="B22" s="100" t="s">
        <v>155</v>
      </c>
      <c r="C22" s="100"/>
      <c r="D22" s="100"/>
      <c r="E22" s="100"/>
      <c r="F22" s="100"/>
    </row>
    <row r="23">
      <c r="B23" s="4" t="s">
        <v>135</v>
      </c>
      <c r="C23" s="3" t="n">
        <f>-emissions_less_NSPS!E20</f>
        <v>51671.916723606337</v>
      </c>
      <c r="D23" s="3"/>
      <c r="E23" s="3"/>
      <c r="F23" s="3"/>
    </row>
    <row r="24">
      <c r="B24" s="4" t="s">
        <v>134</v>
      </c>
      <c r="C24" s="3" t="n">
        <f>-emissions_NSPS!E18</f>
        <v>109803.98774164445</v>
      </c>
      <c r="D24" s="3"/>
      <c r="E24" s="3"/>
      <c r="F24" s="3"/>
    </row>
    <row r="25" ht="15" customHeight="1">
      <c r="B25" s="8" t="s">
        <v>133</v>
      </c>
      <c r="C25" s="16" t="n">
        <f>-emissions_more_NSPS!E20</f>
        <v>136070.21068006291</v>
      </c>
      <c r="D25" s="16"/>
      <c r="E25" s="16"/>
      <c r="F25" s="16"/>
    </row>
    <row r="26">
      <c r="B26" s="103"/>
    </row>
    <row r="27" ht="16.149999999999999" customHeight="1">
      <c r="B27" s="1" t="s">
        <v>185</v>
      </c>
      <c r="C27" s="1" t="s">
        <v>178</v>
      </c>
    </row>
    <row r="28" ht="15" customHeight="1">
      <c r="B28" s="19" t="s">
        <v>63</v>
      </c>
      <c r="C28" s="104" t="n">
        <v>0.05</v>
      </c>
      <c r="D28" s="104" t="n">
        <v>0.03</v>
      </c>
      <c r="E28" s="105" t="n">
        <v>2.5000000000000001E-2</v>
      </c>
      <c r="F28" s="104" t="n">
        <v>0.03</v>
      </c>
    </row>
    <row r="29" ht="16.149999999999999" customHeight="1">
      <c r="B29" s="20"/>
      <c r="C29" s="8" t="s">
        <v>120</v>
      </c>
      <c r="D29" s="8" t="s">
        <v>120</v>
      </c>
      <c r="E29" s="8" t="s">
        <v>120</v>
      </c>
      <c r="F29" s="8" t="s">
        <v>174</v>
      </c>
    </row>
    <row r="30" ht="15.6" customHeight="1">
      <c r="B30" s="4" t="s">
        <v>464</v>
      </c>
      <c r="C30" s="52"/>
      <c r="D30" s="52"/>
      <c r="E30" s="52"/>
      <c r="F30" s="52"/>
    </row>
    <row r="31">
      <c r="B31" s="4" t="s">
        <v>135</v>
      </c>
      <c r="C31" s="95" t="n">
        <f t="shared" ref="C31:F33" si="0">ROUND(C6,2-(1+INT(LOG10(ABS(C6)))))</f>
        <v>800</v>
      </c>
      <c r="D31" s="95" t="n">
        <f t="shared" si="0"/>
        <v>2000</v>
      </c>
      <c r="E31" s="95" t="n">
        <f t="shared" si="0"/>
        <v>2700</v>
      </c>
      <c r="F31" s="95" t="n">
        <f t="shared" si="0"/>
        <v>5300</v>
      </c>
    </row>
    <row r="32">
      <c r="B32" s="4" t="s">
        <v>134</v>
      </c>
      <c r="C32" s="95" t="n">
        <f t="shared" si="0"/>
        <v>4400</v>
      </c>
      <c r="D32" s="95" t="n">
        <f t="shared" si="0"/>
        <v>11000</v>
      </c>
      <c r="E32" s="95" t="n">
        <f t="shared" si="0"/>
        <v>15000</v>
      </c>
      <c r="F32" s="95" t="n">
        <f t="shared" si="0"/>
        <v>29000</v>
      </c>
    </row>
    <row r="33">
      <c r="B33" s="4" t="s">
        <v>133</v>
      </c>
      <c r="C33" s="95" t="n">
        <f t="shared" si="0"/>
        <v>4400</v>
      </c>
      <c r="D33" s="95" t="n">
        <f t="shared" si="0"/>
        <v>11000</v>
      </c>
      <c r="E33" s="95" t="n">
        <f t="shared" si="0"/>
        <v>15000</v>
      </c>
      <c r="F33" s="95" t="n">
        <f t="shared" si="0"/>
        <v>29000</v>
      </c>
    </row>
    <row r="34" ht="15.6" customHeight="1">
      <c r="B34" s="4" t="s">
        <v>465</v>
      </c>
      <c r="C34" s="95"/>
      <c r="D34" s="95"/>
      <c r="E34" s="95"/>
      <c r="F34" s="95"/>
    </row>
    <row r="35">
      <c r="B35" s="4" t="s">
        <v>135</v>
      </c>
      <c r="C35" s="95" t="n">
        <f>ROUND(C10,2-(1+INT(LOG10(ABS(C10)))))</f>
        <v>86</v>
      </c>
      <c r="D35" s="95" t="n">
        <f>ROUND(D10,2-(1+INT(LOG10(ABS(D10)))))</f>
        <v>190</v>
      </c>
      <c r="E35" s="95" t="n">
        <f>ROUND(E10,2-(1+INT(LOG10(ABS(E10)))))</f>
        <v>240</v>
      </c>
      <c r="F35" s="95" t="n">
        <f>ROUND(F10,2-(1+INT(LOG10(ABS(F10)))))</f>
        <v>500</v>
      </c>
    </row>
    <row r="36">
      <c r="B36" s="4" t="s">
        <v>134</v>
      </c>
      <c r="C36" s="95" t="n">
        <f t="shared" ref="C36:F37" si="1">ROUND(C11,2-(1+INT(LOG10(ABS(C11)))))</f>
        <v>470</v>
      </c>
      <c r="D36" s="95" t="n">
        <f t="shared" si="1"/>
        <v>1000</v>
      </c>
      <c r="E36" s="95" t="n">
        <f t="shared" si="1"/>
        <v>1300</v>
      </c>
      <c r="F36" s="95" t="n">
        <f t="shared" si="1"/>
        <v>2700</v>
      </c>
    </row>
    <row r="37" ht="15" customHeight="1">
      <c r="B37" s="8" t="s">
        <v>133</v>
      </c>
      <c r="C37" s="95" t="n">
        <f>ROUND(C12,2-(1+INT(LOG10(ABS(C12)))))</f>
        <v>470</v>
      </c>
      <c r="D37" s="95" t="n">
        <f t="shared" si="1"/>
        <v>1000</v>
      </c>
      <c r="E37" s="95" t="n">
        <f t="shared" si="1"/>
        <v>1300</v>
      </c>
      <c r="F37" s="95" t="n">
        <f t="shared" si="1"/>
        <v>2700</v>
      </c>
    </row>
    <row r="38" ht="15" customHeight="1">
      <c r="B38" s="102" t="s">
        <v>153</v>
      </c>
      <c r="C38" s="102"/>
      <c r="D38" s="102"/>
      <c r="E38" s="102"/>
      <c r="F38" s="102"/>
    </row>
    <row r="39" ht="30.6" customHeight="1">
      <c r="B39" s="100" t="s">
        <v>154</v>
      </c>
      <c r="C39" s="100"/>
      <c r="D39" s="100"/>
      <c r="E39" s="100"/>
      <c r="F39" s="100"/>
    </row>
    <row r="40">
      <c r="B40" s="4" t="s">
        <v>135</v>
      </c>
      <c r="C40" s="3" t="n">
        <f>ROUND(C15,2-(1+INT(LOG10(ABS(C15)))))</f>
        <v>1900000</v>
      </c>
      <c r="D40" s="3"/>
      <c r="E40" s="3"/>
      <c r="F40" s="3"/>
    </row>
    <row r="41">
      <c r="B41" s="4" t="s">
        <v>134</v>
      </c>
      <c r="C41" s="3" t="n">
        <f>ROUND(C16,2-(1+INT(LOG10(ABS(C16)))))</f>
        <v>8100000</v>
      </c>
      <c r="D41" s="3"/>
      <c r="E41" s="3"/>
      <c r="F41" s="3"/>
    </row>
    <row r="42" ht="15" customHeight="1">
      <c r="B42" s="8" t="s">
        <v>133</v>
      </c>
      <c r="C42" s="16" t="n">
        <f>ROUND(C17,2-(1+INT(LOG10(ABS(C17)))))</f>
        <v>10000000</v>
      </c>
      <c r="D42" s="16"/>
      <c r="E42" s="16"/>
      <c r="F42" s="16"/>
    </row>
    <row r="43" ht="15.6" customHeight="1">
      <c r="B43" s="100" t="s">
        <v>175</v>
      </c>
      <c r="C43" s="100"/>
      <c r="D43" s="100"/>
      <c r="E43" s="100"/>
      <c r="F43" s="100"/>
    </row>
    <row r="44">
      <c r="B44" s="4" t="s">
        <v>135</v>
      </c>
      <c r="C44" s="3" t="n">
        <f>ROUND(C19,2-(1+INT(LOG10(ABS(C19)))))</f>
        <v>1400000</v>
      </c>
      <c r="D44" s="3"/>
      <c r="E44" s="3"/>
      <c r="F44" s="3"/>
    </row>
    <row r="45">
      <c r="B45" s="4" t="s">
        <v>134</v>
      </c>
      <c r="C45" s="3" t="n">
        <f>ROUND(C20,2-(1+INT(LOG10(ABS(C20)))))</f>
        <v>2900000</v>
      </c>
      <c r="D45" s="3"/>
      <c r="E45" s="3"/>
      <c r="F45" s="3"/>
    </row>
    <row r="46" ht="15" customHeight="1">
      <c r="B46" s="4" t="s">
        <v>133</v>
      </c>
      <c r="C46" s="3" t="n">
        <f>ROUND(C21,2-(1+INT(LOG10(ABS(C21)))))</f>
        <v>3600000</v>
      </c>
      <c r="D46" s="3"/>
      <c r="E46" s="3"/>
      <c r="F46" s="3"/>
    </row>
    <row r="47">
      <c r="B47" s="100" t="s">
        <v>155</v>
      </c>
      <c r="C47" s="100"/>
      <c r="D47" s="100"/>
      <c r="E47" s="100"/>
      <c r="F47" s="100"/>
    </row>
    <row r="48">
      <c r="B48" s="4" t="s">
        <v>135</v>
      </c>
      <c r="C48" s="3" t="n">
        <f>ROUND(C23,2-(1+INT(LOG10(ABS(C23)))))</f>
        <v>52000</v>
      </c>
      <c r="D48" s="3"/>
      <c r="E48" s="3"/>
      <c r="F48" s="3"/>
    </row>
    <row r="49">
      <c r="B49" s="4" t="s">
        <v>134</v>
      </c>
      <c r="C49" s="3" t="n">
        <f>ROUND(C24,2-(1+INT(LOG10(ABS(C24)))))</f>
        <v>110000</v>
      </c>
      <c r="D49" s="3"/>
      <c r="E49" s="3"/>
      <c r="F49" s="3"/>
    </row>
    <row r="50" ht="15" customHeight="1">
      <c r="B50" s="8" t="s">
        <v>133</v>
      </c>
      <c r="C50" s="16" t="n">
        <f>ROUND(C25,2-(1+INT(LOG10(ABS(C25)))))</f>
        <v>140000</v>
      </c>
      <c r="D50" s="16"/>
      <c r="E50" s="16"/>
      <c r="F50" s="16"/>
    </row>
  </sheetData>
  <mergeCells count="28">
    <mergeCell ref="C17:F17"/>
    <mergeCell ref="B3:B4"/>
    <mergeCell ref="B13:F13"/>
    <mergeCell ref="B14:F14"/>
    <mergeCell ref="C15:F15"/>
    <mergeCell ref="C16:F16"/>
    <mergeCell ref="C40:F40"/>
    <mergeCell ref="B18:F18"/>
    <mergeCell ref="C19:F19"/>
    <mergeCell ref="C20:F20"/>
    <mergeCell ref="C21:F21"/>
    <mergeCell ref="B22:F22"/>
    <mergeCell ref="C23:F23"/>
    <mergeCell ref="C24:F24"/>
    <mergeCell ref="C25:F25"/>
    <mergeCell ref="B28:B29"/>
    <mergeCell ref="B38:F38"/>
    <mergeCell ref="B39:F39"/>
    <mergeCell ref="B47:F47"/>
    <mergeCell ref="C48:F48"/>
    <mergeCell ref="C49:F49"/>
    <mergeCell ref="C50:F50"/>
    <mergeCell ref="C41:F41"/>
    <mergeCell ref="C42:F42"/>
    <mergeCell ref="B43:F43"/>
    <mergeCell ref="C44:F44"/>
    <mergeCell ref="C45:F45"/>
    <mergeCell ref="C46:F46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2" max="2" width="20.140625" hidden="0" customWidth="1"/>
    <col min="3" max="3" width="10.5703125" hidden="0" customWidth="1"/>
    <col min="6" max="6" width="14.7109375" hidden="0" customWidth="1"/>
  </cols>
  <sheetData>
    <row r="2" ht="16.149999999999999" customHeight="1">
      <c r="B2" s="1" t="s">
        <v>186</v>
      </c>
      <c r="C2" s="1" t="s">
        <v>179</v>
      </c>
    </row>
    <row r="3" ht="15" customHeight="1">
      <c r="B3" s="19" t="s">
        <v>63</v>
      </c>
      <c r="C3" s="104" t="n">
        <v>0.05</v>
      </c>
      <c r="D3" s="104" t="n">
        <v>0.03</v>
      </c>
      <c r="E3" s="105" t="n">
        <v>2.5000000000000001E-2</v>
      </c>
      <c r="F3" s="104" t="n">
        <v>0.03</v>
      </c>
    </row>
    <row r="4" ht="16.149999999999999" customHeight="1">
      <c r="B4" s="20"/>
      <c r="C4" s="8" t="s">
        <v>120</v>
      </c>
      <c r="D4" s="8" t="s">
        <v>120</v>
      </c>
      <c r="E4" s="8" t="s">
        <v>120</v>
      </c>
      <c r="F4" s="8" t="s">
        <v>174</v>
      </c>
    </row>
    <row r="5" ht="15.6" customHeight="1">
      <c r="B5" s="4" t="s">
        <v>464</v>
      </c>
      <c r="C5" s="52"/>
      <c r="D5" s="52"/>
      <c r="E5" s="52"/>
      <c r="F5" s="52"/>
    </row>
    <row r="6">
      <c r="B6" s="4" t="s">
        <v>135</v>
      </c>
      <c r="C6" s="95" t="n">
        <f>cb_disc_less_EG!C16</f>
        <v>5966.7315550078501</v>
      </c>
      <c r="D6" s="95" t="n">
        <f>cb_disc_less_EG!D16</f>
        <v>14797.3673492775</v>
      </c>
      <c r="E6" s="95" t="n">
        <f>cb_disc_less_EG!E16</f>
        <v>19838.821695192699</v>
      </c>
      <c r="F6" s="95" t="n">
        <f>cb_disc_less_EG!F16</f>
        <v>39329.190897339802</v>
      </c>
    </row>
    <row r="7">
      <c r="B7" s="4" t="s">
        <v>134</v>
      </c>
      <c r="C7" s="95" t="n">
        <f>cb_disc_EG!C16</f>
        <v>14944.8109778052</v>
      </c>
      <c r="D7" s="95" t="n">
        <f>cb_disc_EG!D16</f>
        <v>37028.111386097196</v>
      </c>
      <c r="E7" s="95" t="n">
        <f>cb_disc_EG!E16</f>
        <v>49634.328962376901</v>
      </c>
      <c r="F7" s="95" t="n">
        <f>cb_disc_EG!F16</f>
        <v>98407.907386782201</v>
      </c>
    </row>
    <row r="8">
      <c r="B8" s="4" t="s">
        <v>133</v>
      </c>
      <c r="C8" s="95" t="n">
        <f>cb_disc_more_EG!C16</f>
        <v>15050.0687530749</v>
      </c>
      <c r="D8" s="95" t="n">
        <f>cb_disc_more_EG!D16</f>
        <v>37288.571956148597</v>
      </c>
      <c r="E8" s="95" t="n">
        <f>cb_disc_more_EG!E16</f>
        <v>49983.374872145701</v>
      </c>
      <c r="F8" s="95" t="n">
        <f>cb_disc_more_EG!F16</f>
        <v>99100.052219379504</v>
      </c>
    </row>
    <row r="9" ht="15.6" customHeight="1">
      <c r="B9" s="4" t="s">
        <v>465</v>
      </c>
      <c r="C9" s="4"/>
      <c r="D9" s="4"/>
      <c r="E9" s="4"/>
      <c r="F9" s="4"/>
    </row>
    <row r="10">
      <c r="B10" s="4" t="s">
        <v>135</v>
      </c>
      <c r="C10" s="95" t="n">
        <f xml:space="preserve"> cb_disc_less_EG!C17</f>
        <v>635.19297323878595</v>
      </c>
      <c r="D10" s="95" t="n">
        <f xml:space="preserve"> cb_disc_less_EG!D17</f>
        <v>1391.3897035920199</v>
      </c>
      <c r="E10" s="95" t="n">
        <f xml:space="preserve"> cb_disc_less_EG!E17</f>
        <v>1806.2904105177499</v>
      </c>
      <c r="F10" s="95" t="n">
        <f xml:space="preserve"> cb_disc_less_EG!F17</f>
        <v>3698.1058842089001</v>
      </c>
    </row>
    <row r="11">
      <c r="B11" s="4" t="s">
        <v>134</v>
      </c>
      <c r="C11" s="95" t="n">
        <f>cb_disc_EG!C17</f>
        <v>1590.9612879293099</v>
      </c>
      <c r="D11" s="95" t="n">
        <f>cb_disc_EG!D17</f>
        <v>3481.7364271618098</v>
      </c>
      <c r="E11" s="95" t="n">
        <f>cb_disc_EG!E17</f>
        <v>4519.11982549595</v>
      </c>
      <c r="F11" s="95" t="n">
        <f>cb_disc_EG!F17</f>
        <v>9253.2506531772797</v>
      </c>
    </row>
    <row r="12" ht="15" customHeight="1">
      <c r="B12" s="8" t="s">
        <v>133</v>
      </c>
      <c r="C12" s="95" t="n">
        <f>cb_disc_more_EG!C17</f>
        <v>1602.1665849354899</v>
      </c>
      <c r="D12" s="95" t="n">
        <f>cb_disc_more_EG!D17</f>
        <v>3506.2274157820798</v>
      </c>
      <c r="E12" s="95" t="n">
        <f>cb_disc_more_EG!E17</f>
        <v>4550.8998520183304</v>
      </c>
      <c r="F12" s="95" t="n">
        <f>cb_disc_more_EG!F17</f>
        <v>9318.33271613744</v>
      </c>
    </row>
    <row r="13" ht="15" customHeight="1">
      <c r="B13" s="102" t="s">
        <v>153</v>
      </c>
      <c r="C13" s="102"/>
      <c r="D13" s="102"/>
      <c r="E13" s="102"/>
      <c r="F13" s="102"/>
    </row>
    <row r="14" ht="24.6" customHeight="1">
      <c r="B14" s="100" t="s">
        <v>154</v>
      </c>
      <c r="C14" s="100"/>
      <c r="D14" s="100"/>
      <c r="E14" s="100"/>
      <c r="F14" s="100"/>
    </row>
    <row r="15">
      <c r="B15" s="4" t="s">
        <v>135</v>
      </c>
      <c r="C15" s="3" t="n">
        <f>-emissions_less_EG!C20</f>
        <v>11006250.56536347</v>
      </c>
      <c r="D15" s="3"/>
      <c r="E15" s="3"/>
      <c r="F15" s="3"/>
    </row>
    <row r="16">
      <c r="B16" s="4" t="s">
        <v>134</v>
      </c>
      <c r="C16" s="3" t="n">
        <f>-emissions_EG!C20</f>
        <v>27534256.275853727</v>
      </c>
      <c r="D16" s="3"/>
      <c r="E16" s="3"/>
      <c r="F16" s="3"/>
    </row>
    <row r="17" ht="15" customHeight="1">
      <c r="B17" s="8" t="s">
        <v>133</v>
      </c>
      <c r="C17" s="3" t="n">
        <f>-emissions_more_EG!C20</f>
        <v>27727866.999588452</v>
      </c>
      <c r="D17" s="3"/>
      <c r="E17" s="3"/>
      <c r="F17" s="3"/>
    </row>
    <row r="18" ht="26.45" customHeight="1">
      <c r="B18" s="100" t="s">
        <v>175</v>
      </c>
      <c r="C18" s="100"/>
      <c r="D18" s="100"/>
      <c r="E18" s="100"/>
      <c r="F18" s="100"/>
    </row>
    <row r="19">
      <c r="B19" s="4" t="s">
        <v>135</v>
      </c>
      <c r="C19" s="3" t="n">
        <f>-emissions_less_EG!D20</f>
        <v>2297596.4111375492</v>
      </c>
      <c r="D19" s="3"/>
      <c r="E19" s="3"/>
      <c r="F19" s="3"/>
    </row>
    <row r="20">
      <c r="B20" s="4" t="s">
        <v>134</v>
      </c>
      <c r="C20" s="3" t="n">
        <f>-emissions_EG!D20</f>
        <v>6801448.1861610524</v>
      </c>
      <c r="D20" s="3"/>
      <c r="E20" s="3"/>
      <c r="F20" s="3"/>
    </row>
    <row r="21" ht="15" customHeight="1">
      <c r="B21" s="8" t="s">
        <v>133</v>
      </c>
      <c r="C21" s="3" t="n">
        <f>-emissions_more_EG!D20</f>
        <v>6855267.0695888279</v>
      </c>
      <c r="D21" s="3"/>
      <c r="E21" s="3"/>
      <c r="F21" s="3"/>
    </row>
    <row r="22" ht="24.6" customHeight="1">
      <c r="B22" s="100" t="s">
        <v>155</v>
      </c>
      <c r="C22" s="100"/>
      <c r="D22" s="100"/>
      <c r="E22" s="100"/>
      <c r="F22" s="100"/>
    </row>
    <row r="23">
      <c r="B23" s="4" t="s">
        <v>135</v>
      </c>
      <c r="C23" s="3" t="n">
        <f>-emissions_less_EG!E20</f>
        <v>112897.09939261178</v>
      </c>
      <c r="D23" s="3"/>
      <c r="E23" s="3"/>
      <c r="F23" s="3"/>
    </row>
    <row r="24">
      <c r="B24" s="4" t="s">
        <v>134</v>
      </c>
      <c r="C24" s="3" t="n">
        <f>-emissions_EG!E20</f>
        <v>282477.44923403219</v>
      </c>
      <c r="D24" s="3"/>
      <c r="E24" s="3"/>
      <c r="F24" s="3"/>
    </row>
    <row r="25" ht="15" customHeight="1">
      <c r="B25" s="8" t="s">
        <v>133</v>
      </c>
      <c r="C25" s="16" t="n">
        <f>-emissions_more_EG!E20</f>
        <v>284504.80657275667</v>
      </c>
      <c r="D25" s="16"/>
      <c r="E25" s="16"/>
      <c r="F25" s="16"/>
    </row>
    <row r="26">
      <c r="B26" s="103"/>
    </row>
    <row r="27" ht="16.149999999999999" customHeight="1">
      <c r="B27" s="1" t="s">
        <v>186</v>
      </c>
      <c r="C27" s="1" t="s">
        <v>179</v>
      </c>
    </row>
    <row r="28" ht="15" customHeight="1">
      <c r="B28" s="19" t="s">
        <v>63</v>
      </c>
      <c r="C28" s="104" t="n">
        <v>0.05</v>
      </c>
      <c r="D28" s="104" t="n">
        <v>0.03</v>
      </c>
      <c r="E28" s="105" t="n">
        <v>2.5000000000000001E-2</v>
      </c>
      <c r="F28" s="104" t="n">
        <v>0.03</v>
      </c>
    </row>
    <row r="29" ht="16.149999999999999" customHeight="1">
      <c r="B29" s="20"/>
      <c r="C29" s="8" t="s">
        <v>120</v>
      </c>
      <c r="D29" s="8" t="s">
        <v>120</v>
      </c>
      <c r="E29" s="8" t="s">
        <v>120</v>
      </c>
      <c r="F29" s="8" t="s">
        <v>174</v>
      </c>
    </row>
    <row r="30" ht="15.6" customHeight="1">
      <c r="B30" s="4" t="s">
        <v>464</v>
      </c>
      <c r="C30" s="52"/>
      <c r="D30" s="52"/>
      <c r="E30" s="52"/>
      <c r="F30" s="52"/>
    </row>
    <row r="31">
      <c r="B31" s="4" t="s">
        <v>135</v>
      </c>
      <c r="C31" s="95" t="n">
        <f t="shared" ref="C31:F33" si="0">ROUND(C6,2-(1+INT(LOG10(ABS(C6)))))</f>
        <v>6000</v>
      </c>
      <c r="D31" s="95" t="n">
        <f t="shared" si="0"/>
        <v>15000</v>
      </c>
      <c r="E31" s="95" t="n">
        <f t="shared" si="0"/>
        <v>20000</v>
      </c>
      <c r="F31" s="95" t="n">
        <f t="shared" si="0"/>
        <v>39000</v>
      </c>
    </row>
    <row r="32">
      <c r="B32" s="4" t="s">
        <v>134</v>
      </c>
      <c r="C32" s="95" t="n">
        <f t="shared" si="0"/>
        <v>15000</v>
      </c>
      <c r="D32" s="95" t="n">
        <f t="shared" si="0"/>
        <v>37000</v>
      </c>
      <c r="E32" s="95" t="n">
        <f t="shared" si="0"/>
        <v>50000</v>
      </c>
      <c r="F32" s="95" t="n">
        <f t="shared" si="0"/>
        <v>98000</v>
      </c>
    </row>
    <row r="33">
      <c r="B33" s="4" t="s">
        <v>133</v>
      </c>
      <c r="C33" s="95" t="n">
        <f t="shared" si="0"/>
        <v>15000</v>
      </c>
      <c r="D33" s="95" t="n">
        <f t="shared" si="0"/>
        <v>37000</v>
      </c>
      <c r="E33" s="95" t="n">
        <f t="shared" si="0"/>
        <v>50000</v>
      </c>
      <c r="F33" s="95" t="n">
        <f t="shared" si="0"/>
        <v>99000</v>
      </c>
    </row>
    <row r="34" ht="15.6" customHeight="1">
      <c r="B34" s="4" t="s">
        <v>465</v>
      </c>
      <c r="C34" s="95"/>
      <c r="D34" s="95"/>
      <c r="E34" s="95"/>
      <c r="F34" s="95"/>
    </row>
    <row r="35">
      <c r="B35" s="4" t="s">
        <v>135</v>
      </c>
      <c r="C35" s="95" t="n">
        <f>ROUND(C10,2-(1+INT(LOG10(ABS(C10)))))</f>
        <v>640</v>
      </c>
      <c r="D35" s="95" t="n">
        <f>ROUND(D10,2-(1+INT(LOG10(ABS(D10)))))</f>
        <v>1400</v>
      </c>
      <c r="E35" s="95" t="n">
        <f>ROUND(E10,2-(1+INT(LOG10(ABS(E10)))))</f>
        <v>1800</v>
      </c>
      <c r="F35" s="95" t="n">
        <f>ROUND(F10,2-(1+INT(LOG10(ABS(F10)))))</f>
        <v>3700</v>
      </c>
    </row>
    <row r="36">
      <c r="B36" s="4" t="s">
        <v>134</v>
      </c>
      <c r="C36" s="95" t="n">
        <f t="shared" ref="C36:F37" si="1">ROUND(C11,2-(1+INT(LOG10(ABS(C11)))))</f>
        <v>1600</v>
      </c>
      <c r="D36" s="95" t="n">
        <f t="shared" si="1"/>
        <v>3500</v>
      </c>
      <c r="E36" s="95" t="n">
        <f t="shared" si="1"/>
        <v>4500</v>
      </c>
      <c r="F36" s="95" t="n">
        <f t="shared" si="1"/>
        <v>9300</v>
      </c>
    </row>
    <row r="37" ht="15" customHeight="1">
      <c r="B37" s="8" t="s">
        <v>133</v>
      </c>
      <c r="C37" s="95" t="n">
        <f>ROUND(C12,2-(1+INT(LOG10(ABS(C12)))))</f>
        <v>1600</v>
      </c>
      <c r="D37" s="95" t="n">
        <f t="shared" si="1"/>
        <v>3500</v>
      </c>
      <c r="E37" s="95" t="n">
        <f t="shared" si="1"/>
        <v>4600</v>
      </c>
      <c r="F37" s="95" t="n">
        <f t="shared" si="1"/>
        <v>9300</v>
      </c>
    </row>
    <row r="38" ht="15" customHeight="1">
      <c r="B38" s="102" t="s">
        <v>153</v>
      </c>
      <c r="C38" s="102"/>
      <c r="D38" s="102"/>
      <c r="E38" s="102"/>
      <c r="F38" s="102"/>
    </row>
    <row r="39" ht="30.6" customHeight="1">
      <c r="B39" s="100" t="s">
        <v>154</v>
      </c>
      <c r="C39" s="100"/>
      <c r="D39" s="100"/>
      <c r="E39" s="100"/>
      <c r="F39" s="100"/>
    </row>
    <row r="40">
      <c r="B40" s="4" t="s">
        <v>135</v>
      </c>
      <c r="C40" s="3" t="n">
        <f>ROUND(C15,2-(1+INT(LOG10(ABS(C15)))))</f>
        <v>11000000</v>
      </c>
      <c r="D40" s="3"/>
      <c r="E40" s="3"/>
      <c r="F40" s="3"/>
    </row>
    <row r="41">
      <c r="B41" s="4" t="s">
        <v>134</v>
      </c>
      <c r="C41" s="3" t="n">
        <f>ROUND(C16,2-(1+INT(LOG10(ABS(C16)))))</f>
        <v>28000000</v>
      </c>
      <c r="D41" s="3"/>
      <c r="E41" s="3"/>
      <c r="F41" s="3"/>
    </row>
    <row r="42" ht="15" customHeight="1">
      <c r="B42" s="8" t="s">
        <v>133</v>
      </c>
      <c r="C42" s="16" t="n">
        <f>ROUND(C17,2-(1+INT(LOG10(ABS(C17)))))</f>
        <v>28000000</v>
      </c>
      <c r="D42" s="16"/>
      <c r="E42" s="16"/>
      <c r="F42" s="16"/>
    </row>
    <row r="43" ht="15.6" customHeight="1">
      <c r="B43" s="100" t="s">
        <v>175</v>
      </c>
      <c r="C43" s="100"/>
      <c r="D43" s="100"/>
      <c r="E43" s="100"/>
      <c r="F43" s="100"/>
    </row>
    <row r="44">
      <c r="B44" s="4" t="s">
        <v>135</v>
      </c>
      <c r="C44" s="3" t="n">
        <f>ROUND(C19,2-(1+INT(LOG10(ABS(C19)))))</f>
        <v>2300000</v>
      </c>
      <c r="D44" s="3"/>
      <c r="E44" s="3"/>
      <c r="F44" s="3"/>
    </row>
    <row r="45">
      <c r="B45" s="4" t="s">
        <v>134</v>
      </c>
      <c r="C45" s="3" t="n">
        <f>ROUND(C20,2-(1+INT(LOG10(ABS(C20)))))</f>
        <v>6800000</v>
      </c>
      <c r="D45" s="3"/>
      <c r="E45" s="3"/>
      <c r="F45" s="3"/>
    </row>
    <row r="46" ht="15" customHeight="1">
      <c r="B46" s="4" t="s">
        <v>133</v>
      </c>
      <c r="C46" s="3" t="n">
        <f>ROUND(C21,2-(1+INT(LOG10(ABS(C21)))))</f>
        <v>6900000</v>
      </c>
      <c r="D46" s="3"/>
      <c r="E46" s="3"/>
      <c r="F46" s="3"/>
    </row>
    <row r="47">
      <c r="B47" s="100" t="s">
        <v>155</v>
      </c>
      <c r="C47" s="100"/>
      <c r="D47" s="100"/>
      <c r="E47" s="100"/>
      <c r="F47" s="100"/>
    </row>
    <row r="48">
      <c r="B48" s="4" t="s">
        <v>135</v>
      </c>
      <c r="C48" s="3" t="n">
        <f>ROUND(C23,2-(1+INT(LOG10(ABS(C23)))))</f>
        <v>110000</v>
      </c>
      <c r="D48" s="3"/>
      <c r="E48" s="3"/>
      <c r="F48" s="3"/>
    </row>
    <row r="49">
      <c r="B49" s="4" t="s">
        <v>134</v>
      </c>
      <c r="C49" s="3" t="n">
        <f>ROUND(C24,2-(1+INT(LOG10(ABS(C24)))))</f>
        <v>280000</v>
      </c>
      <c r="D49" s="3"/>
      <c r="E49" s="3"/>
      <c r="F49" s="3"/>
    </row>
    <row r="50" ht="15" customHeight="1">
      <c r="B50" s="8" t="s">
        <v>133</v>
      </c>
      <c r="C50" s="16" t="n">
        <f>ROUND(C25,2-(1+INT(LOG10(ABS(C25)))))</f>
        <v>280000</v>
      </c>
      <c r="D50" s="16"/>
      <c r="E50" s="16"/>
      <c r="F50" s="16"/>
    </row>
  </sheetData>
  <mergeCells count="28">
    <mergeCell ref="C17:F17"/>
    <mergeCell ref="B3:B4"/>
    <mergeCell ref="B13:F13"/>
    <mergeCell ref="B14:F14"/>
    <mergeCell ref="C15:F15"/>
    <mergeCell ref="C16:F16"/>
    <mergeCell ref="C40:F40"/>
    <mergeCell ref="B18:F18"/>
    <mergeCell ref="C19:F19"/>
    <mergeCell ref="C20:F20"/>
    <mergeCell ref="C21:F21"/>
    <mergeCell ref="B22:F22"/>
    <mergeCell ref="C23:F23"/>
    <mergeCell ref="C24:F24"/>
    <mergeCell ref="C25:F25"/>
    <mergeCell ref="B28:B29"/>
    <mergeCell ref="B38:F38"/>
    <mergeCell ref="B39:F39"/>
    <mergeCell ref="B47:F47"/>
    <mergeCell ref="C48:F48"/>
    <mergeCell ref="C49:F49"/>
    <mergeCell ref="C50:F50"/>
    <mergeCell ref="C41:F41"/>
    <mergeCell ref="C42:F42"/>
    <mergeCell ref="B43:F43"/>
    <mergeCell ref="C44:F44"/>
    <mergeCell ref="C45:F45"/>
    <mergeCell ref="C46:F46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2" max="2" width="22.140625" hidden="0" customWidth="1"/>
    <col min="3" max="3" width="16.28515625" hidden="0" customWidth="1"/>
    <col min="4" max="4" width="15.5703125" hidden="0" customWidth="1"/>
    <col min="7" max="7" width="21.5703125" hidden="0" customWidth="1"/>
  </cols>
  <sheetData>
    <row r="2" ht="16.149999999999999" customHeight="1">
      <c r="B2" s="1" t="s">
        <v>141</v>
      </c>
      <c r="C2" s="37" t="s">
        <v>468</v>
      </c>
    </row>
    <row r="3" ht="15.6" customHeight="1">
      <c r="B3" s="111"/>
      <c r="C3" s="111"/>
      <c r="D3" s="13" t="s">
        <v>43</v>
      </c>
      <c r="E3" s="13"/>
      <c r="F3" s="13"/>
      <c r="G3" s="13"/>
    </row>
    <row r="4" ht="40.5" customHeight="1">
      <c r="B4" s="8" t="s">
        <v>142</v>
      </c>
      <c r="C4" s="66" t="s">
        <v>143</v>
      </c>
      <c r="D4" s="66" t="s">
        <v>144</v>
      </c>
      <c r="E4" s="66" t="s">
        <v>145</v>
      </c>
      <c r="F4" s="66" t="s">
        <v>146</v>
      </c>
      <c r="G4" s="66" t="s">
        <v>467</v>
      </c>
    </row>
    <row r="5">
      <c r="B5" s="100" t="s">
        <v>147</v>
      </c>
      <c r="C5" s="100"/>
      <c r="D5" s="52"/>
      <c r="E5" s="52"/>
      <c r="F5" s="52"/>
      <c r="G5" s="52"/>
    </row>
    <row r="6">
      <c r="B6" s="52"/>
      <c r="C6" s="4" t="s">
        <v>46</v>
      </c>
      <c r="D6" s="10" t="n">
        <f xml:space="preserve"> - 'Table 1 - Less Strict'!$B$34</f>
        <v>1.8380712181210062</v>
      </c>
      <c r="E6" s="10" t="n">
        <f xml:space="preserve"> - 'Table 1 - Less Strict'!$B$35</f>
        <v>1.2883255775851254</v>
      </c>
      <c r="F6" s="10" t="n">
        <f xml:space="preserve"> - 'Table 1 - Less Strict'!$B$36</f>
        <v>4.8886251881967338E-2</v>
      </c>
      <c r="G6" s="3" t="n">
        <f xml:space="preserve"> -'Table 1 - Less Strict'!$B$37</f>
        <v>41.686754002814716</v>
      </c>
    </row>
    <row r="7">
      <c r="B7" s="52"/>
      <c r="C7" s="4" t="s">
        <v>47</v>
      </c>
      <c r="D7" s="10" t="n">
        <f xml:space="preserve"> - 'Table 1 - Less Strict'!$B$56</f>
        <v>11.006250565363471</v>
      </c>
      <c r="E7" s="10" t="n">
        <f>-'Table 1 - Less Strict'!$B$57</f>
        <v>2.2975964111375493</v>
      </c>
      <c r="F7" s="10" t="n">
        <f>-'Table 1 - Less Strict'!$B$58</f>
        <v>0.11289709939261178</v>
      </c>
      <c r="G7" s="3" t="n">
        <f xml:space="preserve"> -'Table 1 - Less Strict'!$B$59</f>
        <v>249.61756393785279</v>
      </c>
    </row>
    <row r="8" ht="15" customHeight="1">
      <c r="B8" s="107"/>
      <c r="C8" s="8" t="s">
        <v>26</v>
      </c>
      <c r="D8" s="12" t="n">
        <f>-'Table 1 - Less Strict'!$B$12</f>
        <v>12.844321783484478</v>
      </c>
      <c r="E8" s="12" t="n">
        <f>-'Table 1 - Less Strict'!$B$13</f>
        <v>3.5859219887226748</v>
      </c>
      <c r="F8" s="12" t="n">
        <f>-'Table 1 - Less Strict'!$B$14</f>
        <v>0.1617833512745791</v>
      </c>
      <c r="G8" s="12" t="n">
        <f>-'Table 1 - Less Strict'!$B$15</f>
        <v>291.30431794066749</v>
      </c>
    </row>
    <row r="9" ht="14.45" customHeight="1">
      <c r="B9" s="100" t="s">
        <v>151</v>
      </c>
      <c r="C9" s="100"/>
      <c r="D9" s="15"/>
      <c r="E9" s="15"/>
      <c r="F9" s="15"/>
      <c r="G9" s="15"/>
    </row>
    <row r="10">
      <c r="B10" s="52"/>
      <c r="C10" s="4" t="s">
        <v>46</v>
      </c>
      <c r="D10" s="10" t="n">
        <f xml:space="preserve"> - 'Table 1'!$B$34</f>
        <v>8.1337620091957827</v>
      </c>
      <c r="E10" s="10" t="n">
        <f xml:space="preserve"> - 'Table 1'!$B$35</f>
        <v>2.9079528207497809</v>
      </c>
      <c r="F10" s="10" t="n">
        <f xml:space="preserve"> - 'Table 1'!$B$36</f>
        <v>0.10980398774164445</v>
      </c>
      <c r="G10" s="3" t="n">
        <f xml:space="preserve"> -'Table 1'!$B$37</f>
        <v>184.47061933835377</v>
      </c>
    </row>
    <row r="11">
      <c r="B11" s="52"/>
      <c r="C11" s="4" t="s">
        <v>47</v>
      </c>
      <c r="D11" s="10" t="n">
        <f xml:space="preserve"> - 'Table 1'!$B$56</f>
        <v>27.534256275853728</v>
      </c>
      <c r="E11" s="10" t="n">
        <f>-'Table 1'!$B$57</f>
        <v>6.8014481861610525</v>
      </c>
      <c r="F11" s="10" t="n">
        <f>-'Table 1'!$B$58</f>
        <v>0.28247744923403217</v>
      </c>
      <c r="G11" s="3" t="n">
        <f xml:space="preserve"> -'Table 1'!$B$59</f>
        <v>624.46642801759322</v>
      </c>
    </row>
    <row r="12" ht="15" customHeight="1">
      <c r="B12" s="107"/>
      <c r="C12" s="8" t="s">
        <v>26</v>
      </c>
      <c r="D12" s="12" t="n">
        <f>-'Table 1'!$B$12</f>
        <v>35.668018285049513</v>
      </c>
      <c r="E12" s="12" t="n">
        <f>-'Table 1'!$B$13</f>
        <v>9.7094010069108343</v>
      </c>
      <c r="F12" s="12" t="n">
        <f>-'Table 1'!$B$14</f>
        <v>0.39228143697567663</v>
      </c>
      <c r="G12" s="12" t="n">
        <f>-'Table 1'!$B$15</f>
        <v>808.93704735594702</v>
      </c>
    </row>
    <row r="13">
      <c r="B13" s="100" t="s">
        <v>148</v>
      </c>
      <c r="C13" s="100"/>
      <c r="D13" s="52"/>
      <c r="E13" s="52"/>
      <c r="F13" s="52"/>
      <c r="G13" s="52"/>
    </row>
    <row r="14">
      <c r="B14" s="52"/>
      <c r="C14" s="4" t="s">
        <v>46</v>
      </c>
      <c r="D14" s="10" t="n">
        <f xml:space="preserve"> - 'Table 1 - More Strict'!$B$34</f>
        <v>9.7380708031686751</v>
      </c>
      <c r="E14" s="10" t="n">
        <f xml:space="preserve"> - 'Table 1 - More Strict'!$B$35</f>
        <v>3.4501752542687347</v>
      </c>
      <c r="F14" s="10" t="n">
        <f xml:space="preserve"> - 'Table 1 - More Strict'!$B$36</f>
        <v>0.13029304190816376</v>
      </c>
      <c r="G14" s="3" t="n">
        <f xml:space="preserve"> -'Table 1 - More Strict'!$B$37</f>
        <v>220.85573074185416</v>
      </c>
    </row>
    <row r="15" ht="15" customHeight="1">
      <c r="B15" s="107"/>
      <c r="C15" s="8" t="s">
        <v>47</v>
      </c>
      <c r="D15" s="12" t="n">
        <f xml:space="preserve"> - 'Table 1 - More Strict'!$B$56</f>
        <v>27.727866999588453</v>
      </c>
      <c r="E15" s="12" t="n">
        <f>-'Table 1 - More Strict'!$B$57</f>
        <v>6.8552670695888276</v>
      </c>
      <c r="F15" s="12" t="n">
        <f>-'Table 1 - More Strict'!$B$58</f>
        <v>0.28450480657275667</v>
      </c>
      <c r="G15" s="16" t="n">
        <f xml:space="preserve"> -'Table 1 - More Strict'!$B$59</f>
        <v>628.85744536940604</v>
      </c>
    </row>
    <row r="16" ht="15" customHeight="1">
      <c r="B16" s="51"/>
      <c r="C16" s="5" t="s">
        <v>26</v>
      </c>
      <c r="D16" s="12" t="n">
        <f>-'Table 1 - More Strict'!$B$12</f>
        <v>37.465937802757125</v>
      </c>
      <c r="E16" s="12" t="n">
        <f>-'Table 1 - More Strict'!$B$13</f>
        <v>10.305442323857562</v>
      </c>
      <c r="F16" s="12" t="n">
        <f>-'Table 1 - More Strict'!$B$14</f>
        <v>0.41479784848092044</v>
      </c>
      <c r="G16" s="12" t="n">
        <f>-'Table 1 - More Strict'!$B$15</f>
        <v>849.71317611126017</v>
      </c>
    </row>
    <row r="17" ht="15" customHeight="1"/>
    <row r="18" ht="16.149999999999999" customHeight="1">
      <c r="B18" s="1" t="s">
        <v>141</v>
      </c>
      <c r="C18" s="37" t="s">
        <v>468</v>
      </c>
    </row>
    <row r="19" ht="15.6" customHeight="1">
      <c r="B19" s="111"/>
      <c r="C19" s="111"/>
      <c r="D19" s="13" t="s">
        <v>43</v>
      </c>
      <c r="E19" s="13"/>
      <c r="F19" s="13"/>
      <c r="G19" s="13"/>
    </row>
    <row r="20" ht="40.5" customHeight="1">
      <c r="B20" s="8" t="s">
        <v>142</v>
      </c>
      <c r="C20" s="66" t="s">
        <v>143</v>
      </c>
      <c r="D20" s="66" t="s">
        <v>144</v>
      </c>
      <c r="E20" s="66" t="s">
        <v>145</v>
      </c>
      <c r="F20" s="66" t="s">
        <v>146</v>
      </c>
      <c r="G20" s="66" t="s">
        <v>467</v>
      </c>
    </row>
    <row r="21">
      <c r="B21" s="100" t="s">
        <v>149</v>
      </c>
      <c r="C21" s="100"/>
      <c r="D21" s="52"/>
      <c r="E21" s="52"/>
      <c r="F21" s="52"/>
      <c r="G21" s="52"/>
    </row>
    <row r="22">
      <c r="B22" s="52"/>
      <c r="C22" s="4" t="s">
        <v>46</v>
      </c>
      <c r="D22" s="18" t="n">
        <f t="shared" ref="D22:G24" si="0">ROUND(D6,2-(1+INT(LOG10(ABS(D6)))))</f>
        <v>1.8</v>
      </c>
      <c r="E22" s="18" t="n">
        <f t="shared" si="0"/>
        <v>1.3</v>
      </c>
      <c r="F22" s="10" t="n">
        <f t="shared" si="0"/>
        <v>4.9000000000000002E-2</v>
      </c>
      <c r="G22" s="3" t="n">
        <f t="shared" si="0"/>
        <v>42</v>
      </c>
    </row>
    <row r="23">
      <c r="B23" s="52"/>
      <c r="C23" s="4" t="s">
        <v>47</v>
      </c>
      <c r="D23" s="3" t="n">
        <f t="shared" si="0"/>
        <v>11</v>
      </c>
      <c r="E23" s="18" t="n">
        <f t="shared" si="0"/>
        <v>2.2999999999999998</v>
      </c>
      <c r="F23" s="18" t="n">
        <f t="shared" si="0"/>
        <v>0.11</v>
      </c>
      <c r="G23" s="3" t="n">
        <f t="shared" si="0"/>
        <v>250</v>
      </c>
    </row>
    <row r="24" ht="15" customHeight="1">
      <c r="B24" s="107"/>
      <c r="C24" s="8" t="s">
        <v>26</v>
      </c>
      <c r="D24" s="16" t="n">
        <f t="shared" si="0"/>
        <v>13</v>
      </c>
      <c r="E24" s="24" t="n">
        <f t="shared" si="0"/>
        <v>3.6</v>
      </c>
      <c r="F24" s="24" t="n">
        <f t="shared" si="0"/>
        <v>0.16</v>
      </c>
      <c r="G24" s="16" t="n">
        <f t="shared" si="0"/>
        <v>290</v>
      </c>
    </row>
    <row r="25">
      <c r="B25" s="4" t="s">
        <v>134</v>
      </c>
      <c r="C25" s="4"/>
      <c r="D25" s="52"/>
      <c r="E25" s="52"/>
      <c r="F25" s="52"/>
      <c r="G25" s="52"/>
    </row>
    <row r="26">
      <c r="B26" s="52"/>
      <c r="C26" s="4" t="s">
        <v>46</v>
      </c>
      <c r="D26" s="18" t="n">
        <f>ROUND(D10,2-(1+INT(LOG10(ABS(D10)))))</f>
        <v>8.1</v>
      </c>
      <c r="E26" s="18" t="n">
        <f t="shared" ref="E26:G26" si="1">ROUND(E10,2-(1+INT(LOG10(ABS(E10)))))</f>
        <v>2.9</v>
      </c>
      <c r="F26" s="10" t="n">
        <f t="shared" si="1"/>
        <v>0.11</v>
      </c>
      <c r="G26" s="3" t="n">
        <f t="shared" si="1"/>
        <v>180</v>
      </c>
    </row>
    <row r="27">
      <c r="B27" s="52"/>
      <c r="C27" s="4" t="s">
        <v>47</v>
      </c>
      <c r="D27" s="3" t="n">
        <f t="shared" ref="D27:G28" si="2">ROUND(D11,2-(1+INT(LOG10(ABS(D11)))))</f>
        <v>28</v>
      </c>
      <c r="E27" s="18" t="n">
        <f t="shared" si="2"/>
        <v>6.8</v>
      </c>
      <c r="F27" s="10" t="n">
        <f t="shared" si="2"/>
        <v>0.28000000000000003</v>
      </c>
      <c r="G27" s="3" t="n">
        <f t="shared" si="2"/>
        <v>620</v>
      </c>
    </row>
    <row r="28" ht="15" customHeight="1">
      <c r="B28" s="107"/>
      <c r="C28" s="8" t="s">
        <v>26</v>
      </c>
      <c r="D28" s="16" t="n">
        <f t="shared" si="2"/>
        <v>36</v>
      </c>
      <c r="E28" s="16" t="n">
        <f t="shared" si="2"/>
        <v>9.6999999999999993</v>
      </c>
      <c r="F28" s="12" t="n">
        <f t="shared" si="2"/>
        <v>0.39</v>
      </c>
      <c r="G28" s="16" t="n">
        <f t="shared" si="2"/>
        <v>810</v>
      </c>
    </row>
    <row r="29">
      <c r="B29" s="100" t="s">
        <v>150</v>
      </c>
      <c r="C29" s="100"/>
      <c r="D29" s="52"/>
      <c r="E29" s="52"/>
      <c r="F29" s="52"/>
      <c r="G29" s="52"/>
    </row>
    <row r="30">
      <c r="B30" s="52"/>
      <c r="C30" s="4" t="s">
        <v>46</v>
      </c>
      <c r="D30" s="18" t="n">
        <f>ROUND(D14,2-(1+INT(LOG10(ABS(D14)))))</f>
        <v>9.6999999999999993</v>
      </c>
      <c r="E30" s="18" t="n">
        <f t="shared" ref="E30:G30" si="3">ROUND(E14,2-(1+INT(LOG10(ABS(E14)))))</f>
        <v>3.5</v>
      </c>
      <c r="F30" s="10" t="n">
        <f t="shared" si="3"/>
        <v>0.13</v>
      </c>
      <c r="G30" s="108" t="n">
        <f t="shared" si="3"/>
        <v>220</v>
      </c>
    </row>
    <row r="31" ht="15" customHeight="1">
      <c r="B31" s="107"/>
      <c r="C31" s="8" t="s">
        <v>47</v>
      </c>
      <c r="D31" s="16" t="n">
        <f t="shared" ref="D31:G32" si="4">ROUND(D15,2-(1+INT(LOG10(ABS(D15)))))</f>
        <v>28</v>
      </c>
      <c r="E31" s="16" t="n">
        <f t="shared" si="4"/>
        <v>6.9</v>
      </c>
      <c r="F31" s="12" t="n">
        <f t="shared" si="4"/>
        <v>0.28000000000000003</v>
      </c>
      <c r="G31" s="109" t="n">
        <f t="shared" si="4"/>
        <v>630</v>
      </c>
    </row>
    <row r="32" ht="15" customHeight="1">
      <c r="B32" s="51"/>
      <c r="C32" s="5" t="s">
        <v>26</v>
      </c>
      <c r="D32" s="2" t="n">
        <f t="shared" si="4"/>
        <v>37</v>
      </c>
      <c r="E32" s="2" t="n">
        <f t="shared" si="4"/>
        <v>10</v>
      </c>
      <c r="F32" s="11" t="n">
        <f t="shared" si="4"/>
        <v>0.41</v>
      </c>
      <c r="G32" s="110" t="n">
        <f t="shared" si="4"/>
        <v>850</v>
      </c>
    </row>
    <row r="33" ht="15" customHeight="1">
      <c r="G33" s="106"/>
    </row>
  </sheetData>
  <mergeCells count="8">
    <mergeCell ref="B25:C25"/>
    <mergeCell ref="B29:C29"/>
    <mergeCell ref="D3:G3"/>
    <mergeCell ref="B5:C5"/>
    <mergeCell ref="B9:C9"/>
    <mergeCell ref="B13:C13"/>
    <mergeCell ref="D19:G19"/>
    <mergeCell ref="B21:C21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2" max="2" width="21.28515625" hidden="0" customWidth="1"/>
    <col min="9" max="9" width="21.85546875" hidden="0" customWidth="1"/>
  </cols>
  <sheetData>
    <row r="2" ht="16.5" customHeight="1">
      <c r="B2" s="1" t="s">
        <v>152</v>
      </c>
      <c r="C2" s="37" t="s">
        <v>469</v>
      </c>
      <c r="I2" s="1" t="s">
        <v>152</v>
      </c>
      <c r="J2" s="37" t="s">
        <v>469</v>
      </c>
    </row>
    <row r="3" ht="16.5" customHeight="1">
      <c r="B3" s="19"/>
      <c r="C3" s="13" t="s">
        <v>28</v>
      </c>
      <c r="D3" s="13"/>
      <c r="E3" s="13"/>
      <c r="F3" s="13"/>
      <c r="I3" s="19"/>
      <c r="J3" s="13" t="s">
        <v>28</v>
      </c>
      <c r="K3" s="13"/>
      <c r="L3" s="13"/>
      <c r="M3" s="13"/>
    </row>
    <row r="4">
      <c r="B4" s="115"/>
      <c r="C4" s="115" t="s">
        <v>24</v>
      </c>
      <c r="D4" s="116" t="s">
        <v>25</v>
      </c>
      <c r="E4" s="116" t="s">
        <v>24</v>
      </c>
      <c r="F4" s="116" t="s">
        <v>25</v>
      </c>
      <c r="I4" s="115"/>
      <c r="J4" s="115" t="s">
        <v>24</v>
      </c>
      <c r="K4" s="116" t="s">
        <v>25</v>
      </c>
      <c r="L4" s="116" t="s">
        <v>24</v>
      </c>
      <c r="M4" s="116" t="s">
        <v>25</v>
      </c>
    </row>
    <row r="5">
      <c r="B5" s="4" t="s">
        <v>445</v>
      </c>
      <c r="C5" s="4"/>
      <c r="D5" s="4"/>
      <c r="E5" s="4"/>
      <c r="F5" s="4"/>
      <c r="I5" s="4" t="s">
        <v>445</v>
      </c>
      <c r="J5" s="4"/>
      <c r="K5" s="4"/>
      <c r="L5" s="4"/>
      <c r="M5" s="4"/>
    </row>
    <row r="6">
      <c r="B6" s="4" t="s">
        <v>135</v>
      </c>
      <c r="C6" s="95" t="n">
        <f t="array" ref="C6:F6" xml:space="preserve"> 'Table 1 - Less Strict'!$B$27:$E$27</f>
        <v>2000.63961495018</v>
      </c>
      <c r="D6" s="95" t="n">
        <v>188.11923061272799</v>
      </c>
      <c r="E6" s="95" t="n">
        <v>2000.63961495018</v>
      </c>
      <c r="F6" s="95" t="n">
        <v>188.11923061272799</v>
      </c>
      <c r="I6" s="4" t="s">
        <v>135</v>
      </c>
      <c r="J6" s="95" t="n">
        <f>ROUND(C6,2-(1+INT(LOG10(ABS(C6)))))</f>
        <v>2000</v>
      </c>
      <c r="K6" s="95" t="n">
        <f t="shared" ref="K6:M8" si="0">ROUND(D6,2-(1+INT(LOG10(ABS(D6)))))</f>
        <v>190</v>
      </c>
      <c r="L6" s="95" t="n">
        <f t="shared" si="0"/>
        <v>2000</v>
      </c>
      <c r="M6" s="95" t="n">
        <f t="shared" si="0"/>
        <v>190</v>
      </c>
    </row>
    <row r="7">
      <c r="B7" s="4" t="s">
        <v>134</v>
      </c>
      <c r="C7" s="95" t="n">
        <f t="array" ref="C7:F7" xml:space="preserve"> 'Table 1'!$B$27:$E$27</f>
        <v>10917.4588774313</v>
      </c>
      <c r="D7" s="95" t="n">
        <v>1026.56367939591</v>
      </c>
      <c r="E7" s="95" t="n">
        <v>10917.4588774313</v>
      </c>
      <c r="F7" s="95" t="n">
        <v>1026.56367939591</v>
      </c>
      <c r="I7" s="4" t="s">
        <v>134</v>
      </c>
      <c r="J7" s="95" t="n">
        <f t="shared" ref="J7:J8" si="1">ROUND(C7,2-(1+INT(LOG10(ABS(C7)))))</f>
        <v>11000</v>
      </c>
      <c r="K7" s="95" t="n">
        <f t="shared" si="0"/>
        <v>1000</v>
      </c>
      <c r="L7" s="95" t="n">
        <f t="shared" si="0"/>
        <v>11000</v>
      </c>
      <c r="M7" s="95" t="n">
        <f t="shared" si="0"/>
        <v>1000</v>
      </c>
    </row>
    <row r="8">
      <c r="B8" s="5" t="s">
        <v>133</v>
      </c>
      <c r="C8" s="95" t="n">
        <f t="array" ref="C8:F8" xml:space="preserve"> 'Table 1 - More Strict'!$B$27:$E$27</f>
        <v>10925.961558188301</v>
      </c>
      <c r="D8" s="98" t="n">
        <v>1027.3631825898899</v>
      </c>
      <c r="E8" s="98" t="n">
        <v>10925.961558188301</v>
      </c>
      <c r="F8" s="98" t="n">
        <v>1027.3631825898899</v>
      </c>
      <c r="I8" s="5" t="s">
        <v>133</v>
      </c>
      <c r="J8" s="95" t="n">
        <f t="shared" si="1"/>
        <v>11000</v>
      </c>
      <c r="K8" s="95" t="n">
        <f t="shared" si="0"/>
        <v>1000</v>
      </c>
      <c r="L8" s="95" t="n">
        <f t="shared" si="0"/>
        <v>11000</v>
      </c>
      <c r="M8" s="95" t="n">
        <f t="shared" si="0"/>
        <v>1000</v>
      </c>
    </row>
    <row r="9">
      <c r="B9" s="4"/>
      <c r="C9" s="13" t="s">
        <v>28</v>
      </c>
      <c r="D9" s="13"/>
      <c r="E9" s="13" t="s">
        <v>29</v>
      </c>
      <c r="F9" s="13"/>
      <c r="I9" s="4"/>
      <c r="J9" s="13" t="s">
        <v>28</v>
      </c>
      <c r="K9" s="13"/>
      <c r="L9" s="13" t="s">
        <v>29</v>
      </c>
      <c r="M9" s="13"/>
    </row>
    <row r="10">
      <c r="B10" s="115"/>
      <c r="C10" s="115" t="s">
        <v>24</v>
      </c>
      <c r="D10" s="116" t="s">
        <v>25</v>
      </c>
      <c r="E10" s="115" t="s">
        <v>24</v>
      </c>
      <c r="F10" s="115" t="s">
        <v>25</v>
      </c>
      <c r="I10" s="115"/>
      <c r="J10" s="115" t="s">
        <v>24</v>
      </c>
      <c r="K10" s="116" t="s">
        <v>25</v>
      </c>
      <c r="L10" s="115" t="s">
        <v>24</v>
      </c>
      <c r="M10" s="115" t="s">
        <v>25</v>
      </c>
    </row>
    <row r="11">
      <c r="B11" s="4" t="s">
        <v>30</v>
      </c>
      <c r="C11" s="4"/>
      <c r="D11" s="4"/>
      <c r="E11" s="4"/>
      <c r="F11" s="4"/>
      <c r="I11" s="4" t="s">
        <v>30</v>
      </c>
      <c r="J11" s="4"/>
      <c r="K11" s="4"/>
      <c r="L11" s="4"/>
      <c r="M11" s="4"/>
    </row>
    <row r="12">
      <c r="B12" s="4" t="s">
        <v>135</v>
      </c>
      <c r="C12" s="112" t="n">
        <f t="array" ref="C12:F12">'Table 1 - Less Strict'!$B$28:$E$28</f>
        <v>3216.977962533867</v>
      </c>
      <c r="D12" s="112" t="n">
        <v>302.49097073139939</v>
      </c>
      <c r="E12" s="112" t="n">
        <v>2473.4434730098515</v>
      </c>
      <c r="F12" s="112" t="n">
        <v>283.41537377632682</v>
      </c>
      <c r="I12" s="4" t="s">
        <v>135</v>
      </c>
      <c r="J12" s="23" t="n">
        <f>ROUND(C12,2-(1+INT(LOG10(ABS(C12)))))</f>
        <v>3200</v>
      </c>
      <c r="K12" s="23" t="n">
        <f t="shared" ref="K12:M14" si="2">ROUND(D12,2-(1+INT(LOG10(ABS(D12)))))</f>
        <v>300</v>
      </c>
      <c r="L12" s="23" t="n">
        <f t="shared" si="2"/>
        <v>2500</v>
      </c>
      <c r="M12" s="23" t="n">
        <f t="shared" si="2"/>
        <v>280</v>
      </c>
    </row>
    <row r="13">
      <c r="B13" s="4" t="s">
        <v>134</v>
      </c>
      <c r="C13" s="112" t="n">
        <f t="array" ref="C13:F13">'Table 1'!$B$28:$E$28</f>
        <v>3799.8268076314007</v>
      </c>
      <c r="D13" s="112" t="n">
        <v>357.2959818308106</v>
      </c>
      <c r="E13" s="112" t="n">
        <v>2986.5616376567082</v>
      </c>
      <c r="F13" s="112" t="n">
        <v>357.34463295683508</v>
      </c>
      <c r="I13" s="4" t="s">
        <v>134</v>
      </c>
      <c r="J13" s="23" t="n">
        <f t="shared" ref="J13:J14" si="3">ROUND(C13,2-(1+INT(LOG10(ABS(C13)))))</f>
        <v>3800</v>
      </c>
      <c r="K13" s="23" t="n">
        <f t="shared" si="2"/>
        <v>360</v>
      </c>
      <c r="L13" s="23" t="n">
        <f t="shared" si="2"/>
        <v>3000</v>
      </c>
      <c r="M13" s="23" t="n">
        <f t="shared" si="2"/>
        <v>360</v>
      </c>
    </row>
    <row r="14">
      <c r="B14" s="8" t="s">
        <v>133</v>
      </c>
      <c r="C14" s="113" t="n">
        <f t="array" ref="C14:F14">'Table 1 - More Strict'!$B$28:$E$28</f>
        <v>3827.1440276397097</v>
      </c>
      <c r="D14" s="113" t="n">
        <v>359.86460757031864</v>
      </c>
      <c r="E14" s="113" t="n">
        <v>3005.9008314565699</v>
      </c>
      <c r="F14" s="113" t="n">
        <v>359.6585838972602</v>
      </c>
      <c r="I14" s="8" t="s">
        <v>133</v>
      </c>
      <c r="J14" s="25" t="n">
        <f t="shared" si="3"/>
        <v>3800</v>
      </c>
      <c r="K14" s="25" t="n">
        <f t="shared" si="2"/>
        <v>360</v>
      </c>
      <c r="L14" s="25" t="n">
        <f t="shared" si="2"/>
        <v>3000</v>
      </c>
      <c r="M14" s="25" t="n">
        <f t="shared" si="2"/>
        <v>360</v>
      </c>
    </row>
    <row r="15">
      <c r="B15" s="4" t="s">
        <v>31</v>
      </c>
      <c r="C15" s="112"/>
      <c r="D15" s="112"/>
      <c r="E15" s="112"/>
      <c r="F15" s="112"/>
      <c r="I15" s="4" t="s">
        <v>31</v>
      </c>
      <c r="J15" s="23"/>
      <c r="K15" s="23"/>
      <c r="L15" s="23"/>
      <c r="M15" s="23"/>
    </row>
    <row r="16">
      <c r="B16" s="4" t="s">
        <v>135</v>
      </c>
      <c r="C16" s="112" t="n">
        <f t="array" ref="C16:F16">'Table 1 - Less Strict'!$B$29:$E$29</f>
        <v>3387.2723029881499</v>
      </c>
      <c r="D16" s="112" t="n">
        <v>318.50366990248898</v>
      </c>
      <c r="E16" s="112" t="n">
        <v>2487.6812735005497</v>
      </c>
      <c r="F16" s="112" t="n">
        <v>297.65317426702501</v>
      </c>
      <c r="I16" s="4" t="s">
        <v>135</v>
      </c>
      <c r="J16" s="23" t="n">
        <f t="shared" ref="J16:M18" si="4">ROUND(C16,2-(1+INT(LOG10(ABS(C16)))))</f>
        <v>3400</v>
      </c>
      <c r="K16" s="23" t="n">
        <f t="shared" si="4"/>
        <v>320</v>
      </c>
      <c r="L16" s="23" t="n">
        <f t="shared" si="4"/>
        <v>2500</v>
      </c>
      <c r="M16" s="23" t="n">
        <f t="shared" si="4"/>
        <v>300</v>
      </c>
    </row>
    <row r="17">
      <c r="B17" s="4" t="s">
        <v>134</v>
      </c>
      <c r="C17" s="112" t="n">
        <f t="array" ref="C17:F17">'Table 1'!$B$29:$E$29</f>
        <v>4849.7713230523905</v>
      </c>
      <c r="D17" s="112" t="n">
        <v>456.02178579424401</v>
      </c>
      <c r="E17" s="112" t="n">
        <v>3718.82883451112</v>
      </c>
      <c r="F17" s="112" t="n">
        <v>444.96102412282505</v>
      </c>
      <c r="I17" s="4" t="s">
        <v>134</v>
      </c>
      <c r="J17" s="23" t="n">
        <f t="shared" si="4"/>
        <v>4800</v>
      </c>
      <c r="K17" s="23" t="n">
        <f t="shared" si="4"/>
        <v>460</v>
      </c>
      <c r="L17" s="23" t="n">
        <f t="shared" si="4"/>
        <v>3700</v>
      </c>
      <c r="M17" s="23" t="n">
        <f t="shared" si="4"/>
        <v>440</v>
      </c>
    </row>
    <row r="18">
      <c r="B18" s="8" t="s">
        <v>133</v>
      </c>
      <c r="C18" s="113" t="n">
        <f t="array" ref="C18:F18">'Table 1 - More Strict'!$B$29:$E$29</f>
        <v>4877.92924725591</v>
      </c>
      <c r="D18" s="113" t="n">
        <v>458.66946256582895</v>
      </c>
      <c r="E18" s="113" t="n">
        <v>3738.7542962903099</v>
      </c>
      <c r="F18" s="113" t="n">
        <v>447.345122524212</v>
      </c>
      <c r="I18" s="8" t="s">
        <v>133</v>
      </c>
      <c r="J18" s="25" t="n">
        <f t="shared" si="4"/>
        <v>4900</v>
      </c>
      <c r="K18" s="25" t="n">
        <f t="shared" si="4"/>
        <v>460</v>
      </c>
      <c r="L18" s="25" t="n">
        <f t="shared" si="4"/>
        <v>3700</v>
      </c>
      <c r="M18" s="25" t="n">
        <f t="shared" si="4"/>
        <v>450</v>
      </c>
    </row>
    <row r="19">
      <c r="B19" s="4" t="s">
        <v>32</v>
      </c>
      <c r="C19" s="112"/>
      <c r="D19" s="112"/>
      <c r="E19" s="112"/>
      <c r="F19" s="112"/>
      <c r="I19" s="4" t="s">
        <v>32</v>
      </c>
      <c r="J19" s="23"/>
      <c r="K19" s="23"/>
      <c r="L19" s="23"/>
      <c r="M19" s="23"/>
    </row>
    <row r="20">
      <c r="B20" s="4" t="s">
        <v>135</v>
      </c>
      <c r="C20" s="112" t="n">
        <f t="array" ref="C20:F20" xml:space="preserve"> 'Table 1 - Less Strict'!$B$30:$E$30</f>
        <v>170.294340454283</v>
      </c>
      <c r="D20" s="112" t="n">
        <v>16.012699171089601</v>
      </c>
      <c r="E20" s="112" t="n">
        <v>14.2378004906982</v>
      </c>
      <c r="F20" s="112" t="n">
        <v>14.2378004906982</v>
      </c>
      <c r="I20" s="4" t="s">
        <v>135</v>
      </c>
      <c r="J20" s="23" t="n">
        <f t="shared" ref="J20:M22" si="5">ROUND(C20,2-(1+INT(LOG10(ABS(C20)))))</f>
        <v>170</v>
      </c>
      <c r="K20" s="23" t="n">
        <f t="shared" si="5"/>
        <v>16</v>
      </c>
      <c r="L20" s="23" t="n">
        <f t="shared" si="5"/>
        <v>14</v>
      </c>
      <c r="M20" s="23" t="n">
        <f t="shared" si="5"/>
        <v>14</v>
      </c>
    </row>
    <row r="21">
      <c r="B21" s="4" t="s">
        <v>134</v>
      </c>
      <c r="C21" s="112" t="n">
        <f t="array" ref="C21:F21" xml:space="preserve"> 'Table 1'!$B$30:$E$30</f>
        <v>1049.94451542099</v>
      </c>
      <c r="D21" s="112" t="n">
        <v>98.725803963433407</v>
      </c>
      <c r="E21" s="112" t="n">
        <v>732.26719685441196</v>
      </c>
      <c r="F21" s="112" t="n">
        <v>87.616391165989995</v>
      </c>
      <c r="I21" s="4" t="s">
        <v>134</v>
      </c>
      <c r="J21" s="23" t="n">
        <f t="shared" si="5"/>
        <v>1000</v>
      </c>
      <c r="K21" s="23" t="n">
        <f t="shared" si="5"/>
        <v>99</v>
      </c>
      <c r="L21" s="23" t="n">
        <f t="shared" si="5"/>
        <v>730</v>
      </c>
      <c r="M21" s="23" t="n">
        <f t="shared" si="5"/>
        <v>88</v>
      </c>
    </row>
    <row r="22">
      <c r="B22" s="8" t="s">
        <v>133</v>
      </c>
      <c r="C22" s="113" t="n">
        <f t="array" ref="C22:F22" xml:space="preserve"> 'Table 1 - More Strict'!$B$30:$E$30</f>
        <v>1050.7852196162</v>
      </c>
      <c r="D22" s="113" t="n">
        <v>98.804854995510297</v>
      </c>
      <c r="E22" s="113" t="n">
        <v>732.85346483373996</v>
      </c>
      <c r="F22" s="113" t="n">
        <v>87.686538626951801</v>
      </c>
      <c r="I22" s="8" t="s">
        <v>133</v>
      </c>
      <c r="J22" s="25" t="n">
        <f t="shared" si="5"/>
        <v>1100</v>
      </c>
      <c r="K22" s="25" t="n">
        <f t="shared" si="5"/>
        <v>99</v>
      </c>
      <c r="L22" s="25" t="n">
        <f t="shared" si="5"/>
        <v>730</v>
      </c>
      <c r="M22" s="25" t="n">
        <f t="shared" si="5"/>
        <v>88</v>
      </c>
    </row>
    <row r="23">
      <c r="B23" s="4" t="s">
        <v>33</v>
      </c>
      <c r="C23" s="112"/>
      <c r="D23" s="112"/>
      <c r="E23" s="112"/>
      <c r="F23" s="112"/>
      <c r="I23" s="4" t="s">
        <v>33</v>
      </c>
      <c r="J23" s="23"/>
      <c r="K23" s="23"/>
      <c r="L23" s="23"/>
      <c r="M23" s="23"/>
    </row>
    <row r="24">
      <c r="B24" s="4" t="s">
        <v>135</v>
      </c>
      <c r="C24" s="112" t="n">
        <f t="array" ref="C24:F24" xml:space="preserve"> 'Table 1 - Less Strict'!$B$31:$E$31</f>
        <v>-1216.338347583687</v>
      </c>
      <c r="D24" s="112" t="n">
        <v>-114.3717401186714</v>
      </c>
      <c r="E24" s="112" t="n">
        <v>-472.80385805967148</v>
      </c>
      <c r="F24" s="112" t="n">
        <v>-95.296143163598828</v>
      </c>
      <c r="I24" s="4" t="s">
        <v>135</v>
      </c>
      <c r="J24" s="23" t="n">
        <f>ROUND(C24,2-(1+INT(LOG10(ABS(C24)))))</f>
        <v>-1200</v>
      </c>
      <c r="K24" s="23" t="n">
        <f t="shared" ref="K24:M26" si="6">ROUND(D24,2-(1+INT(LOG10(ABS(D24)))))</f>
        <v>-110</v>
      </c>
      <c r="L24" s="23" t="n">
        <f t="shared" si="6"/>
        <v>-470</v>
      </c>
      <c r="M24" s="23" t="n">
        <f t="shared" si="6"/>
        <v>-95</v>
      </c>
    </row>
    <row r="25">
      <c r="B25" s="4" t="s">
        <v>134</v>
      </c>
      <c r="C25" s="112" t="n">
        <f t="array" ref="C25:F25" xml:space="preserve"> 'Table 1'!$B$31:$E$31</f>
        <v>7117.632069799899</v>
      </c>
      <c r="D25" s="112" t="n">
        <v>669.2676975650993</v>
      </c>
      <c r="E25" s="112" t="n">
        <v>7930.8972397745911</v>
      </c>
      <c r="F25" s="112" t="n">
        <v>669.21904643907487</v>
      </c>
      <c r="I25" s="4" t="s">
        <v>134</v>
      </c>
      <c r="J25" s="23" t="n">
        <f t="shared" ref="J25:J26" si="7">ROUND(C25,2-(1+INT(LOG10(ABS(C25)))))</f>
        <v>7100</v>
      </c>
      <c r="K25" s="23" t="n">
        <f t="shared" si="6"/>
        <v>670</v>
      </c>
      <c r="L25" s="23" t="n">
        <f t="shared" si="6"/>
        <v>7900</v>
      </c>
      <c r="M25" s="23" t="n">
        <f t="shared" si="6"/>
        <v>670</v>
      </c>
    </row>
    <row r="26">
      <c r="B26" s="5" t="s">
        <v>133</v>
      </c>
      <c r="C26" s="114" t="n">
        <f t="array" ref="C26:F26" xml:space="preserve"> 'Table 1 - More Strict'!$B$31:$E$31</f>
        <v>7098.8175305485911</v>
      </c>
      <c r="D26" s="114" t="n">
        <v>667.49857501957126</v>
      </c>
      <c r="E26" s="114" t="n">
        <v>7920.0607267317309</v>
      </c>
      <c r="F26" s="114" t="n">
        <v>667.7045986926297</v>
      </c>
      <c r="I26" s="5" t="s">
        <v>133</v>
      </c>
      <c r="J26" s="65" t="n">
        <f t="shared" si="7"/>
        <v>7100</v>
      </c>
      <c r="K26" s="65" t="n">
        <f t="shared" si="6"/>
        <v>670</v>
      </c>
      <c r="L26" s="65" t="n">
        <f t="shared" si="6"/>
        <v>7900</v>
      </c>
      <c r="M26" s="65" t="n">
        <f t="shared" si="6"/>
        <v>670</v>
      </c>
    </row>
    <row r="27">
      <c r="B27" s="8" t="s">
        <v>153</v>
      </c>
      <c r="C27" s="8"/>
      <c r="D27" s="8"/>
      <c r="E27" s="8"/>
      <c r="F27" s="8"/>
      <c r="I27" s="8" t="s">
        <v>153</v>
      </c>
      <c r="J27" s="8"/>
      <c r="K27" s="8"/>
      <c r="L27" s="8"/>
      <c r="M27" s="8"/>
    </row>
    <row r="28">
      <c r="B28" s="100" t="s">
        <v>154</v>
      </c>
      <c r="C28" s="100"/>
      <c r="D28" s="100"/>
      <c r="E28" s="100"/>
      <c r="F28" s="100"/>
      <c r="I28" s="100" t="s">
        <v>154</v>
      </c>
      <c r="J28" s="100"/>
      <c r="K28" s="100"/>
      <c r="L28" s="100"/>
      <c r="M28" s="100"/>
    </row>
    <row r="29">
      <c r="B29" s="4" t="s">
        <v>135</v>
      </c>
      <c r="C29" s="3" t="n">
        <f xml:space="preserve"> 'Table 1 - Less Strict'!$B$34 *1000000</f>
        <v>-1838071.2181210062</v>
      </c>
      <c r="D29" s="3"/>
      <c r="E29" s="3"/>
      <c r="F29" s="3"/>
      <c r="I29" s="4" t="s">
        <v>135</v>
      </c>
      <c r="J29" s="3" t="n">
        <f>-ROUND(C29,2-(1+INT(LOG10(ABS(C29)))))</f>
        <v>1800000</v>
      </c>
      <c r="K29" s="3"/>
      <c r="L29" s="3"/>
      <c r="M29" s="3"/>
    </row>
    <row r="30">
      <c r="B30" s="4" t="s">
        <v>134</v>
      </c>
      <c r="C30" s="3" t="n">
        <f xml:space="preserve"> 'Table 1'!$B$34 *1000000</f>
        <v>-8133762.0091957832</v>
      </c>
      <c r="D30" s="3"/>
      <c r="E30" s="3"/>
      <c r="F30" s="3"/>
      <c r="I30" s="4" t="s">
        <v>134</v>
      </c>
      <c r="J30" s="3" t="n">
        <f t="shared" ref="J30:J31" si="8">-ROUND(C30,2-(1+INT(LOG10(ABS(C30)))))</f>
        <v>8100000</v>
      </c>
      <c r="K30" s="3"/>
      <c r="L30" s="3"/>
      <c r="M30" s="3"/>
    </row>
    <row r="31">
      <c r="B31" s="8" t="s">
        <v>133</v>
      </c>
      <c r="C31" s="16" t="n">
        <f xml:space="preserve"> 'Table 1 - More Strict'!$B$34 *1000000</f>
        <v>-9738070.8031686749</v>
      </c>
      <c r="D31" s="16"/>
      <c r="E31" s="16"/>
      <c r="F31" s="16"/>
      <c r="I31" s="8" t="s">
        <v>133</v>
      </c>
      <c r="J31" s="3" t="n">
        <f t="shared" si="8"/>
        <v>9700000</v>
      </c>
      <c r="K31" s="3"/>
      <c r="L31" s="3"/>
      <c r="M31" s="3"/>
    </row>
    <row r="32">
      <c r="B32" s="100" t="s">
        <v>175</v>
      </c>
      <c r="C32" s="100"/>
      <c r="D32" s="100"/>
      <c r="E32" s="100"/>
      <c r="F32" s="100"/>
      <c r="I32" s="100" t="s">
        <v>175</v>
      </c>
      <c r="J32" s="100"/>
      <c r="K32" s="100"/>
      <c r="L32" s="100"/>
      <c r="M32" s="100"/>
    </row>
    <row r="33">
      <c r="B33" s="4" t="s">
        <v>135</v>
      </c>
      <c r="C33" s="3" t="n">
        <f xml:space="preserve"> 'Table 1 - Less Strict'!$B$35 * 1000000</f>
        <v>-1288325.5775851253</v>
      </c>
      <c r="D33" s="3"/>
      <c r="E33" s="3"/>
      <c r="F33" s="3"/>
      <c r="I33" s="4" t="s">
        <v>135</v>
      </c>
      <c r="J33" s="3" t="n">
        <f>-ROUND(C33,2-(1+INT(LOG10(ABS(C33)))))</f>
        <v>1300000</v>
      </c>
      <c r="K33" s="3"/>
      <c r="L33" s="3"/>
      <c r="M33" s="3"/>
    </row>
    <row r="34">
      <c r="B34" s="4" t="s">
        <v>134</v>
      </c>
      <c r="C34" s="3" t="n">
        <f xml:space="preserve"> 'Table 1'!$B$35 * 1000000</f>
        <v>-2907952.8207497811</v>
      </c>
      <c r="D34" s="3"/>
      <c r="E34" s="3"/>
      <c r="F34" s="3"/>
      <c r="I34" s="4" t="s">
        <v>134</v>
      </c>
      <c r="J34" s="3" t="n">
        <f t="shared" ref="J34:J35" si="9">-ROUND(C34,2-(1+INT(LOG10(ABS(C34)))))</f>
        <v>2900000</v>
      </c>
      <c r="K34" s="3"/>
      <c r="L34" s="3"/>
      <c r="M34" s="3"/>
    </row>
    <row r="35">
      <c r="B35" s="8" t="s">
        <v>133</v>
      </c>
      <c r="C35" s="3" t="n">
        <f xml:space="preserve"> 'Table 1 - More Strict'!$B$35 * 1000000</f>
        <v>-3450175.2542687347</v>
      </c>
      <c r="D35" s="3"/>
      <c r="E35" s="3"/>
      <c r="F35" s="3"/>
      <c r="I35" s="8" t="s">
        <v>133</v>
      </c>
      <c r="J35" s="3" t="n">
        <f t="shared" si="9"/>
        <v>3500000</v>
      </c>
      <c r="K35" s="3"/>
      <c r="L35" s="3"/>
      <c r="M35" s="3"/>
    </row>
    <row r="36">
      <c r="B36" s="100" t="s">
        <v>155</v>
      </c>
      <c r="C36" s="100"/>
      <c r="D36" s="100"/>
      <c r="E36" s="100"/>
      <c r="F36" s="100"/>
      <c r="I36" s="100" t="s">
        <v>155</v>
      </c>
      <c r="J36" s="100"/>
      <c r="K36" s="100"/>
      <c r="L36" s="100"/>
      <c r="M36" s="100"/>
    </row>
    <row r="37">
      <c r="B37" s="4" t="s">
        <v>135</v>
      </c>
      <c r="C37" s="3" t="n">
        <f xml:space="preserve"> 'Table 1 - Less Strict'!$B$36 * 1000000</f>
        <v>-48886.251881967335</v>
      </c>
      <c r="D37" s="3"/>
      <c r="E37" s="3"/>
      <c r="F37" s="3"/>
      <c r="I37" s="4" t="s">
        <v>135</v>
      </c>
      <c r="J37" s="3" t="n">
        <f>-ROUND(C37,2-(1+INT(LOG10(ABS(C37)))))</f>
        <v>49000</v>
      </c>
      <c r="K37" s="3"/>
      <c r="L37" s="3"/>
      <c r="M37" s="3"/>
    </row>
    <row r="38">
      <c r="B38" s="4" t="s">
        <v>134</v>
      </c>
      <c r="C38" s="3" t="n">
        <f xml:space="preserve"> 'Table 1'!$B$36 * 1000000</f>
        <v>-109803.98774164445</v>
      </c>
      <c r="D38" s="3"/>
      <c r="E38" s="3"/>
      <c r="F38" s="3"/>
      <c r="I38" s="4" t="s">
        <v>134</v>
      </c>
      <c r="J38" s="3" t="n">
        <f t="shared" ref="J38:J39" si="10">-ROUND(C38,2-(1+INT(LOG10(ABS(C38)))))</f>
        <v>110000</v>
      </c>
      <c r="K38" s="3"/>
      <c r="L38" s="3"/>
      <c r="M38" s="3"/>
    </row>
    <row r="39">
      <c r="B39" s="8" t="s">
        <v>133</v>
      </c>
      <c r="C39" s="16" t="n">
        <f xml:space="preserve"> 'Table 1 - More Strict'!$B$36 * 1000000</f>
        <v>-130293.04190816377</v>
      </c>
      <c r="D39" s="16"/>
      <c r="E39" s="16"/>
      <c r="F39" s="16"/>
      <c r="I39" s="8" t="s">
        <v>133</v>
      </c>
      <c r="J39" s="16" t="n">
        <f t="shared" si="10"/>
        <v>130000</v>
      </c>
      <c r="K39" s="16"/>
      <c r="L39" s="16"/>
      <c r="M39" s="16"/>
    </row>
  </sheetData>
  <mergeCells count="30">
    <mergeCell ref="C38:F38"/>
    <mergeCell ref="J38:M38"/>
    <mergeCell ref="C39:F39"/>
    <mergeCell ref="J39:M39"/>
    <mergeCell ref="C35:F35"/>
    <mergeCell ref="J35:M35"/>
    <mergeCell ref="B36:F36"/>
    <mergeCell ref="I36:M36"/>
    <mergeCell ref="C37:F37"/>
    <mergeCell ref="J37:M37"/>
    <mergeCell ref="C33:F33"/>
    <mergeCell ref="J33:M33"/>
    <mergeCell ref="C34:F34"/>
    <mergeCell ref="J34:M34"/>
    <mergeCell ref="C30:F30"/>
    <mergeCell ref="J30:M30"/>
    <mergeCell ref="C31:F31"/>
    <mergeCell ref="J31:M31"/>
    <mergeCell ref="B32:F32"/>
    <mergeCell ref="I32:M32"/>
    <mergeCell ref="B28:F28"/>
    <mergeCell ref="I28:M28"/>
    <mergeCell ref="C29:F29"/>
    <mergeCell ref="J29:M29"/>
    <mergeCell ref="C3:F3"/>
    <mergeCell ref="J3:M3"/>
    <mergeCell ref="C9:D9"/>
    <mergeCell ref="E9:F9"/>
    <mergeCell ref="J9:K9"/>
    <mergeCell ref="L9:M9"/>
  </mergeCells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2" max="2" width="21.85546875" hidden="0" customWidth="1"/>
    <col min="5" max="5" width="11.7109375" hidden="0" customWidth="1"/>
    <col min="9" max="9" width="21.85546875" hidden="0" customWidth="1"/>
  </cols>
  <sheetData>
    <row r="2" ht="16.149999999999999" customHeight="1">
      <c r="B2" s="1" t="s">
        <v>156</v>
      </c>
      <c r="C2" s="37" t="s">
        <v>470</v>
      </c>
      <c r="I2" s="1" t="s">
        <v>156</v>
      </c>
      <c r="J2" s="37" t="s">
        <v>470</v>
      </c>
    </row>
    <row r="3" ht="15.6" customHeight="1">
      <c r="B3" s="19"/>
      <c r="C3" s="13" t="s">
        <v>28</v>
      </c>
      <c r="D3" s="13"/>
      <c r="E3" s="13"/>
      <c r="F3" s="13"/>
      <c r="I3" s="19"/>
      <c r="J3" s="13" t="s">
        <v>28</v>
      </c>
      <c r="K3" s="13"/>
      <c r="L3" s="13"/>
      <c r="M3" s="13"/>
    </row>
    <row r="4" ht="15" customHeight="1">
      <c r="B4" s="115"/>
      <c r="C4" s="115" t="s">
        <v>24</v>
      </c>
      <c r="D4" s="116" t="s">
        <v>25</v>
      </c>
      <c r="E4" s="116" t="s">
        <v>24</v>
      </c>
      <c r="F4" s="116" t="s">
        <v>25</v>
      </c>
      <c r="I4" s="115"/>
      <c r="J4" s="115" t="s">
        <v>24</v>
      </c>
      <c r="K4" s="116" t="s">
        <v>25</v>
      </c>
      <c r="L4" s="116" t="s">
        <v>24</v>
      </c>
      <c r="M4" s="116" t="s">
        <v>25</v>
      </c>
    </row>
    <row r="5">
      <c r="B5" s="4" t="s">
        <v>445</v>
      </c>
      <c r="C5" s="4"/>
      <c r="D5" s="4"/>
      <c r="E5" s="4"/>
      <c r="F5" s="4"/>
      <c r="I5" s="4" t="s">
        <v>445</v>
      </c>
      <c r="J5" s="4"/>
      <c r="K5" s="4"/>
      <c r="L5" s="4"/>
      <c r="M5" s="4"/>
    </row>
    <row r="6">
      <c r="B6" s="4" t="s">
        <v>135</v>
      </c>
      <c r="C6" s="95" t="n">
        <f t="array" ref="C6:F6" xml:space="preserve"> 'Table 1 - Less Strict'!$B$49:$E$49</f>
        <v>14797.3673492775</v>
      </c>
      <c r="D6" s="95" t="n">
        <v>1391.3897035920199</v>
      </c>
      <c r="E6" s="95" t="n">
        <v>14797.3673492775</v>
      </c>
      <c r="F6" s="95" t="n">
        <v>1391.3897035920199</v>
      </c>
      <c r="I6" s="4" t="s">
        <v>135</v>
      </c>
      <c r="J6" s="95" t="n">
        <f>ROUND(C6,2-(1+INT(LOG10(ABS(C6)))))</f>
        <v>15000</v>
      </c>
      <c r="K6" s="95" t="n">
        <f t="shared" ref="K6:M8" si="0">ROUND(D6,2-(1+INT(LOG10(ABS(D6)))))</f>
        <v>1400</v>
      </c>
      <c r="L6" s="95" t="n">
        <f t="shared" si="0"/>
        <v>15000</v>
      </c>
      <c r="M6" s="95" t="n">
        <f t="shared" si="0"/>
        <v>1400</v>
      </c>
    </row>
    <row r="7">
      <c r="B7" s="4" t="s">
        <v>134</v>
      </c>
      <c r="C7" s="95" t="n">
        <f t="array" ref="C7:F7" xml:space="preserve"> 'Table 1'!$B$49:$E$49</f>
        <v>37028.111386097196</v>
      </c>
      <c r="D7" s="95" t="n">
        <v>3481.7364271618098</v>
      </c>
      <c r="E7" s="95" t="n">
        <v>37028.111386097196</v>
      </c>
      <c r="F7" s="95" t="n">
        <v>3481.7364271618098</v>
      </c>
      <c r="I7" s="4" t="s">
        <v>134</v>
      </c>
      <c r="J7" s="95" t="n">
        <f t="shared" ref="J7:J8" si="1">ROUND(C7,2-(1+INT(LOG10(ABS(C7)))))</f>
        <v>37000</v>
      </c>
      <c r="K7" s="95" t="n">
        <f t="shared" si="0"/>
        <v>3500</v>
      </c>
      <c r="L7" s="95" t="n">
        <f t="shared" si="0"/>
        <v>37000</v>
      </c>
      <c r="M7" s="95" t="n">
        <f t="shared" si="0"/>
        <v>3500</v>
      </c>
    </row>
    <row r="8">
      <c r="B8" s="5" t="s">
        <v>133</v>
      </c>
      <c r="C8" s="95" t="n">
        <f t="array" ref="C8:F8" xml:space="preserve"> 'Table 1 - More Strict'!$B$49:$E$49</f>
        <v>37288.571956148597</v>
      </c>
      <c r="D8" s="98" t="n">
        <v>3506.2274157820798</v>
      </c>
      <c r="E8" s="98" t="n">
        <v>37288.571956148597</v>
      </c>
      <c r="F8" s="98" t="n">
        <v>3506.2274157820798</v>
      </c>
      <c r="I8" s="5" t="s">
        <v>133</v>
      </c>
      <c r="J8" s="95" t="n">
        <f t="shared" si="1"/>
        <v>37000</v>
      </c>
      <c r="K8" s="95" t="n">
        <f t="shared" si="0"/>
        <v>3500</v>
      </c>
      <c r="L8" s="95" t="n">
        <f t="shared" si="0"/>
        <v>37000</v>
      </c>
      <c r="M8" s="95" t="n">
        <f t="shared" si="0"/>
        <v>3500</v>
      </c>
    </row>
    <row r="9">
      <c r="B9" s="4"/>
      <c r="C9" s="13" t="s">
        <v>28</v>
      </c>
      <c r="D9" s="13"/>
      <c r="E9" s="13" t="s">
        <v>29</v>
      </c>
      <c r="F9" s="13"/>
      <c r="I9" s="4"/>
      <c r="J9" s="13" t="s">
        <v>28</v>
      </c>
      <c r="K9" s="13"/>
      <c r="L9" s="13" t="s">
        <v>29</v>
      </c>
      <c r="M9" s="13"/>
    </row>
    <row r="10" ht="15" customHeight="1">
      <c r="B10" s="115"/>
      <c r="C10" s="115" t="s">
        <v>24</v>
      </c>
      <c r="D10" s="116" t="s">
        <v>25</v>
      </c>
      <c r="E10" s="115" t="s">
        <v>24</v>
      </c>
      <c r="F10" s="115" t="s">
        <v>25</v>
      </c>
      <c r="I10" s="115"/>
      <c r="J10" s="115" t="s">
        <v>24</v>
      </c>
      <c r="K10" s="116" t="s">
        <v>25</v>
      </c>
      <c r="L10" s="115" t="s">
        <v>24</v>
      </c>
      <c r="M10" s="115" t="s">
        <v>25</v>
      </c>
    </row>
    <row r="11" ht="15" customHeight="1">
      <c r="B11" s="4" t="s">
        <v>30</v>
      </c>
      <c r="C11" s="4"/>
      <c r="D11" s="4"/>
      <c r="E11" s="4"/>
      <c r="F11" s="4"/>
      <c r="I11" s="4" t="s">
        <v>30</v>
      </c>
      <c r="J11" s="4"/>
      <c r="K11" s="4"/>
      <c r="L11" s="4"/>
      <c r="M11" s="4"/>
    </row>
    <row r="12">
      <c r="B12" s="4" t="s">
        <v>135</v>
      </c>
      <c r="C12" s="95" t="n">
        <f t="array" ref="C12:F12">'Table 1 - Less Strict'!$B$50:$E$50</f>
        <v>4940.0562277442305</v>
      </c>
      <c r="D12" s="95" t="n">
        <v>464.51123420846801</v>
      </c>
      <c r="E12" s="95" t="n">
        <v>3573.4284548320816</v>
      </c>
      <c r="F12" s="95" t="n">
        <v>427.56374537489302</v>
      </c>
      <c r="I12" s="4" t="s">
        <v>135</v>
      </c>
      <c r="J12" s="95" t="n">
        <f>ROUND(C12,2-(1+INT(LOG10(ABS(C12)))))</f>
        <v>4900</v>
      </c>
      <c r="K12" s="95" t="n">
        <f t="shared" ref="K12:M14" si="2">ROUND(D12,2-(1+INT(LOG10(ABS(D12)))))</f>
        <v>460</v>
      </c>
      <c r="L12" s="95" t="n">
        <f t="shared" si="2"/>
        <v>3600</v>
      </c>
      <c r="M12" s="95" t="n">
        <f t="shared" si="2"/>
        <v>430</v>
      </c>
    </row>
    <row r="13">
      <c r="B13" s="4" t="s">
        <v>134</v>
      </c>
      <c r="C13" s="95" t="n">
        <f t="array" ref="C13:F13">'Table 1'!$B$50:$E$50</f>
        <v>10569.732932591858</v>
      </c>
      <c r="D13" s="95" t="n">
        <v>993.86716738122993</v>
      </c>
      <c r="E13" s="117" t="n">
        <v>8673.9756786686412</v>
      </c>
      <c r="F13" s="117" t="n">
        <v>1037.8485466659699</v>
      </c>
      <c r="I13" s="4" t="s">
        <v>134</v>
      </c>
      <c r="J13" s="95" t="n">
        <f t="shared" ref="J13:J14" si="3">ROUND(C13,2-(1+INT(LOG10(ABS(C13)))))</f>
        <v>11000</v>
      </c>
      <c r="K13" s="95" t="n">
        <f t="shared" si="2"/>
        <v>990</v>
      </c>
      <c r="L13" s="95" t="n">
        <f t="shared" si="2"/>
        <v>8700</v>
      </c>
      <c r="M13" s="95" t="n">
        <f t="shared" si="2"/>
        <v>1000</v>
      </c>
    </row>
    <row r="14" ht="15" customHeight="1">
      <c r="B14" s="8" t="s">
        <v>133</v>
      </c>
      <c r="C14" s="118" t="n">
        <f t="array" ref="C14:F14">'Table 1 - More Strict'!$B$50:$E$50</f>
        <v>11057.88089973869</v>
      </c>
      <c r="D14" s="118" t="n">
        <v>1039.7674981147611</v>
      </c>
      <c r="E14" s="118" t="n">
        <v>9026.2139099063697</v>
      </c>
      <c r="F14" s="118" t="n">
        <v>1079.9941497795808</v>
      </c>
      <c r="I14" s="8" t="s">
        <v>133</v>
      </c>
      <c r="J14" s="118" t="n">
        <f t="shared" si="3"/>
        <v>11000</v>
      </c>
      <c r="K14" s="118" t="n">
        <f t="shared" si="2"/>
        <v>1000</v>
      </c>
      <c r="L14" s="118" t="n">
        <f t="shared" si="2"/>
        <v>9000</v>
      </c>
      <c r="M14" s="118" t="n">
        <f t="shared" si="2"/>
        <v>1100</v>
      </c>
    </row>
    <row r="15">
      <c r="B15" s="4" t="s">
        <v>31</v>
      </c>
      <c r="C15" s="4"/>
      <c r="D15" s="4"/>
      <c r="E15" s="4"/>
      <c r="F15" s="4"/>
      <c r="I15" s="4" t="s">
        <v>31</v>
      </c>
      <c r="J15" s="95"/>
      <c r="K15" s="95"/>
      <c r="L15" s="95"/>
      <c r="M15" s="95"/>
    </row>
    <row r="16">
      <c r="B16" s="4" t="s">
        <v>135</v>
      </c>
      <c r="C16" s="95" t="n">
        <f t="array" ref="C16:F16">'Table 1 - Less Strict'!$B$51:$E$51</f>
        <v>6346.7214515873302</v>
      </c>
      <c r="D16" s="95" t="n">
        <v>596.77932370425401</v>
      </c>
      <c r="E16" s="95" t="n">
        <v>4566.1337059061207</v>
      </c>
      <c r="F16" s="95" t="n">
        <v>546.34177061521802</v>
      </c>
      <c r="I16" s="4" t="s">
        <v>135</v>
      </c>
      <c r="J16" s="95" t="n">
        <f t="shared" ref="J16:M18" si="4">ROUND(C16,2-(1+INT(LOG10(ABS(C16)))))</f>
        <v>6300</v>
      </c>
      <c r="K16" s="95" t="n">
        <f t="shared" si="4"/>
        <v>600</v>
      </c>
      <c r="L16" s="95" t="n">
        <f t="shared" si="4"/>
        <v>4600</v>
      </c>
      <c r="M16" s="95" t="n">
        <f t="shared" si="4"/>
        <v>550</v>
      </c>
    </row>
    <row r="17">
      <c r="B17" s="4" t="s">
        <v>134</v>
      </c>
      <c r="C17" s="95" t="n">
        <f t="array" ref="C17:F17">'Table 1'!$B$51:$E$51</f>
        <v>14159.229234578599</v>
      </c>
      <c r="D17" s="95" t="n">
        <v>1331.3858676863799</v>
      </c>
      <c r="E17" s="95" t="n">
        <v>11214.0371361748</v>
      </c>
      <c r="F17" s="95" t="n">
        <v>1341.7690543747999</v>
      </c>
      <c r="I17" s="4" t="s">
        <v>134</v>
      </c>
      <c r="J17" s="95" t="n">
        <f t="shared" si="4"/>
        <v>14000</v>
      </c>
      <c r="K17" s="95" t="n">
        <f t="shared" si="4"/>
        <v>1300</v>
      </c>
      <c r="L17" s="95" t="n">
        <f t="shared" si="4"/>
        <v>11000</v>
      </c>
      <c r="M17" s="95" t="n">
        <f t="shared" si="4"/>
        <v>1300</v>
      </c>
    </row>
    <row r="18" ht="15" customHeight="1">
      <c r="B18" s="8" t="s">
        <v>133</v>
      </c>
      <c r="C18" s="118" t="n">
        <f t="array" ref="C18:F18">'Table 1 - More Strict'!$B$51:$E$51</f>
        <v>14673.014347833299</v>
      </c>
      <c r="D18" s="118" t="n">
        <v>1379.6968475767501</v>
      </c>
      <c r="E18" s="118" t="n">
        <v>11584.4830257304</v>
      </c>
      <c r="F18" s="118" t="n">
        <v>1386.0932192487198</v>
      </c>
      <c r="I18" s="8" t="s">
        <v>133</v>
      </c>
      <c r="J18" s="118" t="n">
        <f t="shared" si="4"/>
        <v>15000</v>
      </c>
      <c r="K18" s="118" t="n">
        <f t="shared" si="4"/>
        <v>1400</v>
      </c>
      <c r="L18" s="118" t="n">
        <f t="shared" si="4"/>
        <v>12000</v>
      </c>
      <c r="M18" s="118" t="n">
        <f t="shared" si="4"/>
        <v>1400</v>
      </c>
    </row>
    <row r="19">
      <c r="B19" s="4" t="s">
        <v>32</v>
      </c>
      <c r="C19" s="4"/>
      <c r="D19" s="4"/>
      <c r="E19" s="4"/>
      <c r="F19" s="4"/>
      <c r="I19" s="4" t="s">
        <v>32</v>
      </c>
      <c r="J19" s="95"/>
      <c r="K19" s="95"/>
      <c r="L19" s="95"/>
      <c r="M19" s="95"/>
    </row>
    <row r="20">
      <c r="B20" s="4" t="s">
        <v>135</v>
      </c>
      <c r="C20" s="95" t="n">
        <f t="array" ref="C20:F20" xml:space="preserve"> 'Table 1 - Less Strict'!$B$52:$E$52</f>
        <v>1406.6652238431</v>
      </c>
      <c r="D20" s="95" t="n">
        <v>132.268089495786</v>
      </c>
      <c r="E20" s="95" t="n">
        <v>992.70525107403898</v>
      </c>
      <c r="F20" s="117" t="n">
        <v>118.77802524032501</v>
      </c>
      <c r="I20" s="4" t="s">
        <v>135</v>
      </c>
      <c r="J20" s="95" t="n">
        <f t="shared" ref="J20:M22" si="5">ROUND(C20,2-(1+INT(LOG10(ABS(C20)))))</f>
        <v>1400</v>
      </c>
      <c r="K20" s="95" t="n">
        <f t="shared" si="5"/>
        <v>130</v>
      </c>
      <c r="L20" s="95" t="n">
        <f t="shared" si="5"/>
        <v>990</v>
      </c>
      <c r="M20" s="95" t="n">
        <f t="shared" si="5"/>
        <v>120</v>
      </c>
    </row>
    <row r="21">
      <c r="B21" s="4" t="s">
        <v>42</v>
      </c>
      <c r="C21" s="95" t="n">
        <f t="array" ref="C21:F21" xml:space="preserve"> 'Table 1'!$B$52:$E$52</f>
        <v>3589.49630198674</v>
      </c>
      <c r="D21" s="95" t="n">
        <v>337.51870030514999</v>
      </c>
      <c r="E21" s="95" t="n">
        <v>2540.06145750616</v>
      </c>
      <c r="F21" s="95" t="n">
        <v>303.92050770882997</v>
      </c>
      <c r="I21" s="4" t="s">
        <v>42</v>
      </c>
      <c r="J21" s="95" t="n">
        <f t="shared" si="5"/>
        <v>3600</v>
      </c>
      <c r="K21" s="95" t="n">
        <f t="shared" si="5"/>
        <v>340</v>
      </c>
      <c r="L21" s="95" t="n">
        <f t="shared" si="5"/>
        <v>2500</v>
      </c>
      <c r="M21" s="95" t="n">
        <f t="shared" si="5"/>
        <v>300</v>
      </c>
    </row>
    <row r="22" ht="15" customHeight="1">
      <c r="B22" s="8" t="s">
        <v>133</v>
      </c>
      <c r="C22" s="118" t="n">
        <f t="array" ref="C22:F22" xml:space="preserve"> 'Table 1 - More Strict'!$B$52:$E$52</f>
        <v>3615.1334480946102</v>
      </c>
      <c r="D22" s="118" t="n">
        <v>339.92934946198898</v>
      </c>
      <c r="E22" s="118" t="n">
        <v>2558.26911582403</v>
      </c>
      <c r="F22" s="118" t="n">
        <v>306.09906946913895</v>
      </c>
      <c r="I22" s="8" t="s">
        <v>133</v>
      </c>
      <c r="J22" s="118" t="n">
        <f t="shared" si="5"/>
        <v>3600</v>
      </c>
      <c r="K22" s="118" t="n">
        <f t="shared" si="5"/>
        <v>340</v>
      </c>
      <c r="L22" s="118" t="n">
        <f t="shared" si="5"/>
        <v>2600</v>
      </c>
      <c r="M22" s="118" t="n">
        <f t="shared" si="5"/>
        <v>310</v>
      </c>
    </row>
    <row r="23">
      <c r="B23" s="4" t="s">
        <v>33</v>
      </c>
      <c r="C23" s="4"/>
      <c r="D23" s="4"/>
      <c r="E23" s="4"/>
      <c r="F23" s="4"/>
      <c r="I23" s="4" t="s">
        <v>33</v>
      </c>
      <c r="J23" s="95"/>
      <c r="K23" s="95"/>
      <c r="L23" s="95"/>
      <c r="M23" s="95"/>
    </row>
    <row r="24">
      <c r="B24" s="4" t="s">
        <v>135</v>
      </c>
      <c r="C24" s="95" t="n">
        <f t="array" ref="C24:F24" xml:space="preserve"> 'Table 1 - Less Strict'!$B$53:$E$53</f>
        <v>9857.3111215332683</v>
      </c>
      <c r="D24" s="95" t="n">
        <v>926.87846938355187</v>
      </c>
      <c r="E24" s="95" t="n">
        <v>11223.938894445419</v>
      </c>
      <c r="F24" s="95" t="n">
        <v>963.82595821712698</v>
      </c>
      <c r="I24" s="4" t="s">
        <v>135</v>
      </c>
      <c r="J24" s="95" t="n">
        <f>ROUND(C24,2-(1+INT(LOG10(ABS(C24)))))</f>
        <v>9900</v>
      </c>
      <c r="K24" s="95" t="n">
        <f t="shared" ref="K24:M24" si="6">ROUND(D24,2-(1+INT(LOG10(ABS(D24)))))</f>
        <v>930</v>
      </c>
      <c r="L24" s="95" t="n">
        <f t="shared" si="6"/>
        <v>11000</v>
      </c>
      <c r="M24" s="95" t="n">
        <f t="shared" si="6"/>
        <v>960</v>
      </c>
    </row>
    <row r="25">
      <c r="B25" s="4" t="s">
        <v>134</v>
      </c>
      <c r="C25" s="95" t="n">
        <f t="array" ref="C25:F25" xml:space="preserve"> 'Table 1'!$B$53:$E$53</f>
        <v>26458.378453505338</v>
      </c>
      <c r="D25" s="95" t="n">
        <v>2487.8692597805798</v>
      </c>
      <c r="E25" s="95" t="n">
        <v>28354.135707428555</v>
      </c>
      <c r="F25" s="95" t="n">
        <v>2443.8878804958399</v>
      </c>
      <c r="I25" s="4" t="s">
        <v>134</v>
      </c>
      <c r="J25" s="95" t="n">
        <f t="shared" ref="J25:M26" si="7">ROUND(C25,2-(1+INT(LOG10(ABS(C25)))))</f>
        <v>26000</v>
      </c>
      <c r="K25" s="95" t="n">
        <f t="shared" si="7"/>
        <v>2500</v>
      </c>
      <c r="L25" s="95" t="n">
        <f t="shared" si="7"/>
        <v>28000</v>
      </c>
      <c r="M25" s="95" t="n">
        <f t="shared" si="7"/>
        <v>2400</v>
      </c>
    </row>
    <row r="26" ht="15" customHeight="1">
      <c r="B26" s="5" t="s">
        <v>133</v>
      </c>
      <c r="C26" s="98" t="n">
        <f t="array" ref="C26:F26" xml:space="preserve"> 'Table 1 - More Strict'!$B$53:$E$53</f>
        <v>26230.691056409909</v>
      </c>
      <c r="D26" s="98" t="n">
        <v>2466.4599176673187</v>
      </c>
      <c r="E26" s="98" t="n">
        <v>28262.358046242225</v>
      </c>
      <c r="F26" s="98" t="n">
        <v>2426.233266002499</v>
      </c>
      <c r="I26" s="5" t="s">
        <v>133</v>
      </c>
      <c r="J26" s="98" t="n">
        <f t="shared" si="7"/>
        <v>26000</v>
      </c>
      <c r="K26" s="98" t="n">
        <f t="shared" si="7"/>
        <v>2500</v>
      </c>
      <c r="L26" s="98" t="n">
        <f t="shared" si="7"/>
        <v>28000</v>
      </c>
      <c r="M26" s="98" t="n">
        <f t="shared" si="7"/>
        <v>2400</v>
      </c>
    </row>
    <row r="27" ht="15.6" customHeight="1">
      <c r="B27" s="8" t="s">
        <v>153</v>
      </c>
      <c r="C27" s="8"/>
      <c r="D27" s="8"/>
      <c r="E27" s="8"/>
      <c r="F27" s="8"/>
      <c r="I27" s="8" t="s">
        <v>153</v>
      </c>
      <c r="J27" s="8"/>
      <c r="K27" s="8"/>
      <c r="L27" s="8"/>
      <c r="M27" s="8"/>
    </row>
    <row r="28">
      <c r="B28" s="100" t="s">
        <v>154</v>
      </c>
      <c r="C28" s="100"/>
      <c r="D28" s="100"/>
      <c r="E28" s="100"/>
      <c r="F28" s="100"/>
      <c r="I28" s="100" t="s">
        <v>154</v>
      </c>
      <c r="J28" s="100"/>
      <c r="K28" s="100"/>
      <c r="L28" s="100"/>
      <c r="M28" s="100"/>
    </row>
    <row r="29">
      <c r="B29" s="4" t="s">
        <v>135</v>
      </c>
      <c r="C29" s="3" t="n">
        <f xml:space="preserve"> 'Table 1 - Less Strict'!$B$56 *1000000</f>
        <v>-11006250.56536347</v>
      </c>
      <c r="D29" s="3"/>
      <c r="E29" s="3"/>
      <c r="F29" s="3"/>
      <c r="I29" s="4" t="s">
        <v>135</v>
      </c>
      <c r="J29" s="3" t="n">
        <f>-ROUND(C29,2-(1+INT(LOG10(ABS(C29)))))</f>
        <v>11000000</v>
      </c>
      <c r="K29" s="3"/>
      <c r="L29" s="3"/>
      <c r="M29" s="3"/>
    </row>
    <row r="30">
      <c r="B30" s="4" t="s">
        <v>134</v>
      </c>
      <c r="C30" s="3" t="n">
        <f xml:space="preserve"> 'Table 1'!$B$56 *1000000</f>
        <v>-27534256.275853727</v>
      </c>
      <c r="D30" s="3"/>
      <c r="E30" s="3"/>
      <c r="F30" s="3"/>
      <c r="I30" s="4" t="s">
        <v>134</v>
      </c>
      <c r="J30" s="3" t="n">
        <f t="shared" ref="J30:J31" si="8">-ROUND(C30,2-(1+INT(LOG10(ABS(C30)))))</f>
        <v>28000000</v>
      </c>
      <c r="K30" s="3"/>
      <c r="L30" s="3"/>
      <c r="M30" s="3"/>
    </row>
    <row r="31">
      <c r="B31" s="8" t="s">
        <v>133</v>
      </c>
      <c r="C31" s="16" t="n">
        <f xml:space="preserve"> 'Table 1 - More Strict'!$B$56 *1000000</f>
        <v>-27727866.999588452</v>
      </c>
      <c r="D31" s="16"/>
      <c r="E31" s="16"/>
      <c r="F31" s="16"/>
      <c r="I31" s="8" t="s">
        <v>133</v>
      </c>
      <c r="J31" s="3" t="n">
        <f t="shared" si="8"/>
        <v>28000000</v>
      </c>
      <c r="K31" s="3"/>
      <c r="L31" s="3"/>
      <c r="M31" s="3"/>
    </row>
    <row r="32">
      <c r="B32" s="100" t="s">
        <v>175</v>
      </c>
      <c r="C32" s="100"/>
      <c r="D32" s="100"/>
      <c r="E32" s="100"/>
      <c r="F32" s="100"/>
      <c r="I32" s="100" t="s">
        <v>175</v>
      </c>
      <c r="J32" s="100"/>
      <c r="K32" s="100"/>
      <c r="L32" s="100"/>
      <c r="M32" s="100"/>
    </row>
    <row r="33">
      <c r="B33" s="4" t="s">
        <v>135</v>
      </c>
      <c r="C33" s="3" t="n">
        <f xml:space="preserve"> 'Table 1 - Less Strict'!$B$57 * 1000000</f>
        <v>-2297596.4111375492</v>
      </c>
      <c r="D33" s="3"/>
      <c r="E33" s="3"/>
      <c r="F33" s="3"/>
      <c r="I33" s="4" t="s">
        <v>135</v>
      </c>
      <c r="J33" s="3" t="n">
        <f>-ROUND(C33,2-(1+INT(LOG10(ABS(C33)))))</f>
        <v>2300000</v>
      </c>
      <c r="K33" s="3"/>
      <c r="L33" s="3"/>
      <c r="M33" s="3"/>
    </row>
    <row r="34">
      <c r="B34" s="4" t="s">
        <v>134</v>
      </c>
      <c r="C34" s="3" t="n">
        <f xml:space="preserve"> 'Table 1'!$B$57 * 1000000</f>
        <v>-6801448.1861610524</v>
      </c>
      <c r="D34" s="3"/>
      <c r="E34" s="3"/>
      <c r="F34" s="3"/>
      <c r="I34" s="4" t="s">
        <v>134</v>
      </c>
      <c r="J34" s="3" t="n">
        <f t="shared" ref="J34:J35" si="9">-ROUND(C34,2-(1+INT(LOG10(ABS(C34)))))</f>
        <v>6800000</v>
      </c>
      <c r="K34" s="3"/>
      <c r="L34" s="3"/>
      <c r="M34" s="3"/>
    </row>
    <row r="35">
      <c r="B35" s="8" t="s">
        <v>133</v>
      </c>
      <c r="C35" s="3" t="n">
        <f xml:space="preserve"> 'Table 1 - More Strict'!$B$57 * 1000000</f>
        <v>-6855267.0695888279</v>
      </c>
      <c r="D35" s="3"/>
      <c r="E35" s="3"/>
      <c r="F35" s="3"/>
      <c r="I35" s="8" t="s">
        <v>133</v>
      </c>
      <c r="J35" s="3" t="n">
        <f t="shared" si="9"/>
        <v>6900000</v>
      </c>
      <c r="K35" s="3"/>
      <c r="L35" s="3"/>
      <c r="M35" s="3"/>
    </row>
    <row r="36">
      <c r="B36" s="100" t="s">
        <v>155</v>
      </c>
      <c r="C36" s="100"/>
      <c r="D36" s="100"/>
      <c r="E36" s="100"/>
      <c r="F36" s="100"/>
      <c r="I36" s="100" t="s">
        <v>155</v>
      </c>
      <c r="J36" s="100"/>
      <c r="K36" s="100"/>
      <c r="L36" s="100"/>
      <c r="M36" s="100"/>
    </row>
    <row r="37">
      <c r="B37" s="4" t="s">
        <v>135</v>
      </c>
      <c r="C37" s="3" t="n">
        <f xml:space="preserve"> 'Table 1 - Less Strict'!$B$58 * 1000000</f>
        <v>-112897.09939261178</v>
      </c>
      <c r="D37" s="3"/>
      <c r="E37" s="3"/>
      <c r="F37" s="3"/>
      <c r="I37" s="4" t="s">
        <v>135</v>
      </c>
      <c r="J37" s="3" t="n">
        <f>-ROUND(C37,2-(1+INT(LOG10(ABS(C37)))))</f>
        <v>110000</v>
      </c>
      <c r="K37" s="3"/>
      <c r="L37" s="3"/>
      <c r="M37" s="3"/>
    </row>
    <row r="38">
      <c r="B38" s="4" t="s">
        <v>134</v>
      </c>
      <c r="C38" s="3" t="n">
        <f xml:space="preserve"> 'Table 1'!$B$58 * 1000000</f>
        <v>-282477.44923403219</v>
      </c>
      <c r="D38" s="3"/>
      <c r="E38" s="3"/>
      <c r="F38" s="3"/>
      <c r="I38" s="4" t="s">
        <v>134</v>
      </c>
      <c r="J38" s="3" t="n">
        <f t="shared" ref="J38:J39" si="10">-ROUND(C38,2-(1+INT(LOG10(ABS(C38)))))</f>
        <v>280000</v>
      </c>
      <c r="K38" s="3"/>
      <c r="L38" s="3"/>
      <c r="M38" s="3"/>
    </row>
    <row r="39">
      <c r="B39" s="8" t="s">
        <v>133</v>
      </c>
      <c r="C39" s="16" t="n">
        <f xml:space="preserve"> 'Table 1 - More Strict'!$B$58 * 1000000</f>
        <v>-284504.80657275667</v>
      </c>
      <c r="D39" s="16"/>
      <c r="E39" s="16"/>
      <c r="F39" s="16"/>
      <c r="I39" s="8" t="s">
        <v>133</v>
      </c>
      <c r="J39" s="16" t="n">
        <f t="shared" si="10"/>
        <v>280000</v>
      </c>
      <c r="K39" s="16"/>
      <c r="L39" s="16"/>
      <c r="M39" s="16"/>
    </row>
  </sheetData>
  <mergeCells count="30">
    <mergeCell ref="C38:F38"/>
    <mergeCell ref="J38:M38"/>
    <mergeCell ref="C39:F39"/>
    <mergeCell ref="J39:M39"/>
    <mergeCell ref="C35:F35"/>
    <mergeCell ref="J35:M35"/>
    <mergeCell ref="B36:F36"/>
    <mergeCell ref="I36:M36"/>
    <mergeCell ref="C37:F37"/>
    <mergeCell ref="J37:M37"/>
    <mergeCell ref="C33:F33"/>
    <mergeCell ref="J33:M33"/>
    <mergeCell ref="C34:F34"/>
    <mergeCell ref="J34:M34"/>
    <mergeCell ref="C30:F30"/>
    <mergeCell ref="J30:M30"/>
    <mergeCell ref="C31:F31"/>
    <mergeCell ref="J31:M31"/>
    <mergeCell ref="B32:F32"/>
    <mergeCell ref="I32:M32"/>
    <mergeCell ref="B28:F28"/>
    <mergeCell ref="I28:M28"/>
    <mergeCell ref="C29:F29"/>
    <mergeCell ref="J29:M29"/>
    <mergeCell ref="C3:F3"/>
    <mergeCell ref="J3:M3"/>
    <mergeCell ref="C9:D9"/>
    <mergeCell ref="E9:F9"/>
    <mergeCell ref="J9:K9"/>
    <mergeCell ref="L9:M9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2" max="2" width="21.85546875" hidden="0" customWidth="1"/>
    <col min="5" max="5" width="11.28515625" hidden="0" customWidth="1"/>
    <col min="9" max="9" width="21.85546875" hidden="0" customWidth="1"/>
  </cols>
  <sheetData>
    <row r="2" ht="16.5" customHeight="1">
      <c r="B2" s="1" t="s">
        <v>157</v>
      </c>
      <c r="C2" s="37" t="s">
        <v>471</v>
      </c>
      <c r="I2" s="1" t="s">
        <v>157</v>
      </c>
      <c r="J2" s="37" t="s">
        <v>471</v>
      </c>
    </row>
    <row r="3" ht="16.5" customHeight="1">
      <c r="B3" s="19"/>
      <c r="C3" s="13" t="s">
        <v>28</v>
      </c>
      <c r="D3" s="13"/>
      <c r="E3" s="13"/>
      <c r="F3" s="13"/>
      <c r="I3" s="19"/>
      <c r="J3" s="13" t="s">
        <v>28</v>
      </c>
      <c r="K3" s="13"/>
      <c r="L3" s="13"/>
      <c r="M3" s="13"/>
    </row>
    <row r="4">
      <c r="B4" s="115"/>
      <c r="C4" s="115" t="s">
        <v>24</v>
      </c>
      <c r="D4" s="116" t="s">
        <v>25</v>
      </c>
      <c r="E4" s="116" t="s">
        <v>24</v>
      </c>
      <c r="F4" s="116" t="s">
        <v>25</v>
      </c>
      <c r="I4" s="115"/>
      <c r="J4" s="115" t="s">
        <v>24</v>
      </c>
      <c r="K4" s="116" t="s">
        <v>25</v>
      </c>
      <c r="L4" s="116" t="s">
        <v>24</v>
      </c>
      <c r="M4" s="116" t="s">
        <v>25</v>
      </c>
    </row>
    <row r="5">
      <c r="B5" s="4" t="s">
        <v>445</v>
      </c>
      <c r="C5" s="4"/>
      <c r="D5" s="4"/>
      <c r="E5" s="4"/>
      <c r="F5" s="4"/>
      <c r="I5" s="4" t="s">
        <v>445</v>
      </c>
      <c r="J5" s="4"/>
      <c r="K5" s="4"/>
      <c r="L5" s="4"/>
      <c r="M5" s="4"/>
    </row>
    <row r="6">
      <c r="B6" s="4" t="s">
        <v>135</v>
      </c>
      <c r="C6" s="95" t="n">
        <f t="array" ref="C6:F6" xml:space="preserve"> 'Table 1 - Less Strict'!$B$5:$E$5</f>
        <v>16798.006964227679</v>
      </c>
      <c r="D6" s="95" t="n">
        <v>1579.5089342047479</v>
      </c>
      <c r="E6" s="95" t="n">
        <v>16798.006964227679</v>
      </c>
      <c r="F6" s="95" t="n">
        <v>1579.5089342047479</v>
      </c>
      <c r="I6" s="4" t="s">
        <v>135</v>
      </c>
      <c r="J6" s="95" t="n">
        <f>ROUND(C6,2-(1+INT(LOG10(ABS(C6)))))</f>
        <v>17000</v>
      </c>
      <c r="K6" s="95" t="n">
        <f t="shared" ref="K6:M8" si="0">ROUND(D6,2-(1+INT(LOG10(ABS(D6)))))</f>
        <v>1600</v>
      </c>
      <c r="L6" s="95" t="n">
        <f t="shared" si="0"/>
        <v>17000</v>
      </c>
      <c r="M6" s="95" t="n">
        <f t="shared" si="0"/>
        <v>1600</v>
      </c>
    </row>
    <row r="7">
      <c r="B7" s="4" t="s">
        <v>134</v>
      </c>
      <c r="C7" s="95" t="n">
        <f t="array" ref="C7:F7" xml:space="preserve"> 'Table 1'!$B$5:$E$5</f>
        <v>47945.5702635286</v>
      </c>
      <c r="D7" s="95" t="n">
        <v>4508.30010655772</v>
      </c>
      <c r="E7" s="95" t="n">
        <v>47945.5702635286</v>
      </c>
      <c r="F7" s="95" t="n">
        <v>4508.30010655772</v>
      </c>
      <c r="I7" s="4" t="s">
        <v>134</v>
      </c>
      <c r="J7" s="95" t="n">
        <f t="shared" ref="J7:J8" si="1">ROUND(C7,2-(1+INT(LOG10(ABS(C7)))))</f>
        <v>48000</v>
      </c>
      <c r="K7" s="95" t="n">
        <f t="shared" si="0"/>
        <v>4500</v>
      </c>
      <c r="L7" s="95" t="n">
        <f t="shared" si="0"/>
        <v>48000</v>
      </c>
      <c r="M7" s="95" t="n">
        <f t="shared" si="0"/>
        <v>4500</v>
      </c>
    </row>
    <row r="8">
      <c r="B8" s="5" t="s">
        <v>133</v>
      </c>
      <c r="C8" s="95" t="n">
        <f t="array" ref="C8:F8" xml:space="preserve"> 'Table 1 - More Strict'!$B$5:$E$5</f>
        <v>48214.533514336901</v>
      </c>
      <c r="D8" s="98" t="n">
        <v>4533.5905983719695</v>
      </c>
      <c r="E8" s="98" t="n">
        <v>48214.533514336901</v>
      </c>
      <c r="F8" s="98" t="n">
        <v>4533.5905983719695</v>
      </c>
      <c r="I8" s="5" t="s">
        <v>133</v>
      </c>
      <c r="J8" s="95" t="n">
        <f t="shared" si="1"/>
        <v>48000</v>
      </c>
      <c r="K8" s="95" t="n">
        <f t="shared" si="0"/>
        <v>4500</v>
      </c>
      <c r="L8" s="95" t="n">
        <f t="shared" si="0"/>
        <v>48000</v>
      </c>
      <c r="M8" s="95" t="n">
        <f t="shared" si="0"/>
        <v>4500</v>
      </c>
    </row>
    <row r="9">
      <c r="B9" s="4"/>
      <c r="C9" s="13" t="s">
        <v>28</v>
      </c>
      <c r="D9" s="13"/>
      <c r="E9" s="13" t="s">
        <v>29</v>
      </c>
      <c r="F9" s="13"/>
      <c r="I9" s="4"/>
      <c r="J9" s="13" t="s">
        <v>28</v>
      </c>
      <c r="K9" s="13"/>
      <c r="L9" s="13" t="s">
        <v>29</v>
      </c>
      <c r="M9" s="13"/>
    </row>
    <row r="10">
      <c r="B10" s="115"/>
      <c r="C10" s="115" t="s">
        <v>24</v>
      </c>
      <c r="D10" s="116" t="s">
        <v>25</v>
      </c>
      <c r="E10" s="115" t="s">
        <v>24</v>
      </c>
      <c r="F10" s="115" t="s">
        <v>25</v>
      </c>
      <c r="I10" s="115"/>
      <c r="J10" s="115" t="s">
        <v>24</v>
      </c>
      <c r="K10" s="116" t="s">
        <v>25</v>
      </c>
      <c r="L10" s="115" t="s">
        <v>24</v>
      </c>
      <c r="M10" s="115" t="s">
        <v>25</v>
      </c>
    </row>
    <row r="11">
      <c r="B11" s="4" t="s">
        <v>30</v>
      </c>
      <c r="C11" s="4"/>
      <c r="D11" s="4"/>
      <c r="E11" s="4"/>
      <c r="F11" s="4"/>
      <c r="I11" s="4" t="s">
        <v>30</v>
      </c>
      <c r="J11" s="4"/>
      <c r="K11" s="4"/>
      <c r="L11" s="4"/>
      <c r="M11" s="4"/>
    </row>
    <row r="12">
      <c r="B12" s="4" t="s">
        <v>135</v>
      </c>
      <c r="C12" s="95" t="n">
        <f t="array" ref="C12:F12">'Table 1 - Less Strict'!$B$6:$E$6</f>
        <v>8157.0341902780974</v>
      </c>
      <c r="D12" s="95" t="n">
        <v>767.0022049398674</v>
      </c>
      <c r="E12" s="95" t="n">
        <v>6046.871927841933</v>
      </c>
      <c r="F12" s="95" t="n">
        <v>710.97911915121983</v>
      </c>
      <c r="I12" s="4" t="s">
        <v>135</v>
      </c>
      <c r="J12" s="95" t="n">
        <f>ROUND(C12,2-(1+INT(LOG10(ABS(C12)))))</f>
        <v>8200</v>
      </c>
      <c r="K12" s="95" t="n">
        <f t="shared" ref="K12:M14" si="2">ROUND(D12,2-(1+INT(LOG10(ABS(D12)))))</f>
        <v>770</v>
      </c>
      <c r="L12" s="95" t="n">
        <f t="shared" si="2"/>
        <v>6000</v>
      </c>
      <c r="M12" s="95" t="n">
        <f t="shared" si="2"/>
        <v>710</v>
      </c>
    </row>
    <row r="13">
      <c r="B13" s="4" t="s">
        <v>134</v>
      </c>
      <c r="C13" s="95" t="n">
        <f t="array" ref="C13:F13">'Table 1'!$B$6:$E$6</f>
        <v>14369.55974022326</v>
      </c>
      <c r="D13" s="95" t="n">
        <v>1351.1631492120405</v>
      </c>
      <c r="E13" s="117" t="n">
        <v>11660.53731632535</v>
      </c>
      <c r="F13" s="117" t="n">
        <v>1395.193179622805</v>
      </c>
      <c r="I13" s="4" t="s">
        <v>134</v>
      </c>
      <c r="J13" s="95" t="n">
        <f t="shared" ref="J13:J14" si="3">ROUND(C13,2-(1+INT(LOG10(ABS(C13)))))</f>
        <v>14000</v>
      </c>
      <c r="K13" s="95" t="n">
        <f t="shared" si="2"/>
        <v>1400</v>
      </c>
      <c r="L13" s="95" t="n">
        <f t="shared" si="2"/>
        <v>12000</v>
      </c>
      <c r="M13" s="95" t="n">
        <f t="shared" si="2"/>
        <v>1400</v>
      </c>
    </row>
    <row r="14">
      <c r="B14" s="8" t="s">
        <v>133</v>
      </c>
      <c r="C14" s="118" t="n">
        <f t="array" ref="C14:F14">'Table 1 - More Strict'!$B$6:$E$6</f>
        <v>14885.024927378399</v>
      </c>
      <c r="D14" s="118" t="n">
        <v>1399.6321056850798</v>
      </c>
      <c r="E14" s="118" t="n">
        <v>12032.114741362941</v>
      </c>
      <c r="F14" s="118" t="n">
        <v>1439.6527336768409</v>
      </c>
      <c r="I14" s="8" t="s">
        <v>133</v>
      </c>
      <c r="J14" s="118" t="n">
        <f t="shared" si="3"/>
        <v>15000</v>
      </c>
      <c r="K14" s="118" t="n">
        <f t="shared" si="2"/>
        <v>1400</v>
      </c>
      <c r="L14" s="118" t="n">
        <f t="shared" si="2"/>
        <v>12000</v>
      </c>
      <c r="M14" s="118" t="n">
        <f t="shared" si="2"/>
        <v>1400</v>
      </c>
    </row>
    <row r="15">
      <c r="B15" s="4" t="s">
        <v>31</v>
      </c>
      <c r="C15" s="4"/>
      <c r="D15" s="4"/>
      <c r="E15" s="4"/>
      <c r="F15" s="4"/>
      <c r="I15" s="4" t="s">
        <v>31</v>
      </c>
      <c r="J15" s="95"/>
      <c r="K15" s="95"/>
      <c r="L15" s="95"/>
      <c r="M15" s="95"/>
    </row>
    <row r="16">
      <c r="B16" s="4" t="s">
        <v>135</v>
      </c>
      <c r="C16" s="95" t="n">
        <f t="array" ref="C16:F16">'Table 1 - Less Strict'!$B$7:$E$7</f>
        <v>9733.9937545754801</v>
      </c>
      <c r="D16" s="95" t="n">
        <v>915.28299360674305</v>
      </c>
      <c r="E16" s="95" t="n">
        <v>7053.8149794066703</v>
      </c>
      <c r="F16" s="95" t="n">
        <v>843.99494488224309</v>
      </c>
      <c r="I16" s="4" t="s">
        <v>135</v>
      </c>
      <c r="J16" s="95" t="n">
        <f t="shared" ref="J16:M18" si="4">ROUND(C16,2-(1+INT(LOG10(ABS(C16)))))</f>
        <v>9700</v>
      </c>
      <c r="K16" s="95" t="n">
        <f t="shared" si="4"/>
        <v>920</v>
      </c>
      <c r="L16" s="95" t="n">
        <f t="shared" si="4"/>
        <v>7100</v>
      </c>
      <c r="M16" s="95" t="n">
        <f t="shared" si="4"/>
        <v>840</v>
      </c>
    </row>
    <row r="17">
      <c r="B17" s="4" t="s">
        <v>134</v>
      </c>
      <c r="C17" s="95" t="n">
        <f t="array" ref="C17:F17">'Table 1'!$B$7:$E$7</f>
        <v>19009.000557630989</v>
      </c>
      <c r="D17" s="95" t="n">
        <v>1787.407653480624</v>
      </c>
      <c r="E17" s="95" t="n">
        <v>14932.86597068592</v>
      </c>
      <c r="F17" s="95" t="n">
        <v>1786.7300784976251</v>
      </c>
      <c r="I17" s="4" t="s">
        <v>134</v>
      </c>
      <c r="J17" s="95" t="n">
        <f t="shared" si="4"/>
        <v>19000</v>
      </c>
      <c r="K17" s="95" t="n">
        <f t="shared" si="4"/>
        <v>1800</v>
      </c>
      <c r="L17" s="95" t="n">
        <f t="shared" si="4"/>
        <v>15000</v>
      </c>
      <c r="M17" s="95" t="n">
        <f t="shared" si="4"/>
        <v>1800</v>
      </c>
    </row>
    <row r="18">
      <c r="B18" s="8" t="s">
        <v>133</v>
      </c>
      <c r="C18" s="118" t="n">
        <f t="array" ref="C18:F18">'Table 1 - More Strict'!$B$7:$E$7</f>
        <v>19550.943595089208</v>
      </c>
      <c r="D18" s="118" t="n">
        <v>1838.3663101425791</v>
      </c>
      <c r="E18" s="118" t="n">
        <v>15323.23732202071</v>
      </c>
      <c r="F18" s="118" t="n">
        <v>1833.4383417729318</v>
      </c>
      <c r="I18" s="8" t="s">
        <v>133</v>
      </c>
      <c r="J18" s="118" t="n">
        <f t="shared" si="4"/>
        <v>20000</v>
      </c>
      <c r="K18" s="118" t="n">
        <f>ROUND(D18,2-(1+INT(LOG10(ABS(D18)))))</f>
        <v>1800</v>
      </c>
      <c r="L18" s="118" t="n">
        <f t="shared" si="4"/>
        <v>15000</v>
      </c>
      <c r="M18" s="118" t="n">
        <f t="shared" si="4"/>
        <v>1800</v>
      </c>
    </row>
    <row r="19">
      <c r="B19" s="4" t="s">
        <v>32</v>
      </c>
      <c r="C19" s="4"/>
      <c r="D19" s="4"/>
      <c r="E19" s="4"/>
      <c r="F19" s="4"/>
      <c r="I19" s="4" t="s">
        <v>32</v>
      </c>
      <c r="J19" s="95"/>
      <c r="K19" s="95"/>
      <c r="L19" s="95"/>
      <c r="M19" s="95"/>
    </row>
    <row r="20">
      <c r="B20" s="4" t="s">
        <v>135</v>
      </c>
      <c r="C20" s="95" t="n">
        <f t="array" ref="C20:F20" xml:space="preserve"> 'Table 1 - Less Strict'!$B$8:$E$8</f>
        <v>1576.9595642973829</v>
      </c>
      <c r="D20" s="117" t="n">
        <v>148.28078866687559</v>
      </c>
      <c r="E20" s="95" t="n">
        <v>1006.9430515647372</v>
      </c>
      <c r="F20" s="117" t="n">
        <v>133.0158257310232</v>
      </c>
      <c r="I20" s="4" t="s">
        <v>135</v>
      </c>
      <c r="J20" s="95" t="n">
        <f t="shared" ref="J20:M22" si="5">ROUND(C20,2-(1+INT(LOG10(ABS(C20)))))</f>
        <v>1600</v>
      </c>
      <c r="K20" s="95" t="n">
        <f t="shared" si="5"/>
        <v>150</v>
      </c>
      <c r="L20" s="95" t="n">
        <f t="shared" si="5"/>
        <v>1000</v>
      </c>
      <c r="M20" s="95" t="n">
        <f t="shared" si="5"/>
        <v>130</v>
      </c>
    </row>
    <row r="21">
      <c r="B21" s="4" t="s">
        <v>134</v>
      </c>
      <c r="C21" s="95" t="n">
        <f t="array" ref="C21:F21" xml:space="preserve"> 'Table 1'!$B$8:$E$8</f>
        <v>4639.4408174077298</v>
      </c>
      <c r="D21" s="95" t="n">
        <v>436.2445042685834</v>
      </c>
      <c r="E21" s="95" t="n">
        <v>3272.3286543605718</v>
      </c>
      <c r="F21" s="95" t="n">
        <v>391.53689887481994</v>
      </c>
      <c r="I21" s="4" t="s">
        <v>134</v>
      </c>
      <c r="J21" s="95" t="n">
        <f t="shared" si="5"/>
        <v>4600</v>
      </c>
      <c r="K21" s="95" t="n">
        <f t="shared" si="5"/>
        <v>440</v>
      </c>
      <c r="L21" s="95" t="n">
        <f t="shared" si="5"/>
        <v>3300</v>
      </c>
      <c r="M21" s="95" t="n">
        <f t="shared" si="5"/>
        <v>390</v>
      </c>
    </row>
    <row r="22">
      <c r="B22" s="8" t="s">
        <v>133</v>
      </c>
      <c r="C22" s="118" t="n">
        <f t="array" ref="C22:F22" xml:space="preserve"> 'Table 1 - More Strict'!$B$8:$E$8</f>
        <v>4665.91866771081</v>
      </c>
      <c r="D22" s="118" t="n">
        <v>438.73420445749929</v>
      </c>
      <c r="E22" s="118" t="n">
        <v>3291.12258065777</v>
      </c>
      <c r="F22" s="118" t="n">
        <v>393.78560809609075</v>
      </c>
      <c r="I22" s="8" t="s">
        <v>133</v>
      </c>
      <c r="J22" s="118" t="n">
        <f t="shared" si="5"/>
        <v>4700</v>
      </c>
      <c r="K22" s="118" t="n">
        <f t="shared" si="5"/>
        <v>440</v>
      </c>
      <c r="L22" s="118" t="n">
        <f t="shared" si="5"/>
        <v>3300</v>
      </c>
      <c r="M22" s="118" t="n">
        <f t="shared" si="5"/>
        <v>390</v>
      </c>
    </row>
    <row r="23">
      <c r="B23" s="4" t="s">
        <v>33</v>
      </c>
      <c r="C23" s="4"/>
      <c r="D23" s="4"/>
      <c r="E23" s="4"/>
      <c r="F23" s="4"/>
      <c r="I23" s="4" t="s">
        <v>33</v>
      </c>
      <c r="J23" s="95"/>
      <c r="K23" s="95"/>
      <c r="L23" s="95"/>
      <c r="M23" s="95"/>
    </row>
    <row r="24">
      <c r="B24" s="4" t="s">
        <v>135</v>
      </c>
      <c r="C24" s="95" t="n">
        <f t="array" ref="C24:F24" xml:space="preserve"> 'Table 1 - Less Strict'!$B$9:$E$9</f>
        <v>8640.9727739495829</v>
      </c>
      <c r="D24" s="95" t="n">
        <v>812.50672926488051</v>
      </c>
      <c r="E24" s="95" t="n">
        <v>10751.135036385745</v>
      </c>
      <c r="F24" s="95" t="n">
        <v>868.52981505352807</v>
      </c>
      <c r="I24" s="4" t="s">
        <v>135</v>
      </c>
      <c r="J24" s="95" t="n">
        <f>ROUND(C24,2-(1+INT(LOG10(ABS(C24)))))</f>
        <v>8600</v>
      </c>
      <c r="K24" s="95" t="n">
        <f t="shared" ref="K24:M24" si="6">ROUND(D24,2-(1+INT(LOG10(ABS(D24)))))</f>
        <v>810</v>
      </c>
      <c r="L24" s="95" t="n">
        <f t="shared" si="6"/>
        <v>11000</v>
      </c>
      <c r="M24" s="95" t="n">
        <f t="shared" si="6"/>
        <v>870</v>
      </c>
    </row>
    <row r="25">
      <c r="B25" s="4" t="s">
        <v>134</v>
      </c>
      <c r="C25" s="95" t="n">
        <f t="array" ref="C25:F25" xml:space="preserve"> 'Table 1'!$B$9:$E$9</f>
        <v>33576.01052330534</v>
      </c>
      <c r="D25" s="95" t="n">
        <v>3157.1369573456795</v>
      </c>
      <c r="E25" s="95" t="n">
        <v>36285.032947203246</v>
      </c>
      <c r="F25" s="95" t="n">
        <v>3113.106926934915</v>
      </c>
      <c r="I25" s="4" t="s">
        <v>134</v>
      </c>
      <c r="J25" s="95" t="n">
        <f t="shared" ref="J25:M26" si="7">ROUND(C25,2-(1+INT(LOG10(ABS(C25)))))</f>
        <v>34000</v>
      </c>
      <c r="K25" s="95" t="n">
        <f t="shared" si="7"/>
        <v>3200</v>
      </c>
      <c r="L25" s="95" t="n">
        <f t="shared" si="7"/>
        <v>36000</v>
      </c>
      <c r="M25" s="95" t="n">
        <f t="shared" si="7"/>
        <v>3100</v>
      </c>
    </row>
    <row r="26">
      <c r="B26" s="5" t="s">
        <v>133</v>
      </c>
      <c r="C26" s="98" t="n">
        <f t="array" ref="C26:F26" xml:space="preserve"> 'Table 1 - More Strict'!$B$9:$E$9</f>
        <v>33329.508586958502</v>
      </c>
      <c r="D26" s="98" t="n">
        <v>3133.9584926868897</v>
      </c>
      <c r="E26" s="98" t="n">
        <v>36182.418772973964</v>
      </c>
      <c r="F26" s="98" t="n">
        <v>3093.9378646951286</v>
      </c>
      <c r="I26" s="5" t="s">
        <v>133</v>
      </c>
      <c r="J26" s="98" t="n">
        <f t="shared" si="7"/>
        <v>33000</v>
      </c>
      <c r="K26" s="98" t="n">
        <f t="shared" si="7"/>
        <v>3100</v>
      </c>
      <c r="L26" s="98" t="n">
        <f t="shared" si="7"/>
        <v>36000</v>
      </c>
      <c r="M26" s="98" t="n">
        <f t="shared" si="7"/>
        <v>3100</v>
      </c>
    </row>
    <row r="27">
      <c r="B27" s="8" t="s">
        <v>153</v>
      </c>
      <c r="C27" s="8"/>
      <c r="D27" s="8"/>
      <c r="E27" s="8"/>
      <c r="F27" s="8"/>
      <c r="I27" s="8" t="s">
        <v>153</v>
      </c>
      <c r="J27" s="8"/>
      <c r="K27" s="8"/>
      <c r="L27" s="8"/>
      <c r="M27" s="8"/>
    </row>
    <row r="28">
      <c r="B28" s="100" t="s">
        <v>154</v>
      </c>
      <c r="C28" s="100"/>
      <c r="D28" s="100"/>
      <c r="E28" s="100"/>
      <c r="F28" s="100"/>
      <c r="I28" s="100" t="s">
        <v>154</v>
      </c>
      <c r="J28" s="100"/>
      <c r="K28" s="100"/>
      <c r="L28" s="100"/>
      <c r="M28" s="100"/>
    </row>
    <row r="29">
      <c r="B29" s="4" t="s">
        <v>135</v>
      </c>
      <c r="C29" s="3" t="n">
        <f xml:space="preserve"> 'Table 1 - Less Strict'!$B$12 *1000000</f>
        <v>-12844321.783484478</v>
      </c>
      <c r="D29" s="3"/>
      <c r="E29" s="3"/>
      <c r="F29" s="3"/>
      <c r="I29" s="4" t="s">
        <v>135</v>
      </c>
      <c r="J29" s="3" t="n">
        <f>-ROUND(C29,2-(1+INT(LOG10(ABS(C29)))))</f>
        <v>13000000</v>
      </c>
      <c r="K29" s="3"/>
      <c r="L29" s="3"/>
      <c r="M29" s="3"/>
    </row>
    <row r="30">
      <c r="B30" s="4" t="s">
        <v>134</v>
      </c>
      <c r="C30" s="3" t="n">
        <f xml:space="preserve"> 'Table 1'!$B$12 *1000000</f>
        <v>-35668018.285049513</v>
      </c>
      <c r="D30" s="3"/>
      <c r="E30" s="3"/>
      <c r="F30" s="3"/>
      <c r="I30" s="4" t="s">
        <v>134</v>
      </c>
      <c r="J30" s="3" t="n">
        <f t="shared" ref="J30:J31" si="8">-ROUND(C30,2-(1+INT(LOG10(ABS(C30)))))</f>
        <v>36000000</v>
      </c>
      <c r="K30" s="3"/>
      <c r="L30" s="3"/>
      <c r="M30" s="3"/>
    </row>
    <row r="31">
      <c r="B31" s="8" t="s">
        <v>133</v>
      </c>
      <c r="C31" s="16" t="n">
        <f xml:space="preserve"> 'Table 1 - More Strict'!$B$12 *1000000</f>
        <v>-37465937.802757122</v>
      </c>
      <c r="D31" s="16"/>
      <c r="E31" s="16"/>
      <c r="F31" s="16"/>
      <c r="I31" s="8" t="s">
        <v>133</v>
      </c>
      <c r="J31" s="3" t="n">
        <f t="shared" si="8"/>
        <v>37000000</v>
      </c>
      <c r="K31" s="3"/>
      <c r="L31" s="3"/>
      <c r="M31" s="3"/>
    </row>
    <row r="32">
      <c r="B32" s="100" t="s">
        <v>175</v>
      </c>
      <c r="C32" s="100"/>
      <c r="D32" s="100"/>
      <c r="E32" s="100"/>
      <c r="F32" s="100"/>
      <c r="I32" s="100" t="s">
        <v>175</v>
      </c>
      <c r="J32" s="100"/>
      <c r="K32" s="100"/>
      <c r="L32" s="100"/>
      <c r="M32" s="100"/>
    </row>
    <row r="33">
      <c r="B33" s="4" t="s">
        <v>135</v>
      </c>
      <c r="C33" s="3" t="n">
        <f xml:space="preserve"> 'Table 1 - Less Strict'!$B$13 * 1000000</f>
        <v>-3585921.9887226745</v>
      </c>
      <c r="D33" s="3"/>
      <c r="E33" s="3"/>
      <c r="F33" s="3"/>
      <c r="I33" s="4" t="s">
        <v>135</v>
      </c>
      <c r="J33" s="3" t="n">
        <f>-ROUND(C33,2-(1+INT(LOG10(ABS(C33)))))</f>
        <v>3600000</v>
      </c>
      <c r="K33" s="3"/>
      <c r="L33" s="3"/>
      <c r="M33" s="3"/>
    </row>
    <row r="34">
      <c r="B34" s="4" t="s">
        <v>134</v>
      </c>
      <c r="C34" s="3" t="n">
        <f xml:space="preserve"> 'Table 1'!$B$13 * 1000000</f>
        <v>-9709401.0069108345</v>
      </c>
      <c r="D34" s="3"/>
      <c r="E34" s="3"/>
      <c r="F34" s="3"/>
      <c r="I34" s="4" t="s">
        <v>134</v>
      </c>
      <c r="J34" s="3" t="n">
        <f t="shared" ref="J34:J35" si="9">-ROUND(C34,2-(1+INT(LOG10(ABS(C34)))))</f>
        <v>9700000</v>
      </c>
      <c r="K34" s="3"/>
      <c r="L34" s="3"/>
      <c r="M34" s="3"/>
    </row>
    <row r="35">
      <c r="B35" s="8" t="s">
        <v>133</v>
      </c>
      <c r="C35" s="3" t="n">
        <f xml:space="preserve"> 'Table 1 - More Strict'!$B$13 * 1000000</f>
        <v>-10305442.323857563</v>
      </c>
      <c r="D35" s="3"/>
      <c r="E35" s="3"/>
      <c r="F35" s="3"/>
      <c r="I35" s="8" t="s">
        <v>133</v>
      </c>
      <c r="J35" s="3" t="n">
        <f t="shared" si="9"/>
        <v>10000000</v>
      </c>
      <c r="K35" s="3"/>
      <c r="L35" s="3"/>
      <c r="M35" s="3"/>
    </row>
    <row r="36">
      <c r="B36" s="100" t="s">
        <v>155</v>
      </c>
      <c r="C36" s="100"/>
      <c r="D36" s="100"/>
      <c r="E36" s="100"/>
      <c r="F36" s="100"/>
      <c r="I36" s="100" t="s">
        <v>155</v>
      </c>
      <c r="J36" s="100"/>
      <c r="K36" s="100"/>
      <c r="L36" s="100"/>
      <c r="M36" s="100"/>
    </row>
    <row r="37">
      <c r="B37" s="4" t="s">
        <v>135</v>
      </c>
      <c r="C37" s="3" t="n">
        <f xml:space="preserve"> 'Table 1 - Less Strict'!$B$14 * 1000000</f>
        <v>-161783.35127457909</v>
      </c>
      <c r="D37" s="3"/>
      <c r="E37" s="3"/>
      <c r="F37" s="3"/>
      <c r="I37" s="4" t="s">
        <v>135</v>
      </c>
      <c r="J37" s="3" t="n">
        <f>-ROUND(C37,2-(1+INT(LOG10(ABS(C37)))))</f>
        <v>160000</v>
      </c>
      <c r="K37" s="3"/>
      <c r="L37" s="3"/>
      <c r="M37" s="3"/>
    </row>
    <row r="38">
      <c r="B38" s="4" t="s">
        <v>134</v>
      </c>
      <c r="C38" s="3" t="n">
        <f xml:space="preserve"> 'Table 1'!$B$14 * 1000000</f>
        <v>-392281.43697567662</v>
      </c>
      <c r="D38" s="3"/>
      <c r="E38" s="3"/>
      <c r="F38" s="3"/>
      <c r="I38" s="4" t="s">
        <v>134</v>
      </c>
      <c r="J38" s="3" t="n">
        <f t="shared" ref="J38:J39" si="10">-ROUND(C38,2-(1+INT(LOG10(ABS(C38)))))</f>
        <v>390000</v>
      </c>
      <c r="K38" s="3"/>
      <c r="L38" s="3"/>
      <c r="M38" s="3"/>
    </row>
    <row r="39">
      <c r="B39" s="8" t="s">
        <v>133</v>
      </c>
      <c r="C39" s="16" t="n">
        <f xml:space="preserve"> 'Table 1 - More Strict'!$B$14 * 1000000</f>
        <v>-414797.84848092042</v>
      </c>
      <c r="D39" s="16"/>
      <c r="E39" s="16"/>
      <c r="F39" s="16"/>
      <c r="I39" s="8" t="s">
        <v>133</v>
      </c>
      <c r="J39" s="16" t="n">
        <f t="shared" si="10"/>
        <v>410000</v>
      </c>
      <c r="K39" s="16"/>
      <c r="L39" s="16"/>
      <c r="M39" s="16"/>
    </row>
  </sheetData>
  <mergeCells count="30">
    <mergeCell ref="C38:F38"/>
    <mergeCell ref="J38:M38"/>
    <mergeCell ref="C39:F39"/>
    <mergeCell ref="J39:M39"/>
    <mergeCell ref="C35:F35"/>
    <mergeCell ref="J35:M35"/>
    <mergeCell ref="B36:F36"/>
    <mergeCell ref="I36:M36"/>
    <mergeCell ref="C37:F37"/>
    <mergeCell ref="J37:M37"/>
    <mergeCell ref="C33:F33"/>
    <mergeCell ref="J33:M33"/>
    <mergeCell ref="C34:F34"/>
    <mergeCell ref="J34:M34"/>
    <mergeCell ref="C30:F30"/>
    <mergeCell ref="J30:M30"/>
    <mergeCell ref="C31:F31"/>
    <mergeCell ref="J31:M31"/>
    <mergeCell ref="B32:F32"/>
    <mergeCell ref="I32:M32"/>
    <mergeCell ref="B28:F28"/>
    <mergeCell ref="I28:M28"/>
    <mergeCell ref="C29:F29"/>
    <mergeCell ref="J29:M29"/>
    <mergeCell ref="C3:F3"/>
    <mergeCell ref="J3:M3"/>
    <mergeCell ref="C9:D9"/>
    <mergeCell ref="E9:F9"/>
    <mergeCell ref="J9:K9"/>
    <mergeCell ref="L9:M9"/>
  </mergeCell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4" max="4" width="25.7109375" hidden="0" customWidth="1"/>
    <col min="6" max="6" width="18.85546875" hidden="0" customWidth="1"/>
    <col min="7" max="7" width="14.5703125" hidden="0" customWidth="1"/>
    <col min="8" max="8" width="14.28515625" hidden="0" customWidth="1"/>
    <col min="9" max="9" width="12.85546875" hidden="0" customWidth="1"/>
    <col min="10" max="10" width="19.7109375" hidden="0" customWidth="1"/>
    <col min="11" max="11" width="17.28515625" hidden="0" customWidth="1"/>
    <col min="15" max="15" width="12" hidden="0" customWidth="1"/>
    <col min="24" max="24" width="16.140625" hidden="0" customWidth="1"/>
    <col min="25" max="25" width="16.140625" hidden="0" customWidth="1"/>
    <col min="30" max="30" width="17.28515625" hidden="0" customWidth="1"/>
    <col min="33" max="33" width="13.28515625" hidden="0" customWidth="1"/>
  </cols>
  <sheetData>
    <row r="1">
      <c r="AD1" t="s">
        <v>226</v>
      </c>
      <c r="AE1" t="n">
        <v>0.90718500000000002</v>
      </c>
      <c r="AG1" t="s">
        <v>227</v>
      </c>
      <c r="AH1" t="n">
        <f>'BEA GDP Deflator'!D14</f>
        <v>1.0120576344239229</v>
      </c>
    </row>
    <row r="2">
      <c r="B2" t="str">
        <f>tbl_detail_2022!B2</f>
        <v>year</v>
      </c>
      <c r="C2" t="str">
        <f>tbl_detail_2022!C2</f>
        <v>source</v>
      </c>
      <c r="D2" t="str">
        <f>tbl_detail_2022!D2</f>
        <v>detail_2</v>
      </c>
      <c r="E2" t="str">
        <f>tbl_detail_2022!E2</f>
        <v>detail_3</v>
      </c>
      <c r="F2" t="str">
        <f>tbl_detail_2022!F2</f>
        <v>fac_affected</v>
      </c>
      <c r="G2" t="str">
        <f>tbl_detail_2022!G2</f>
        <v>Methane</v>
      </c>
      <c r="H2" t="str">
        <f>tbl_detail_2022!H2</f>
        <v>VOC</v>
      </c>
      <c r="I2" t="str">
        <f>tbl_detail_2022!I2</f>
        <v>HAP</v>
      </c>
      <c r="J2" t="str">
        <f>tbl_detail_2022!J2</f>
        <v>CH4_CO2e</v>
      </c>
      <c r="K2" t="str">
        <f>tbl_detail_2022!K2</f>
        <v>ann_7</v>
      </c>
      <c r="L2" t="str">
        <f>tbl_detail_2022!L2</f>
        <v>gas_revenue</v>
      </c>
      <c r="M2" t="str">
        <f>tbl_detail_2022!M2</f>
        <v>ann_7_wgas</v>
      </c>
      <c r="N2" t="str">
        <f>tbl_detail_2022!N2</f>
        <v>capital_cost</v>
      </c>
      <c r="O2" t="str">
        <f>tbl_detail_2022!O2</f>
        <v>annual_cost</v>
      </c>
      <c r="P2" t="s">
        <v>64</v>
      </c>
      <c r="Q2" t="s">
        <v>230</v>
      </c>
      <c r="R2" t="s">
        <v>113</v>
      </c>
      <c r="S2" t="s">
        <v>114</v>
      </c>
      <c r="T2" t="s">
        <v>115</v>
      </c>
      <c r="U2" t="s">
        <v>116</v>
      </c>
      <c r="V2" t="s">
        <v>117</v>
      </c>
      <c r="W2" t="s">
        <v>225</v>
      </c>
      <c r="X2" t="s">
        <v>223</v>
      </c>
      <c r="Y2" t="s">
        <v>229</v>
      </c>
      <c r="Z2" t="s">
        <v>224</v>
      </c>
      <c r="AD2" t="str">
        <f>'SC-GHG'!B2</f>
        <v>year</v>
      </c>
      <c r="AE2" t="str">
        <f>'SC-GHG'!H2</f>
        <v>3.0%_CH4</v>
      </c>
    </row>
    <row r="3">
      <c r="B3" s="52" t="n">
        <v>2023</v>
      </c>
      <c r="C3" t="str">
        <f>tbl_detail_2022!C3</f>
        <v>fugitives</v>
      </c>
      <c r="D3" t="str">
        <f>tbl_detail_2022!D3</f>
        <v>G&amp;B Stations</v>
      </c>
      <c r="E3" t="n">
        <f>tbl_detail_2022!E3</f>
        <v>0</v>
      </c>
      <c r="F3" t="n">
        <f>tbl_detail_2022!F3</f>
        <v>0</v>
      </c>
      <c r="G3" t="n">
        <f>tbl_detail_2022!G3</f>
        <v>0</v>
      </c>
      <c r="H3" t="n">
        <f>tbl_detail_2022!H3</f>
        <v>0</v>
      </c>
      <c r="I3" t="n">
        <f>tbl_detail_2022!I3</f>
        <v>0</v>
      </c>
      <c r="J3" t="n">
        <f>tbl_detail_2022!J3</f>
        <v>0</v>
      </c>
      <c r="K3" t="n">
        <f>tbl_detail_2022!K3</f>
        <v>0</v>
      </c>
      <c r="L3" t="n">
        <f>tbl_detail_2022!L3</f>
        <v>0</v>
      </c>
      <c r="M3" t="n">
        <f>tbl_detail_2022!M3</f>
        <v>0</v>
      </c>
      <c r="N3" t="n">
        <f>tbl_detail_2022!N3</f>
        <v>0</v>
      </c>
      <c r="O3" t="n">
        <f>tbl_detail_2022!O3</f>
        <v>0</v>
      </c>
      <c r="P3" t="n">
        <f>B3-2021</f>
        <v>2</v>
      </c>
      <c r="Q3" t="n">
        <f>1/(1+0.07)^P3</f>
        <v>0.87343872827321156</v>
      </c>
      <c r="R3" t="n">
        <f>K3*$Q3</f>
        <v>0</v>
      </c>
      <c r="S3" t="n">
        <f t="shared" ref="S3:V18" si="0">L3*$Q3</f>
        <v>0</v>
      </c>
      <c r="T3" t="n">
        <f t="shared" si="0"/>
        <v>0</v>
      </c>
      <c r="U3" t="n">
        <f t="shared" si="0"/>
        <v>0</v>
      </c>
      <c r="V3" t="n">
        <f t="shared" si="0"/>
        <v>0</v>
      </c>
      <c r="W3" t="n">
        <f>VLOOKUP(B3, $AD$3:$AE$15, 2)</f>
        <v>1457.410101441091</v>
      </c>
      <c r="X3" t="n">
        <f xml:space="preserve"> -W3*G3</f>
        <v>0</v>
      </c>
      <c r="Y3" t="n">
        <f>1/(1+0.03)^P3</f>
        <v>0.94259590913375435</v>
      </c>
      <c r="Z3" t="n">
        <f>X3*Y3</f>
        <v>0</v>
      </c>
      <c r="AD3" s="106" t="n">
        <v>2023</v>
      </c>
      <c r="AE3" t="n">
        <f>('SC-GHG'!H6*$AE$1)/$AH$1</f>
        <v>1457.410101441091</v>
      </c>
    </row>
    <row r="4">
      <c r="B4" s="52" t="n">
        <v>2023</v>
      </c>
      <c r="C4" t="str">
        <f>tbl_detail_2022!C4</f>
        <v>fugitives</v>
      </c>
      <c r="D4" t="str">
        <f>tbl_detail_2022!D4</f>
        <v>Processing Plants</v>
      </c>
      <c r="E4" t="str">
        <f>tbl_detail_2022!E4</f>
        <v>Large Plants</v>
      </c>
      <c r="F4" t="n">
        <f>tbl_detail_2022!F4</f>
        <v>4.38254485793769</v>
      </c>
      <c r="G4" t="n">
        <f>tbl_detail_2022!G4</f>
        <v>-69.206355741574995</v>
      </c>
      <c r="H4" t="n">
        <f>tbl_detail_2022!H4</f>
        <v>-2.9181249564554799</v>
      </c>
      <c r="I4" t="n">
        <f>tbl_detail_2022!I4</f>
        <v>-9.5674824809307502E-2</v>
      </c>
      <c r="J4" t="n">
        <f>tbl_detail_2022!J4</f>
        <v>-1569.5737459942</v>
      </c>
      <c r="K4" t="n">
        <f>tbl_detail_2022!K4</f>
        <v>-126511.54769820999</v>
      </c>
      <c r="L4" t="n">
        <f>tbl_detail_2022!L4</f>
        <v>11819.9686616197</v>
      </c>
      <c r="M4" t="n">
        <f>tbl_detail_2022!M4</f>
        <v>-138331.51635982899</v>
      </c>
      <c r="N4" t="n">
        <f>tbl_detail_2022!N4</f>
        <v>-56890.910437103601</v>
      </c>
      <c r="O4" t="n">
        <f>tbl_detail_2022!O4</f>
        <v>-113544.105031007</v>
      </c>
      <c r="P4" t="n">
        <f t="shared" ref="P4:P67" si="1">B4-2021</f>
        <v>2</v>
      </c>
      <c r="Q4" t="n">
        <f t="shared" ref="Q4:Q67" si="2" xml:space="preserve"> 1/(1+0.07)^P4</f>
        <v>0.87343872827321156</v>
      </c>
      <c r="R4" t="n">
        <f t="shared" ref="R4:R67" si="3">K4*$Q4</f>
        <v>-110500.08533340027</v>
      </c>
      <c r="S4" t="n">
        <f t="shared" si="0"/>
        <v>10324.018396034326</v>
      </c>
      <c r="T4" t="n">
        <f t="shared" si="0"/>
        <v>-120824.10372943399</v>
      </c>
      <c r="U4" t="n">
        <f t="shared" si="0"/>
        <v>-49690.72446248895</v>
      </c>
      <c r="V4" t="n">
        <f t="shared" si="0"/>
        <v>-99173.818701202719</v>
      </c>
      <c r="W4" t="n">
        <f t="shared" ref="W4:W67" si="4">VLOOKUP(B4, $AD$3:$AE$15, 2)</f>
        <v>1457.410101441091</v>
      </c>
      <c r="X4" t="n">
        <f t="shared" ref="X4:X67" si="5" xml:space="preserve"> -W4*G4</f>
        <v>100862.04194169704</v>
      </c>
      <c r="Y4" t="n">
        <f t="shared" ref="Y4:Y67" si="6">1/(1+0.03)^P4</f>
        <v>0.94259590913375435</v>
      </c>
      <c r="Z4" t="n">
        <f t="shared" ref="Z4:Z67" si="7">X4*Y4</f>
        <v>95072.148121120787</v>
      </c>
      <c r="AD4" s="106" t="n">
        <v>2024</v>
      </c>
      <c r="AE4" t="n">
        <f>('SC-GHG'!H7*$AE$1)/$AH$1</f>
        <v>1499.4833400558439</v>
      </c>
    </row>
    <row r="5">
      <c r="B5" s="52" t="n">
        <v>2023</v>
      </c>
      <c r="C5" t="str">
        <f>tbl_detail_2022!C5</f>
        <v>fugitives</v>
      </c>
      <c r="D5" t="str">
        <f>tbl_detail_2022!D5</f>
        <v>Processing Plants</v>
      </c>
      <c r="E5" t="str">
        <f>tbl_detail_2022!E5</f>
        <v>Small Plants</v>
      </c>
      <c r="F5" t="n">
        <f>tbl_detail_2022!F5</f>
        <v>18.1895003395821</v>
      </c>
      <c r="G5" t="n">
        <f>tbl_detail_2022!G5</f>
        <v>-137.810881415854</v>
      </c>
      <c r="H5" t="n">
        <f>tbl_detail_2022!H5</f>
        <v>-5.9634661609943196</v>
      </c>
      <c r="I5" t="n">
        <f>tbl_detail_2022!I5</f>
        <v>-0.196406756080097</v>
      </c>
      <c r="J5" t="n">
        <f>tbl_detail_2022!J5</f>
        <v>-3125.4982156603</v>
      </c>
      <c r="K5" t="n">
        <f>tbl_detail_2022!K5</f>
        <v>-243586.40456151901</v>
      </c>
      <c r="L5" t="n">
        <f>tbl_detail_2022!L5</f>
        <v>23537.148894939099</v>
      </c>
      <c r="M5" t="n">
        <f>tbl_detail_2022!M5</f>
        <v>-267123.55345645797</v>
      </c>
      <c r="N5" t="n">
        <f>tbl_detail_2022!N5</f>
        <v>-115275.95840210099</v>
      </c>
      <c r="O5" t="n">
        <f>tbl_detail_2022!O5</f>
        <v>-217310.952648356</v>
      </c>
      <c r="P5" t="n">
        <f t="shared" si="1"/>
        <v>2</v>
      </c>
      <c r="Q5" t="n">
        <f t="shared" si="2"/>
        <v>0.87343872827321156</v>
      </c>
      <c r="R5" t="n">
        <f t="shared" si="3"/>
        <v>-212757.79942485719</v>
      </c>
      <c r="S5" t="n">
        <f t="shared" si="0"/>
        <v>20558.257397972833</v>
      </c>
      <c r="T5" t="n">
        <f t="shared" si="0"/>
        <v>-233316.05682282991</v>
      </c>
      <c r="U5" t="n">
        <f t="shared" si="0"/>
        <v>-100686.48650720673</v>
      </c>
      <c r="V5" t="n">
        <f t="shared" si="0"/>
        <v>-189807.80212102016</v>
      </c>
      <c r="W5" t="n">
        <f t="shared" si="4"/>
        <v>1457.410101441091</v>
      </c>
      <c r="X5" t="n">
        <f t="shared" si="5"/>
        <v>200846.97066396594</v>
      </c>
      <c r="Y5" t="n">
        <f t="shared" si="6"/>
        <v>0.94259590913375435</v>
      </c>
      <c r="Z5" t="n">
        <f t="shared" si="7"/>
        <v>189317.53290976147</v>
      </c>
      <c r="AD5" s="106" t="n">
        <v>2025</v>
      </c>
      <c r="AE5" t="n">
        <f>('SC-GHG'!H8*$AE$1)/$AH$1</f>
        <v>1541.5565786705965</v>
      </c>
    </row>
    <row r="6">
      <c r="B6" s="52" t="n">
        <v>2023</v>
      </c>
      <c r="C6" t="str">
        <f>tbl_detail_2022!C6</f>
        <v>fugitives</v>
      </c>
      <c r="D6" t="str">
        <f>tbl_detail_2022!D6</f>
        <v>T&amp;S Compressor Stations</v>
      </c>
      <c r="E6" t="str">
        <f>tbl_detail_2022!E6</f>
        <v>Compressor Stations (Transmission)</v>
      </c>
      <c r="F6" t="n">
        <f>tbl_detail_2022!F6</f>
        <v>0</v>
      </c>
      <c r="G6" t="n">
        <f>tbl_detail_2022!G6</f>
        <v>0</v>
      </c>
      <c r="H6" t="n">
        <f>tbl_detail_2022!H6</f>
        <v>0</v>
      </c>
      <c r="I6" t="n">
        <f>tbl_detail_2022!I6</f>
        <v>0</v>
      </c>
      <c r="J6" t="n">
        <f>tbl_detail_2022!J6</f>
        <v>0</v>
      </c>
      <c r="K6" t="n">
        <f>tbl_detail_2022!K6</f>
        <v>0</v>
      </c>
      <c r="L6" t="n">
        <f>tbl_detail_2022!L6</f>
        <v>0</v>
      </c>
      <c r="M6" t="n">
        <f>tbl_detail_2022!M6</f>
        <v>0</v>
      </c>
      <c r="N6" t="n">
        <f>tbl_detail_2022!N6</f>
        <v>0</v>
      </c>
      <c r="O6" t="n">
        <f>tbl_detail_2022!O6</f>
        <v>0</v>
      </c>
      <c r="P6" t="n">
        <f t="shared" si="1"/>
        <v>2</v>
      </c>
      <c r="Q6" t="n">
        <f t="shared" si="2"/>
        <v>0.87343872827321156</v>
      </c>
      <c r="R6" t="n">
        <f t="shared" si="3"/>
        <v>0</v>
      </c>
      <c r="S6" t="n">
        <f t="shared" si="0"/>
        <v>0</v>
      </c>
      <c r="T6" t="n">
        <f t="shared" si="0"/>
        <v>0</v>
      </c>
      <c r="U6" t="n">
        <f t="shared" si="0"/>
        <v>0</v>
      </c>
      <c r="V6" t="n">
        <f t="shared" si="0"/>
        <v>0</v>
      </c>
      <c r="W6" t="n">
        <f t="shared" si="4"/>
        <v>1457.410101441091</v>
      </c>
      <c r="X6" t="n">
        <f t="shared" si="5"/>
        <v>0</v>
      </c>
      <c r="Y6" t="n">
        <f t="shared" si="6"/>
        <v>0.94259590913375435</v>
      </c>
      <c r="Z6" t="n">
        <f t="shared" si="7"/>
        <v>0</v>
      </c>
      <c r="AD6" s="106" t="n">
        <v>2026</v>
      </c>
      <c r="AE6" t="n">
        <f>('SC-GHG'!H9*$AE$1)/$AH$1</f>
        <v>1583.6298172853496</v>
      </c>
    </row>
    <row r="7">
      <c r="B7" s="52" t="n">
        <v>2023</v>
      </c>
      <c r="C7" t="str">
        <f>tbl_detail_2022!C7</f>
        <v>fugitives</v>
      </c>
      <c r="D7" t="str">
        <f>tbl_detail_2022!D7</f>
        <v>T&amp;S Compressor Stations</v>
      </c>
      <c r="E7" t="str">
        <f>tbl_detail_2022!E7</f>
        <v>Compressor Stations (Storage)</v>
      </c>
      <c r="F7" t="n">
        <f>tbl_detail_2022!F7</f>
        <v>0</v>
      </c>
      <c r="G7" t="n">
        <f>tbl_detail_2022!G7</f>
        <v>0</v>
      </c>
      <c r="H7" t="n">
        <f>tbl_detail_2022!H7</f>
        <v>0</v>
      </c>
      <c r="I7" t="n">
        <f>tbl_detail_2022!I7</f>
        <v>0</v>
      </c>
      <c r="J7" t="n">
        <f>tbl_detail_2022!J7</f>
        <v>0</v>
      </c>
      <c r="K7" t="n">
        <f>tbl_detail_2022!K7</f>
        <v>0</v>
      </c>
      <c r="L7" t="n">
        <f>tbl_detail_2022!L7</f>
        <v>0</v>
      </c>
      <c r="M7" t="n">
        <f>tbl_detail_2022!M7</f>
        <v>0</v>
      </c>
      <c r="N7" t="n">
        <f>tbl_detail_2022!N7</f>
        <v>0</v>
      </c>
      <c r="O7" t="n">
        <f>tbl_detail_2022!O7</f>
        <v>0</v>
      </c>
      <c r="P7" t="n">
        <f t="shared" si="1"/>
        <v>2</v>
      </c>
      <c r="Q7" t="n">
        <f t="shared" si="2"/>
        <v>0.87343872827321156</v>
      </c>
      <c r="R7" t="n">
        <f t="shared" si="3"/>
        <v>0</v>
      </c>
      <c r="S7" t="n">
        <f t="shared" si="0"/>
        <v>0</v>
      </c>
      <c r="T7" t="n">
        <f t="shared" si="0"/>
        <v>0</v>
      </c>
      <c r="U7" t="n">
        <f t="shared" si="0"/>
        <v>0</v>
      </c>
      <c r="V7" t="n">
        <f t="shared" si="0"/>
        <v>0</v>
      </c>
      <c r="W7" t="n">
        <f t="shared" si="4"/>
        <v>1457.410101441091</v>
      </c>
      <c r="X7" t="n">
        <f t="shared" si="5"/>
        <v>0</v>
      </c>
      <c r="Y7" t="n">
        <f t="shared" si="6"/>
        <v>0.94259590913375435</v>
      </c>
      <c r="Z7" t="n">
        <f t="shared" si="7"/>
        <v>0</v>
      </c>
      <c r="AD7" s="106" t="n">
        <v>2027</v>
      </c>
      <c r="AE7" t="n">
        <f>('SC-GHG'!H10*$AE$1)/$AH$1</f>
        <v>1625.7039522769182</v>
      </c>
    </row>
    <row r="8">
      <c r="B8" s="52" t="n">
        <v>2023</v>
      </c>
      <c r="C8" t="str">
        <f>tbl_detail_2022!C8</f>
        <v>fugitives</v>
      </c>
      <c r="D8" t="str">
        <f>tbl_detail_2022!D8</f>
        <v>Wellpad Fugitives</v>
      </c>
      <c r="E8" t="str">
        <f>tbl_detail_2022!E8</f>
        <v>1: No equipment, no tanks</v>
      </c>
      <c r="F8" t="n">
        <f>tbl_detail_2022!F8</f>
        <v>3852.7208379331701</v>
      </c>
      <c r="G8" t="n">
        <f>tbl_detail_2022!G8</f>
        <v>-515.93415133316398</v>
      </c>
      <c r="H8" t="n">
        <f>tbl_detail_2022!H8</f>
        <v>-143.41664248439301</v>
      </c>
      <c r="I8" t="n">
        <f>tbl_detail_2022!I8</f>
        <v>-5.4025049223870996</v>
      </c>
      <c r="J8" t="n">
        <f>tbl_detail_2022!J8</f>
        <v>-11701.1897233574</v>
      </c>
      <c r="K8" t="n">
        <f>tbl_detail_2022!K8</f>
        <v>2943408.60174606</v>
      </c>
      <c r="L8" t="n">
        <f>tbl_detail_2022!L8</f>
        <v>92476.0652005351</v>
      </c>
      <c r="M8" t="n">
        <f>tbl_detail_2022!M8</f>
        <v>2850932.53654553</v>
      </c>
      <c r="N8" t="n">
        <f>tbl_detail_2022!N8</f>
        <v>534256.54476714204</v>
      </c>
      <c r="O8" t="n">
        <f>tbl_detail_2022!O8</f>
        <v>2859791.0801122398</v>
      </c>
      <c r="P8" t="n">
        <f t="shared" si="1"/>
        <v>2</v>
      </c>
      <c r="Q8" t="n">
        <f t="shared" si="2"/>
        <v>0.87343872827321156</v>
      </c>
      <c r="R8" t="n">
        <f t="shared" si="3"/>
        <v>2570887.0658975104</v>
      </c>
      <c r="S8" t="n">
        <f t="shared" si="0"/>
        <v>80772.176784465977</v>
      </c>
      <c r="T8" t="n">
        <f t="shared" si="0"/>
        <v>2490114.889113049</v>
      </c>
      <c r="U8" t="n">
        <f t="shared" si="0"/>
        <v>466640.35703305266</v>
      </c>
      <c r="V8" t="n">
        <f t="shared" si="0"/>
        <v>2497852.2841403089</v>
      </c>
      <c r="W8" t="n">
        <f t="shared" si="4"/>
        <v>1457.410101441091</v>
      </c>
      <c r="X8" t="n">
        <f t="shared" si="5"/>
        <v>751927.64383138972</v>
      </c>
      <c r="Y8" t="n">
        <f t="shared" si="6"/>
        <v>0.94259590913375435</v>
      </c>
      <c r="Z8" t="n">
        <f t="shared" si="7"/>
        <v>708763.92104005069</v>
      </c>
      <c r="AD8" s="106" t="n">
        <v>2028</v>
      </c>
      <c r="AE8" t="n">
        <f>('SC-GHG'!H11*$AE$1)/$AH$1</f>
        <v>1667.7771908916714</v>
      </c>
    </row>
    <row r="9">
      <c r="B9" s="52" t="n">
        <v>2023</v>
      </c>
      <c r="C9" t="str">
        <f>tbl_detail_2022!C9</f>
        <v>fugitives</v>
      </c>
      <c r="D9" t="str">
        <f>tbl_detail_2022!D9</f>
        <v>Wellpad Fugitives</v>
      </c>
      <c r="E9" t="str">
        <f>tbl_detail_2022!E9</f>
        <v>2: Tanks, no equipment</v>
      </c>
      <c r="F9" t="n">
        <f>tbl_detail_2022!F9</f>
        <v>730.482008505713</v>
      </c>
      <c r="G9" t="n">
        <f>tbl_detail_2022!G9</f>
        <v>-274.909333375399</v>
      </c>
      <c r="H9" t="n">
        <f>tbl_detail_2022!H9</f>
        <v>-76.417840296954594</v>
      </c>
      <c r="I9" t="n">
        <f>tbl_detail_2022!I9</f>
        <v>-2.8786600439862799</v>
      </c>
      <c r="J9" t="n">
        <f>tbl_detail_2022!J9</f>
        <v>-6234.8388030433698</v>
      </c>
      <c r="K9" t="n">
        <f>tbl_detail_2022!K9</f>
        <v>1203487.0001827001</v>
      </c>
      <c r="L9" t="n">
        <f>tbl_detail_2022!L9</f>
        <v>49274.763788688302</v>
      </c>
      <c r="M9" t="n">
        <f>tbl_detail_2022!M9</f>
        <v>1154212.23639401</v>
      </c>
      <c r="N9" t="n">
        <f>tbl_detail_2022!N9</f>
        <v>410964.05561421497</v>
      </c>
      <c r="O9" t="n">
        <f>tbl_detail_2022!O9</f>
        <v>1139166.2236800501</v>
      </c>
      <c r="P9" t="n">
        <f t="shared" si="1"/>
        <v>2</v>
      </c>
      <c r="Q9" t="n">
        <f t="shared" si="2"/>
        <v>0.87343872827321156</v>
      </c>
      <c r="R9" t="n">
        <f t="shared" si="3"/>
        <v>1051172.1549329199</v>
      </c>
      <c r="S9" t="n">
        <f t="shared" si="0"/>
        <v>43038.487019554806</v>
      </c>
      <c r="T9" t="n">
        <f t="shared" si="0"/>
        <v>1008133.6679133635</v>
      </c>
      <c r="U9" t="n">
        <f t="shared" si="0"/>
        <v>358951.9221016813</v>
      </c>
      <c r="V9" t="n">
        <f t="shared" si="0"/>
        <v>994991.89770289988</v>
      </c>
      <c r="W9" t="n">
        <f t="shared" si="4"/>
        <v>1457.410101441091</v>
      </c>
      <c r="X9" t="n">
        <f t="shared" si="5"/>
        <v>400655.63944174297</v>
      </c>
      <c r="Y9" t="n">
        <f t="shared" si="6"/>
        <v>0.94259590913375435</v>
      </c>
      <c r="Z9" t="n">
        <f t="shared" si="7"/>
        <v>377656.36670915538</v>
      </c>
      <c r="AD9" s="106" t="n">
        <v>2029</v>
      </c>
      <c r="AE9" t="n">
        <f>('SC-GHG'!H12*$AE$1)/$AH$1</f>
        <v>1709.850429506424</v>
      </c>
    </row>
    <row r="10">
      <c r="B10" s="52" t="n">
        <v>2023</v>
      </c>
      <c r="C10" t="str">
        <f>tbl_detail_2022!C10</f>
        <v>fugitives</v>
      </c>
      <c r="D10" t="str">
        <f>tbl_detail_2022!D10</f>
        <v>Wellpad Fugitives</v>
      </c>
      <c r="E10" t="str">
        <f>tbl_detail_2022!E10</f>
        <v>3: Equipment = 1, no tanks</v>
      </c>
      <c r="F10" t="n">
        <f>tbl_detail_2022!F10</f>
        <v>273.41397318840501</v>
      </c>
      <c r="G10" t="n">
        <f>tbl_detail_2022!G10</f>
        <v>53.891692662771803</v>
      </c>
      <c r="H10" t="n">
        <f>tbl_detail_2022!H10</f>
        <v>14.980527262101299</v>
      </c>
      <c r="I10" t="n">
        <f>tbl_detail_2022!I10</f>
        <v>0.56431646196335505</v>
      </c>
      <c r="J10" t="n">
        <f>tbl_detail_2022!J10</f>
        <v>1222.2430299109101</v>
      </c>
      <c r="K10" t="n">
        <f>tbl_detail_2022!K10</f>
        <v>-339518.80354441999</v>
      </c>
      <c r="L10" t="n">
        <f>tbl_detail_2022!L10</f>
        <v>-9659.5499087856697</v>
      </c>
      <c r="M10" t="n">
        <f>tbl_detail_2022!M10</f>
        <v>-329859.25363563502</v>
      </c>
      <c r="N10" t="n">
        <f>tbl_detail_2022!N10</f>
        <v>-222730.25996369001</v>
      </c>
      <c r="O10" t="n">
        <f>tbl_detail_2022!O10</f>
        <v>-304658.86123123998</v>
      </c>
      <c r="P10" t="n">
        <f t="shared" si="1"/>
        <v>2</v>
      </c>
      <c r="Q10" t="n">
        <f t="shared" si="2"/>
        <v>0.87343872827321156</v>
      </c>
      <c r="R10" t="n">
        <f t="shared" si="3"/>
        <v>-296548.87199268054</v>
      </c>
      <c r="S10" t="n">
        <f t="shared" si="0"/>
        <v>-8437.0249880213723</v>
      </c>
      <c r="T10" t="n">
        <f t="shared" si="0"/>
        <v>-288111.84700465976</v>
      </c>
      <c r="U10" t="n">
        <f t="shared" si="0"/>
        <v>-194541.23501064721</v>
      </c>
      <c r="V10" t="n">
        <f t="shared" si="0"/>
        <v>-266100.84831097908</v>
      </c>
      <c r="W10" t="n">
        <f t="shared" si="4"/>
        <v>1457.410101441091</v>
      </c>
      <c r="X10" t="n">
        <f t="shared" si="5"/>
        <v>-78542.297270482348</v>
      </c>
      <c r="Y10" t="n">
        <f t="shared" si="6"/>
        <v>0.94259590913375435</v>
      </c>
      <c r="Z10" t="n">
        <f t="shared" si="7"/>
        <v>-74033.648101123908</v>
      </c>
      <c r="AD10" s="106" t="n">
        <v>2030</v>
      </c>
      <c r="AE10" t="n">
        <f>('SC-GHG'!H13*$AE$1)/$AH$1</f>
        <v>1751.9236681211767</v>
      </c>
    </row>
    <row r="11">
      <c r="B11" s="52" t="n">
        <v>2023</v>
      </c>
      <c r="C11" t="str">
        <f>tbl_detail_2022!C11</f>
        <v>fugitives</v>
      </c>
      <c r="D11" t="str">
        <f>tbl_detail_2022!D11</f>
        <v>Wellpad Fugitives</v>
      </c>
      <c r="E11" t="str">
        <f>tbl_detail_2022!E11</f>
        <v>4: Equipment &gt; 1, no tanks</v>
      </c>
      <c r="F11" t="n">
        <f>tbl_detail_2022!F11</f>
        <v>1312.0991434213399</v>
      </c>
      <c r="G11" t="n">
        <f>tbl_detail_2022!G11</f>
        <v>-276.753510984483</v>
      </c>
      <c r="H11" t="n">
        <f>tbl_detail_2022!H11</f>
        <v>-76.930475020118806</v>
      </c>
      <c r="I11" t="n">
        <f>tbl_detail_2022!I11</f>
        <v>-2.8979709940078799</v>
      </c>
      <c r="J11" t="n">
        <f>tbl_detail_2022!J11</f>
        <v>-6276.6640476636303</v>
      </c>
      <c r="K11" t="n">
        <f>tbl_detail_2022!K11</f>
        <v>2122908.8450576798</v>
      </c>
      <c r="L11" t="n">
        <f>tbl_detail_2022!L11</f>
        <v>49605.314283123102</v>
      </c>
      <c r="M11" t="n">
        <f>tbl_detail_2022!M11</f>
        <v>2073303.5307745601</v>
      </c>
      <c r="N11" t="n">
        <f>tbl_detail_2022!N11</f>
        <v>15745.1897210561</v>
      </c>
      <c r="O11" t="n">
        <f>tbl_detail_2022!O11</f>
        <v>2120444.53506462</v>
      </c>
      <c r="P11" t="n">
        <f t="shared" si="1"/>
        <v>2</v>
      </c>
      <c r="Q11" t="n">
        <f t="shared" si="2"/>
        <v>0.87343872827321156</v>
      </c>
      <c r="R11" t="n">
        <f t="shared" si="3"/>
        <v>1854230.8018671321</v>
      </c>
      <c r="S11" t="n">
        <f t="shared" si="0"/>
        <v>43327.202623044017</v>
      </c>
      <c r="T11" t="n">
        <f t="shared" si="0"/>
        <v>1810903.5992440912</v>
      </c>
      <c r="U11" t="n">
        <f t="shared" si="0"/>
        <v>13752.458486379683</v>
      </c>
      <c r="V11" t="n">
        <f t="shared" si="0"/>
        <v>1852078.3780807231</v>
      </c>
      <c r="W11" t="n">
        <f t="shared" si="4"/>
        <v>1457.410101441091</v>
      </c>
      <c r="X11" t="n">
        <f t="shared" si="5"/>
        <v>403343.36251807347</v>
      </c>
      <c r="Y11" t="n">
        <f t="shared" si="6"/>
        <v>0.94259590913375435</v>
      </c>
      <c r="Z11" t="n">
        <f t="shared" si="7"/>
        <v>380189.80348578893</v>
      </c>
      <c r="AD11" s="106" t="n">
        <v>2031</v>
      </c>
      <c r="AE11" t="n">
        <f>('SC-GHG'!H14*$AE$1)/$AH$1</f>
        <v>1801.5596379329102</v>
      </c>
    </row>
    <row r="12">
      <c r="B12" s="52" t="n">
        <v>2023</v>
      </c>
      <c r="C12" t="str">
        <f>tbl_detail_2022!C12</f>
        <v>fugitives</v>
      </c>
      <c r="D12" t="str">
        <f>tbl_detail_2022!D12</f>
        <v>Wellpad Fugitives</v>
      </c>
      <c r="E12" t="str">
        <f>tbl_detail_2022!E12</f>
        <v>5: Equipment = 1 and tanks</v>
      </c>
      <c r="F12" t="n">
        <f>tbl_detail_2022!F12</f>
        <v>942.91303135826297</v>
      </c>
      <c r="G12" t="n">
        <f>tbl_detail_2022!G12</f>
        <v>-140.27525904671</v>
      </c>
      <c r="H12" t="n">
        <f>tbl_detail_2022!H12</f>
        <v>-38.992973471757303</v>
      </c>
      <c r="I12" t="n">
        <f>tbl_detail_2022!I12</f>
        <v>-1.4688653106811</v>
      </c>
      <c r="J12" t="n">
        <f>tbl_detail_2022!J12</f>
        <v>-3181.3893601680602</v>
      </c>
      <c r="K12" t="n">
        <f>tbl_detail_2022!K12</f>
        <v>1525584.7276685699</v>
      </c>
      <c r="L12" t="n">
        <f>tbl_detail_2022!L12</f>
        <v>25142.9450213866</v>
      </c>
      <c r="M12" t="n">
        <f>tbl_detail_2022!M12</f>
        <v>1500441.7826471799</v>
      </c>
      <c r="N12" t="n">
        <f>tbl_detail_2022!N12</f>
        <v>11314.9563762992</v>
      </c>
      <c r="O12" t="n">
        <f>tbl_detail_2022!O12</f>
        <v>1523813.80203584</v>
      </c>
      <c r="P12" t="n">
        <f t="shared" si="1"/>
        <v>2</v>
      </c>
      <c r="Q12" t="n">
        <f t="shared" si="2"/>
        <v>0.87343872827321156</v>
      </c>
      <c r="R12" t="n">
        <f t="shared" si="3"/>
        <v>1332504.7844078694</v>
      </c>
      <c r="S12" t="n">
        <f t="shared" si="0"/>
        <v>21960.821924523188</v>
      </c>
      <c r="T12" t="n">
        <f t="shared" si="0"/>
        <v>1310543.9624833434</v>
      </c>
      <c r="U12" t="n">
        <f t="shared" si="0"/>
        <v>9882.9211077816399</v>
      </c>
      <c r="V12" t="n">
        <f t="shared" si="0"/>
        <v>1330957.9893753515</v>
      </c>
      <c r="W12" t="n">
        <f t="shared" si="4"/>
        <v>1457.410101441091</v>
      </c>
      <c r="X12" t="n">
        <f t="shared" si="5"/>
        <v>204438.57951694095</v>
      </c>
      <c r="Y12" t="n">
        <f t="shared" si="6"/>
        <v>0.94259590913375435</v>
      </c>
      <c r="Z12" t="n">
        <f t="shared" si="7"/>
        <v>192702.9687217843</v>
      </c>
      <c r="AD12" s="106" t="n">
        <v>2032</v>
      </c>
      <c r="AE12" t="n">
        <f>('SC-GHG'!H15*$AE$1)/$AH$1</f>
        <v>1851.1956077446432</v>
      </c>
    </row>
    <row r="13">
      <c r="B13" s="52" t="n">
        <v>2023</v>
      </c>
      <c r="C13" t="str">
        <f>tbl_detail_2022!C13</f>
        <v>fugitives</v>
      </c>
      <c r="D13" t="str">
        <f>tbl_detail_2022!D13</f>
        <v>Wellpad Fugitives</v>
      </c>
      <c r="E13" t="str">
        <f>tbl_detail_2022!E13</f>
        <v>6: Equipment &gt; 1 and tanks</v>
      </c>
      <c r="F13" t="n">
        <f>tbl_detail_2022!F13</f>
        <v>6874.1600591217102</v>
      </c>
      <c r="G13" t="n">
        <f>tbl_detail_2022!G13</f>
        <v>-1719.31466132578</v>
      </c>
      <c r="H13" t="n">
        <f>tbl_detail_2022!H13</f>
        <v>-477.92598234557897</v>
      </c>
      <c r="I13" t="n">
        <f>tbl_detail_2022!I13</f>
        <v>-18.0034717549579</v>
      </c>
      <c r="J13" t="n">
        <f>tbl_detail_2022!J13</f>
        <v>-38993.400600325302</v>
      </c>
      <c r="K13" t="n">
        <f>tbl_detail_2022!K13</f>
        <v>11122036.9779371</v>
      </c>
      <c r="L13" t="n">
        <f>tbl_detail_2022!L13</f>
        <v>308170.052922756</v>
      </c>
      <c r="M13" t="n">
        <f>tbl_detail_2022!M13</f>
        <v>10813866.9250143</v>
      </c>
      <c r="N13" t="n">
        <f>tbl_detail_2022!N13</f>
        <v>82489.920709460494</v>
      </c>
      <c r="O13" t="n">
        <f>tbl_detail_2022!O13</f>
        <v>11109126.321442399</v>
      </c>
      <c r="P13" t="n">
        <f t="shared" si="1"/>
        <v>2</v>
      </c>
      <c r="Q13" t="n">
        <f t="shared" si="2"/>
        <v>0.87343872827321156</v>
      </c>
      <c r="R13" t="n">
        <f t="shared" si="3"/>
        <v>9714417.8338170145</v>
      </c>
      <c r="S13" t="n">
        <f t="shared" si="0"/>
        <v>269167.65911674028</v>
      </c>
      <c r="T13" t="n">
        <f t="shared" si="0"/>
        <v>9445250.1747002359</v>
      </c>
      <c r="U13" t="n">
        <f t="shared" si="0"/>
        <v>72049.891439829225</v>
      </c>
      <c r="V13" t="n">
        <f t="shared" si="0"/>
        <v>9703141.1664271094</v>
      </c>
      <c r="W13" t="n">
        <f t="shared" si="4"/>
        <v>1457.410101441091</v>
      </c>
      <c r="X13" t="n">
        <f t="shared" si="5"/>
        <v>2505746.5549719599</v>
      </c>
      <c r="Y13" t="n">
        <f t="shared" si="6"/>
        <v>0.94259590913375435</v>
      </c>
      <c r="Z13" t="n">
        <f t="shared" si="7"/>
        <v>2361906.4520425675</v>
      </c>
      <c r="AD13" s="106" t="n">
        <v>2033</v>
      </c>
      <c r="AE13" t="n">
        <f>('SC-GHG'!H16*$AE$1)/$AH$1</f>
        <v>1900.8315775563767</v>
      </c>
    </row>
    <row r="14">
      <c r="B14" s="52" t="n">
        <v>2023</v>
      </c>
      <c r="C14" t="str">
        <f>tbl_detail_2022!C14</f>
        <v>compressors</v>
      </c>
      <c r="D14" t="str">
        <f>tbl_detail_2022!D14</f>
        <v>G&amp;B Station Recip Comp</v>
      </c>
      <c r="E14" t="n">
        <f>tbl_detail_2022!E14</f>
        <v>0</v>
      </c>
      <c r="F14" t="n">
        <f>tbl_detail_2022!F14</f>
        <v>2002.33663779669</v>
      </c>
      <c r="G14" t="n">
        <f>tbl_detail_2022!G14</f>
        <v>-9015.1717062866101</v>
      </c>
      <c r="H14" t="n">
        <f>tbl_detail_2022!H14</f>
        <v>-2505.9896791081501</v>
      </c>
      <c r="I14" t="n">
        <f>tbl_detail_2022!I14</f>
        <v>-94.411446855805394</v>
      </c>
      <c r="J14" t="n">
        <f>tbl_detail_2022!J14</f>
        <v>-204460.655010574</v>
      </c>
      <c r="K14" t="n">
        <f>tbl_detail_2022!K14</f>
        <v>1195394.9727646301</v>
      </c>
      <c r="L14" t="n">
        <f>tbl_detail_2022!L14</f>
        <v>1615879.8644174801</v>
      </c>
      <c r="M14" t="n">
        <f>tbl_detail_2022!M14</f>
        <v>-420484.89165285201</v>
      </c>
      <c r="N14" t="n">
        <f>tbl_detail_2022!N14</f>
        <v>0</v>
      </c>
      <c r="O14" t="n">
        <f>tbl_detail_2022!O14</f>
        <v>1195394.9727646301</v>
      </c>
      <c r="P14" t="n">
        <f t="shared" si="1"/>
        <v>2</v>
      </c>
      <c r="Q14" t="n">
        <f t="shared" si="2"/>
        <v>0.87343872827321156</v>
      </c>
      <c r="R14" t="n">
        <f t="shared" si="3"/>
        <v>1044104.2647957288</v>
      </c>
      <c r="S14" t="n">
        <f t="shared" si="0"/>
        <v>1411372.0538190934</v>
      </c>
      <c r="T14" t="n">
        <f t="shared" si="0"/>
        <v>-367267.78902336623</v>
      </c>
      <c r="U14" t="n">
        <f t="shared" si="0"/>
        <v>0</v>
      </c>
      <c r="V14" t="n">
        <f t="shared" si="0"/>
        <v>1044104.2647957288</v>
      </c>
      <c r="W14" t="n">
        <f t="shared" si="4"/>
        <v>1457.410101441091</v>
      </c>
      <c r="X14" t="n">
        <f t="shared" si="5"/>
        <v>13138802.310968021</v>
      </c>
      <c r="Y14" t="n">
        <f t="shared" si="6"/>
        <v>0.94259590913375435</v>
      </c>
      <c r="Z14" t="n">
        <f t="shared" si="7"/>
        <v>12384581.309235575</v>
      </c>
      <c r="AD14" s="106" t="n">
        <v>2034</v>
      </c>
      <c r="AE14" t="n">
        <f>('SC-GHG'!H17*$AE$1)/$AH$1</f>
        <v>1950.4675473681098</v>
      </c>
    </row>
    <row r="15">
      <c r="B15" s="52" t="n">
        <v>2023</v>
      </c>
      <c r="C15" t="str">
        <f>tbl_detail_2022!C15</f>
        <v>compressors</v>
      </c>
      <c r="D15" t="str">
        <f>tbl_detail_2022!D15</f>
        <v>Proc Recip Comp</v>
      </c>
      <c r="E15" t="n">
        <f>tbl_detail_2022!E15</f>
        <v>0</v>
      </c>
      <c r="F15" t="n">
        <f>tbl_detail_2022!F15</f>
        <v>84.009997948505998</v>
      </c>
      <c r="G15" t="n">
        <f>tbl_detail_2022!G15</f>
        <v>-241.45390205340399</v>
      </c>
      <c r="H15" t="n">
        <f>tbl_detail_2022!H15</f>
        <v>-67.118076753244296</v>
      </c>
      <c r="I15" t="n">
        <f>tbl_detail_2022!I15</f>
        <v>-2.52862762735238</v>
      </c>
      <c r="J15" t="n">
        <f>tbl_detail_2022!J15</f>
        <v>-5476.0823839075701</v>
      </c>
      <c r="K15" t="n">
        <f>tbl_detail_2022!K15</f>
        <v>50153.968775258101</v>
      </c>
      <c r="L15" t="n">
        <f>tbl_detail_2022!L15</f>
        <v>41238.662618706898</v>
      </c>
      <c r="M15" t="n">
        <f>tbl_detail_2022!M15</f>
        <v>8915.3061565512198</v>
      </c>
      <c r="N15" t="n">
        <f>tbl_detail_2022!N15</f>
        <v>0</v>
      </c>
      <c r="O15" t="n">
        <f>tbl_detail_2022!O15</f>
        <v>50153.968775258101</v>
      </c>
      <c r="P15" t="n">
        <f t="shared" si="1"/>
        <v>2</v>
      </c>
      <c r="Q15" t="n">
        <f t="shared" si="2"/>
        <v>0.87343872827321156</v>
      </c>
      <c r="R15" t="n">
        <f t="shared" si="3"/>
        <v>43806.418704915799</v>
      </c>
      <c r="S15" t="n">
        <f t="shared" si="0"/>
        <v>36019.445033371383</v>
      </c>
      <c r="T15" t="n">
        <f t="shared" si="0"/>
        <v>7786.9736715444315</v>
      </c>
      <c r="U15" t="n">
        <f t="shared" si="0"/>
        <v>0</v>
      </c>
      <c r="V15" t="n">
        <f t="shared" si="0"/>
        <v>43806.418704915799</v>
      </c>
      <c r="W15" t="n">
        <f t="shared" si="4"/>
        <v>1457.410101441091</v>
      </c>
      <c r="X15" t="n">
        <f t="shared" si="5"/>
        <v>351897.35588499875</v>
      </c>
      <c r="Y15" t="n">
        <f t="shared" si="6"/>
        <v>0.94259590913375435</v>
      </c>
      <c r="Z15" t="n">
        <f t="shared" si="7"/>
        <v>331697.00809218467</v>
      </c>
      <c r="AD15" s="106" t="n">
        <v>2035</v>
      </c>
      <c r="AE15" t="n">
        <f>('SC-GHG'!H18*$AE$1)/$AH$1</f>
        <v>2000.103517179843</v>
      </c>
    </row>
    <row r="16">
      <c r="B16" s="52" t="n">
        <v>2023</v>
      </c>
      <c r="C16" t="str">
        <f>tbl_detail_2022!C16</f>
        <v>compressors</v>
      </c>
      <c r="D16" t="str">
        <f>tbl_detail_2022!D16</f>
        <v>T&amp;S Recip Comp</v>
      </c>
      <c r="E16" t="str">
        <f>tbl_detail_2022!E16</f>
        <v>Reciprocating Compressors (Transmission)</v>
      </c>
      <c r="F16" t="n">
        <f>tbl_detail_2022!F16</f>
        <v>572.44615663148102</v>
      </c>
      <c r="G16" t="n">
        <f>tbl_detail_2022!G16</f>
        <v>-1874.8474787335799</v>
      </c>
      <c r="H16" t="n">
        <f>tbl_detail_2022!H16</f>
        <v>-51.885820508279899</v>
      </c>
      <c r="I16" t="n">
        <f>tbl_detail_2022!I16</f>
        <v>-1.54109680743802</v>
      </c>
      <c r="J16" t="n">
        <f>tbl_detail_2022!J16</f>
        <v>-42520.8255633644</v>
      </c>
      <c r="K16" t="n">
        <f>tbl_detail_2022!K16</f>
        <v>341750.35550899402</v>
      </c>
      <c r="L16" t="n">
        <f>tbl_detail_2022!L16</f>
        <v>300197.840481291</v>
      </c>
      <c r="M16" t="n">
        <f>tbl_detail_2022!M16</f>
        <v>41552.515027702902</v>
      </c>
      <c r="N16" t="n">
        <f>tbl_detail_2022!N16</f>
        <v>0</v>
      </c>
      <c r="O16" t="n">
        <f>tbl_detail_2022!O16</f>
        <v>341750.35550899402</v>
      </c>
      <c r="P16" t="n">
        <f t="shared" si="1"/>
        <v>2</v>
      </c>
      <c r="Q16" t="n">
        <f t="shared" si="2"/>
        <v>0.87343872827321156</v>
      </c>
      <c r="R16" t="n">
        <f t="shared" si="3"/>
        <v>298497.99590269366</v>
      </c>
      <c r="S16" t="n">
        <f t="shared" si="0"/>
        <v>262204.42002034321</v>
      </c>
      <c r="T16" t="n">
        <f t="shared" si="0"/>
        <v>36293.575882350335</v>
      </c>
      <c r="U16" t="n">
        <f t="shared" si="0"/>
        <v>0</v>
      </c>
      <c r="V16" t="n">
        <f t="shared" si="0"/>
        <v>298497.99590269366</v>
      </c>
      <c r="W16" t="n">
        <f t="shared" si="4"/>
        <v>1457.410101441091</v>
      </c>
      <c r="X16" t="n">
        <f t="shared" si="5"/>
        <v>2732421.6541676805</v>
      </c>
      <c r="Y16" t="n">
        <f t="shared" si="6"/>
        <v>0.94259590913375435</v>
      </c>
      <c r="Z16" t="n">
        <f t="shared" si="7"/>
        <v>2575569.4732469418</v>
      </c>
    </row>
    <row r="17">
      <c r="B17" s="52" t="n">
        <v>2023</v>
      </c>
      <c r="C17" t="str">
        <f>tbl_detail_2022!C17</f>
        <v>compressors</v>
      </c>
      <c r="D17" t="str">
        <f>tbl_detail_2022!D17</f>
        <v>T&amp;S Recip Comp</v>
      </c>
      <c r="E17" t="str">
        <f>tbl_detail_2022!E17</f>
        <v>Reciprocating Compressors (Storage)</v>
      </c>
      <c r="F17" t="n">
        <f>tbl_detail_2022!F17</f>
        <v>20.370909095889999</v>
      </c>
      <c r="G17" t="n">
        <f>tbl_detail_2022!G17</f>
        <v>-85.331747800226495</v>
      </c>
      <c r="H17" t="n">
        <f>tbl_detail_2022!H17</f>
        <v>-2.36152956453346</v>
      </c>
      <c r="I17" t="n">
        <f>tbl_detail_2022!I17</f>
        <v>-7.0141430489516099E-2</v>
      </c>
      <c r="J17" t="n">
        <f>tbl_detail_2022!J17</f>
        <v>-1935.29148604735</v>
      </c>
      <c r="K17" t="n">
        <f>tbl_detail_2022!K17</f>
        <v>12161.432730246401</v>
      </c>
      <c r="L17" t="n">
        <f>tbl_detail_2022!L17</f>
        <v>13663.194849015401</v>
      </c>
      <c r="M17" t="n">
        <f>tbl_detail_2022!M17</f>
        <v>-1501.7621187690499</v>
      </c>
      <c r="N17" t="n">
        <f>tbl_detail_2022!N17</f>
        <v>0</v>
      </c>
      <c r="O17" t="n">
        <f>tbl_detail_2022!O17</f>
        <v>12161.432730246401</v>
      </c>
      <c r="P17" t="n">
        <f t="shared" si="1"/>
        <v>2</v>
      </c>
      <c r="Q17" t="n">
        <f t="shared" si="2"/>
        <v>0.87343872827321156</v>
      </c>
      <c r="R17" t="n">
        <f t="shared" si="3"/>
        <v>10622.266337886627</v>
      </c>
      <c r="S17" t="n">
        <f t="shared" si="0"/>
        <v>11933.963533073107</v>
      </c>
      <c r="T17" t="n">
        <f t="shared" si="0"/>
        <v>-1311.6971951865228</v>
      </c>
      <c r="U17" t="n">
        <f t="shared" si="0"/>
        <v>0</v>
      </c>
      <c r="V17" t="n">
        <f t="shared" si="0"/>
        <v>10622.266337886627</v>
      </c>
      <c r="W17" t="n">
        <f t="shared" si="4"/>
        <v>1457.410101441091</v>
      </c>
      <c r="X17" t="n">
        <f t="shared" si="5"/>
        <v>124363.35121767368</v>
      </c>
      <c r="Y17" t="n">
        <f t="shared" si="6"/>
        <v>0.94259590913375435</v>
      </c>
      <c r="Z17" t="n">
        <f t="shared" si="7"/>
        <v>117224.38610394353</v>
      </c>
    </row>
    <row r="18">
      <c r="B18" s="52" t="n">
        <v>2023</v>
      </c>
      <c r="C18" t="str">
        <f>tbl_detail_2022!C18</f>
        <v>compressors</v>
      </c>
      <c r="D18" t="str">
        <f>tbl_detail_2022!D18</f>
        <v>Wet Seal Centrifugal Compr</v>
      </c>
      <c r="E18" t="str">
        <f>tbl_detail_2022!E18</f>
        <v>G&amp;B WS Centrifugal Comp</v>
      </c>
      <c r="F18" t="n">
        <f>tbl_detail_2022!F18</f>
        <v>26.650851359404101</v>
      </c>
      <c r="G18" t="n">
        <f>tbl_detail_2022!G18</f>
        <v>-5976.3994943082398</v>
      </c>
      <c r="H18" t="n">
        <f>tbl_detail_2022!H18</f>
        <v>-1661.2878754732701</v>
      </c>
      <c r="I18" t="n">
        <f>tbl_detail_2022!I18</f>
        <v>-62.587884249889399</v>
      </c>
      <c r="J18" t="n">
        <f>tbl_detail_2022!J18</f>
        <v>-135542.460534504</v>
      </c>
      <c r="K18" t="n">
        <f>tbl_detail_2022!K18</f>
        <v>666271.28398510301</v>
      </c>
      <c r="L18" t="n">
        <f>tbl_detail_2022!L18</f>
        <v>1071210.16872404</v>
      </c>
      <c r="M18" t="n">
        <f>tbl_detail_2022!M18</f>
        <v>-404938.88473893702</v>
      </c>
      <c r="N18" t="n">
        <f>tbl_detail_2022!N18</f>
        <v>0</v>
      </c>
      <c r="O18" t="n">
        <f>tbl_detail_2022!O18</f>
        <v>666271.28398510301</v>
      </c>
      <c r="P18" t="n">
        <f t="shared" si="1"/>
        <v>2</v>
      </c>
      <c r="Q18" t="n">
        <f t="shared" si="2"/>
        <v>0.87343872827321156</v>
      </c>
      <c r="R18" t="n">
        <f t="shared" si="3"/>
        <v>581947.14296890819</v>
      </c>
      <c r="S18" t="n">
        <f t="shared" si="0"/>
        <v>935636.44748365786</v>
      </c>
      <c r="T18" t="n">
        <f t="shared" si="0"/>
        <v>-353689.30451474973</v>
      </c>
      <c r="U18" t="n">
        <f t="shared" si="0"/>
        <v>0</v>
      </c>
      <c r="V18" t="n">
        <f t="shared" si="0"/>
        <v>581947.14296890819</v>
      </c>
      <c r="W18" t="n">
        <f t="shared" si="4"/>
        <v>1457.410101441091</v>
      </c>
      <c r="X18" t="n">
        <f t="shared" si="5"/>
        <v>8710064.9932522569</v>
      </c>
      <c r="Y18" t="n">
        <f t="shared" si="6"/>
        <v>0.94259590913375435</v>
      </c>
      <c r="Z18" t="n">
        <f t="shared" si="7"/>
        <v>8210071.6309286989</v>
      </c>
    </row>
    <row r="19">
      <c r="B19" s="52" t="n">
        <v>2023</v>
      </c>
      <c r="C19" t="str">
        <f>tbl_detail_2022!C19</f>
        <v>compressors</v>
      </c>
      <c r="D19" t="str">
        <f>tbl_detail_2022!D19</f>
        <v>Wet Seal Centrifugal Compr</v>
      </c>
      <c r="E19" t="str">
        <f>tbl_detail_2022!E19</f>
        <v>Proc WS Centrifugal Comp</v>
      </c>
      <c r="F19" t="n">
        <f>tbl_detail_2022!F19</f>
        <v>0</v>
      </c>
      <c r="G19" t="n">
        <f>tbl_detail_2022!G19</f>
        <v>0</v>
      </c>
      <c r="H19" t="n">
        <f>tbl_detail_2022!H19</f>
        <v>0</v>
      </c>
      <c r="I19" t="n">
        <f>tbl_detail_2022!I19</f>
        <v>0</v>
      </c>
      <c r="J19" t="n">
        <f>tbl_detail_2022!J19</f>
        <v>0</v>
      </c>
      <c r="K19" t="n">
        <f>tbl_detail_2022!K19</f>
        <v>0</v>
      </c>
      <c r="L19" t="n">
        <f>tbl_detail_2022!L19</f>
        <v>0</v>
      </c>
      <c r="M19" t="n">
        <f>tbl_detail_2022!M19</f>
        <v>0</v>
      </c>
      <c r="N19" t="n">
        <f>tbl_detail_2022!N19</f>
        <v>0</v>
      </c>
      <c r="O19" t="n">
        <f>tbl_detail_2022!O19</f>
        <v>0</v>
      </c>
      <c r="P19" t="n">
        <f t="shared" si="1"/>
        <v>2</v>
      </c>
      <c r="Q19" t="n">
        <f t="shared" si="2"/>
        <v>0.87343872827321156</v>
      </c>
      <c r="R19" t="n">
        <f t="shared" si="3"/>
        <v>0</v>
      </c>
      <c r="S19" t="n">
        <f t="shared" ref="S19:S82" si="8">L19*$Q19</f>
        <v>0</v>
      </c>
      <c r="T19" t="n">
        <f t="shared" ref="T19:T82" si="9">M19*$Q19</f>
        <v>0</v>
      </c>
      <c r="U19" t="n">
        <f t="shared" ref="U19:U82" si="10">N19*$Q19</f>
        <v>0</v>
      </c>
      <c r="V19" t="n">
        <f t="shared" ref="V19:V82" si="11">O19*$Q19</f>
        <v>0</v>
      </c>
      <c r="W19" t="n">
        <f t="shared" si="4"/>
        <v>1457.410101441091</v>
      </c>
      <c r="X19" t="n">
        <f t="shared" si="5"/>
        <v>0</v>
      </c>
      <c r="Y19" t="n">
        <f t="shared" si="6"/>
        <v>0.94259590913375435</v>
      </c>
      <c r="Z19" t="n">
        <f t="shared" si="7"/>
        <v>0</v>
      </c>
    </row>
    <row r="20">
      <c r="B20" s="52" t="n">
        <v>2023</v>
      </c>
      <c r="C20" t="str">
        <f>tbl_detail_2022!C20</f>
        <v>compressors</v>
      </c>
      <c r="D20" t="str">
        <f>tbl_detail_2022!D20</f>
        <v>Wet Seal Centrifugal Compr</v>
      </c>
      <c r="E20" t="str">
        <f>tbl_detail_2022!E20</f>
        <v>T&amp;S WS Centrifugal Comp</v>
      </c>
      <c r="F20" t="n">
        <f>tbl_detail_2022!F20</f>
        <v>0</v>
      </c>
      <c r="G20" t="n">
        <f>tbl_detail_2022!G20</f>
        <v>0</v>
      </c>
      <c r="H20" t="n">
        <f>tbl_detail_2022!H20</f>
        <v>0</v>
      </c>
      <c r="I20" t="n">
        <f>tbl_detail_2022!I20</f>
        <v>0</v>
      </c>
      <c r="J20" t="n">
        <f>tbl_detail_2022!J20</f>
        <v>0</v>
      </c>
      <c r="K20" t="n">
        <f>tbl_detail_2022!K20</f>
        <v>0</v>
      </c>
      <c r="L20" t="n">
        <f>tbl_detail_2022!L20</f>
        <v>0</v>
      </c>
      <c r="M20" t="n">
        <f>tbl_detail_2022!M20</f>
        <v>0</v>
      </c>
      <c r="N20" t="n">
        <f>tbl_detail_2022!N20</f>
        <v>0</v>
      </c>
      <c r="O20" t="n">
        <f>tbl_detail_2022!O20</f>
        <v>0</v>
      </c>
      <c r="P20" t="n">
        <f t="shared" si="1"/>
        <v>2</v>
      </c>
      <c r="Q20" t="n">
        <f t="shared" si="2"/>
        <v>0.87343872827321156</v>
      </c>
      <c r="R20" t="n">
        <f t="shared" si="3"/>
        <v>0</v>
      </c>
      <c r="S20" t="n">
        <f t="shared" si="8"/>
        <v>0</v>
      </c>
      <c r="T20" t="n">
        <f t="shared" si="9"/>
        <v>0</v>
      </c>
      <c r="U20" t="n">
        <f t="shared" si="10"/>
        <v>0</v>
      </c>
      <c r="V20" t="n">
        <f t="shared" si="11"/>
        <v>0</v>
      </c>
      <c r="W20" t="n">
        <f t="shared" si="4"/>
        <v>1457.410101441091</v>
      </c>
      <c r="X20" t="n">
        <f t="shared" si="5"/>
        <v>0</v>
      </c>
      <c r="Y20" t="n">
        <f t="shared" si="6"/>
        <v>0.94259590913375435</v>
      </c>
      <c r="Z20" t="n">
        <f t="shared" si="7"/>
        <v>0</v>
      </c>
    </row>
    <row r="21">
      <c r="B21" s="52" t="n">
        <v>2023</v>
      </c>
      <c r="C21" t="str">
        <f>tbl_detail_2022!C21</f>
        <v>compressors</v>
      </c>
      <c r="D21" t="str">
        <f>tbl_detail_2022!D21</f>
        <v>Dry Seal Centrifugal Compr</v>
      </c>
      <c r="E21" t="str">
        <f>tbl_detail_2022!E21</f>
        <v>G&amp;B DS Centrifugal Comp</v>
      </c>
      <c r="F21" t="n">
        <f>tbl_detail_2022!F21</f>
        <v>40.8773785379502</v>
      </c>
      <c r="G21" t="n">
        <f>tbl_detail_2022!G21</f>
        <v>-659.20235853831502</v>
      </c>
      <c r="H21" t="n">
        <f>tbl_detail_2022!H21</f>
        <v>-183.241579945593</v>
      </c>
      <c r="I21" t="n">
        <f>tbl_detail_2022!I21</f>
        <v>-6.9035011720256101</v>
      </c>
      <c r="J21" t="n">
        <f>tbl_detail_2022!J21</f>
        <v>-14950.4580059492</v>
      </c>
      <c r="K21" t="n">
        <f>tbl_detail_2022!K21</f>
        <v>613160.67806925299</v>
      </c>
      <c r="L21" t="n">
        <f>tbl_detail_2022!L21</f>
        <v>118155.46641178</v>
      </c>
      <c r="M21" t="n">
        <f>tbl_detail_2022!M21</f>
        <v>495005.211657473</v>
      </c>
      <c r="N21" t="n">
        <f>tbl_detail_2022!N21</f>
        <v>0</v>
      </c>
      <c r="O21" t="n">
        <f>tbl_detail_2022!O21</f>
        <v>613160.67806925299</v>
      </c>
      <c r="P21" t="n">
        <f t="shared" si="1"/>
        <v>2</v>
      </c>
      <c r="Q21" t="n">
        <f t="shared" si="2"/>
        <v>0.87343872827321156</v>
      </c>
      <c r="R21" t="n">
        <f t="shared" si="3"/>
        <v>535558.28287994838</v>
      </c>
      <c r="S21" t="n">
        <f t="shared" si="8"/>
        <v>103201.56032123328</v>
      </c>
      <c r="T21" t="n">
        <f t="shared" si="9"/>
        <v>432356.72255871515</v>
      </c>
      <c r="U21" t="n">
        <f t="shared" si="10"/>
        <v>0</v>
      </c>
      <c r="V21" t="n">
        <f t="shared" si="11"/>
        <v>535558.28287994838</v>
      </c>
      <c r="W21" t="n">
        <f t="shared" si="4"/>
        <v>1457.410101441091</v>
      </c>
      <c r="X21" t="n">
        <f t="shared" si="5"/>
        <v>960728.17622753209</v>
      </c>
      <c r="Y21" t="n">
        <f t="shared" si="6"/>
        <v>0.94259590913375435</v>
      </c>
      <c r="Z21" t="n">
        <f t="shared" si="7"/>
        <v>905578.44870160439</v>
      </c>
    </row>
    <row r="22">
      <c r="B22" s="52" t="n">
        <v>2023</v>
      </c>
      <c r="C22" t="str">
        <f>tbl_detail_2022!C22</f>
        <v>compressors</v>
      </c>
      <c r="D22" t="str">
        <f>tbl_detail_2022!D22</f>
        <v>Dry Seal Centrifugal Compr</v>
      </c>
      <c r="E22" t="str">
        <f>tbl_detail_2022!E22</f>
        <v>Proc DS Centrifugal Comp</v>
      </c>
      <c r="F22" t="n">
        <f>tbl_detail_2022!F22</f>
        <v>14.036055082032499</v>
      </c>
      <c r="G22" t="n">
        <f>tbl_detail_2022!G22</f>
        <v>-109.23289292251999</v>
      </c>
      <c r="H22" t="n">
        <f>tbl_detail_2022!H22</f>
        <v>-30.363980986859701</v>
      </c>
      <c r="I22" t="n">
        <f>tbl_detail_2022!I22</f>
        <v>-8.4404186019712704</v>
      </c>
      <c r="J22" t="n">
        <f>tbl_detail_2022!J22</f>
        <v>-2477.3603391341098</v>
      </c>
      <c r="K22" t="n">
        <f>tbl_detail_2022!K22</f>
        <v>210540.826230487</v>
      </c>
      <c r="L22" t="n">
        <f>tbl_detail_2022!L22</f>
        <v>18656.225390388699</v>
      </c>
      <c r="M22" t="n">
        <f>tbl_detail_2022!M22</f>
        <v>191884.60084009799</v>
      </c>
      <c r="N22" t="n">
        <f>tbl_detail_2022!N22</f>
        <v>0</v>
      </c>
      <c r="O22" t="n">
        <f>tbl_detail_2022!O22</f>
        <v>210540.826230487</v>
      </c>
      <c r="P22" t="n">
        <f t="shared" si="1"/>
        <v>2</v>
      </c>
      <c r="Q22" t="n">
        <f t="shared" si="2"/>
        <v>0.87343872827321156</v>
      </c>
      <c r="R22" t="n">
        <f t="shared" si="3"/>
        <v>183894.51151234779</v>
      </c>
      <c r="S22" t="n">
        <f t="shared" si="8"/>
        <v>16295.069779359506</v>
      </c>
      <c r="T22" t="n">
        <f t="shared" si="9"/>
        <v>167599.44173298802</v>
      </c>
      <c r="U22" t="n">
        <f t="shared" si="10"/>
        <v>0</v>
      </c>
      <c r="V22" t="n">
        <f t="shared" si="11"/>
        <v>183894.51151234779</v>
      </c>
      <c r="W22" t="n">
        <f t="shared" si="4"/>
        <v>1457.410101441091</v>
      </c>
      <c r="X22" t="n">
        <f t="shared" si="5"/>
        <v>159197.1215549137</v>
      </c>
      <c r="Y22" t="n">
        <f t="shared" si="6"/>
        <v>0.94259590913375435</v>
      </c>
      <c r="Z22" t="n">
        <f t="shared" si="7"/>
        <v>150058.55552353067</v>
      </c>
    </row>
    <row r="23">
      <c r="B23" s="52" t="n">
        <v>2023</v>
      </c>
      <c r="C23" t="str">
        <f>tbl_detail_2022!C23</f>
        <v>compressors</v>
      </c>
      <c r="D23" t="str">
        <f>tbl_detail_2022!D23</f>
        <v>Dry Seal Centrifugal Compr</v>
      </c>
      <c r="E23" t="str">
        <f>tbl_detail_2022!E23</f>
        <v>T&amp;S DS Centrifugal Comp</v>
      </c>
      <c r="F23" t="n">
        <f>tbl_detail_2022!F23</f>
        <v>241.718376986907</v>
      </c>
      <c r="G23" t="n">
        <f>tbl_detail_2022!G23</f>
        <v>-4363.5386891320404</v>
      </c>
      <c r="H23" t="n">
        <f>tbl_detail_2022!H23</f>
        <v>-120.759575257915</v>
      </c>
      <c r="I23" t="n">
        <f>tbl_detail_2022!I23</f>
        <v>-3.3419836640368601</v>
      </c>
      <c r="J23" t="n">
        <f>tbl_detail_2022!J23</f>
        <v>-98963.392779504793</v>
      </c>
      <c r="K23" t="n">
        <f>tbl_detail_2022!K23</f>
        <v>3625775.6548036099</v>
      </c>
      <c r="L23" t="n">
        <f>tbl_detail_2022!L23</f>
        <v>698683.44288935396</v>
      </c>
      <c r="M23" t="n">
        <f>tbl_detail_2022!M23</f>
        <v>2927092.2119142599</v>
      </c>
      <c r="N23" t="n">
        <f>tbl_detail_2022!N23</f>
        <v>0</v>
      </c>
      <c r="O23" t="n">
        <f>tbl_detail_2022!O23</f>
        <v>3625775.6548036099</v>
      </c>
      <c r="P23" t="n">
        <f t="shared" si="1"/>
        <v>2</v>
      </c>
      <c r="Q23" t="n">
        <f t="shared" si="2"/>
        <v>0.87343872827321156</v>
      </c>
      <c r="R23" t="n">
        <f t="shared" si="3"/>
        <v>3166892.8769356362</v>
      </c>
      <c r="S23" t="n">
        <f t="shared" si="8"/>
        <v>610257.17782282631</v>
      </c>
      <c r="T23" t="n">
        <f t="shared" si="9"/>
        <v>2556635.699112813</v>
      </c>
      <c r="U23" t="n">
        <f t="shared" si="10"/>
        <v>0</v>
      </c>
      <c r="V23" t="n">
        <f t="shared" si="11"/>
        <v>3166892.8769356362</v>
      </c>
      <c r="W23" t="n">
        <f t="shared" si="4"/>
        <v>1457.410101441091</v>
      </c>
      <c r="X23" t="n">
        <f t="shared" si="5"/>
        <v>6359465.3635700522</v>
      </c>
      <c r="Y23" t="n">
        <f t="shared" si="6"/>
        <v>0.94259590913375435</v>
      </c>
      <c r="Z23" t="n">
        <f t="shared" si="7"/>
        <v>5994406.0359789347</v>
      </c>
    </row>
    <row r="24">
      <c r="B24" s="52" t="n">
        <v>2023</v>
      </c>
      <c r="C24" t="str">
        <f>tbl_detail_2022!C24</f>
        <v>liquids_unloading</v>
      </c>
      <c r="D24" t="n">
        <f>tbl_detail_2022!D24</f>
        <v>0</v>
      </c>
      <c r="E24" t="n">
        <f>tbl_detail_2022!E24</f>
        <v>0</v>
      </c>
      <c r="F24" t="n">
        <f>tbl_detail_2022!F24</f>
        <v>6802.85288216341</v>
      </c>
      <c r="G24" t="n">
        <f>tbl_detail_2022!G24</f>
        <v>-673.26058681076904</v>
      </c>
      <c r="H24" t="n">
        <f>tbl_detail_2022!H24</f>
        <v>-187.14941177676599</v>
      </c>
      <c r="I24" t="n">
        <f>tbl_detail_2022!I24</f>
        <v>-7.0507260629842499</v>
      </c>
      <c r="J24" t="n">
        <f>tbl_detail_2022!J24</f>
        <v>-15269.2932599544</v>
      </c>
      <c r="K24" t="n">
        <f>tbl_detail_2022!K24</f>
        <v>442185.43734062102</v>
      </c>
      <c r="L24" t="n">
        <f>tbl_detail_2022!L24</f>
        <v>120675.26400798099</v>
      </c>
      <c r="M24" t="n">
        <f>tbl_detail_2022!M24</f>
        <v>321510.17333264003</v>
      </c>
      <c r="N24" t="n">
        <f>tbl_detail_2022!N24</f>
        <v>0</v>
      </c>
      <c r="O24" t="n">
        <f>tbl_detail_2022!O24</f>
        <v>442185.43734062102</v>
      </c>
      <c r="P24" t="n">
        <f t="shared" si="1"/>
        <v>2</v>
      </c>
      <c r="Q24" t="n">
        <f t="shared" si="2"/>
        <v>0.87343872827321156</v>
      </c>
      <c r="R24" t="n">
        <f t="shared" si="3"/>
        <v>386221.88605172589</v>
      </c>
      <c r="S24" t="n">
        <f t="shared" si="8"/>
        <v>105402.44912916498</v>
      </c>
      <c r="T24" t="n">
        <f t="shared" si="9"/>
        <v>280819.43692256091</v>
      </c>
      <c r="U24" t="n">
        <f t="shared" si="10"/>
        <v>0</v>
      </c>
      <c r="V24" t="n">
        <f t="shared" si="11"/>
        <v>386221.88605172589</v>
      </c>
      <c r="W24" t="n">
        <f t="shared" si="4"/>
        <v>1457.410101441091</v>
      </c>
      <c r="X24" t="n">
        <f t="shared" si="5"/>
        <v>981216.78012017137</v>
      </c>
      <c r="Y24" t="n">
        <f t="shared" si="6"/>
        <v>0.94259590913375435</v>
      </c>
      <c r="Z24" t="n">
        <f t="shared" si="7"/>
        <v>924890.9229146681</v>
      </c>
    </row>
    <row r="25">
      <c r="B25" s="52" t="n">
        <v>2023</v>
      </c>
      <c r="C25" t="str">
        <f>tbl_detail_2022!C25</f>
        <v>pneucontr</v>
      </c>
      <c r="D25" t="str">
        <f>tbl_detail_2022!D25</f>
        <v>G&amp;B Pneumatic Controllers</v>
      </c>
      <c r="E25" t="n">
        <f>tbl_detail_2022!E25</f>
        <v>0</v>
      </c>
      <c r="F25" t="n">
        <f>tbl_detail_2022!F25</f>
        <v>774.112475504656</v>
      </c>
      <c r="G25" t="n">
        <f>tbl_detail_2022!G25</f>
        <v>-22945.614896756601</v>
      </c>
      <c r="H25" t="n">
        <f>tbl_detail_2022!H25</f>
        <v>-6378.3004860782803</v>
      </c>
      <c r="I25" t="n">
        <f>tbl_detail_2022!I25</f>
        <v>-240.27057931056899</v>
      </c>
      <c r="J25" t="n">
        <f>tbl_detail_2022!J25</f>
        <v>-520397.79210635601</v>
      </c>
      <c r="K25" t="n">
        <f>tbl_detail_2022!K25</f>
        <v>3486630.8146549901</v>
      </c>
      <c r="L25" t="n">
        <f>tbl_detail_2022!L25</f>
        <v>4112773.2556099002</v>
      </c>
      <c r="M25" t="n">
        <f>tbl_detail_2022!M25</f>
        <v>-626142.44095491304</v>
      </c>
      <c r="N25" t="n">
        <f>tbl_detail_2022!N25</f>
        <v>39298272.042799696</v>
      </c>
      <c r="O25" t="n">
        <f>tbl_detail_2022!O25</f>
        <v>-986042.07100339397</v>
      </c>
      <c r="P25" t="n">
        <f t="shared" si="1"/>
        <v>2</v>
      </c>
      <c r="Q25" t="n">
        <f t="shared" si="2"/>
        <v>0.87343872827321156</v>
      </c>
      <c r="R25" t="n">
        <f t="shared" si="3"/>
        <v>3045358.384710446</v>
      </c>
      <c r="S25" t="n">
        <f t="shared" si="8"/>
        <v>3592255.4420559872</v>
      </c>
      <c r="T25" t="n">
        <f t="shared" si="9"/>
        <v>-546897.05734554376</v>
      </c>
      <c r="U25" t="n">
        <f t="shared" si="10"/>
        <v>34324632.756397672</v>
      </c>
      <c r="V25" t="n">
        <f t="shared" si="11"/>
        <v>-861247.33252108819</v>
      </c>
      <c r="W25" t="n">
        <f t="shared" si="4"/>
        <v>1457.410101441091</v>
      </c>
      <c r="X25" t="n">
        <f t="shared" si="5"/>
        <v>33441170.934310246</v>
      </c>
      <c r="Y25" t="n">
        <f t="shared" si="6"/>
        <v>0.94259590913375435</v>
      </c>
      <c r="Z25" t="n">
        <f t="shared" si="7"/>
        <v>31521510.919323448</v>
      </c>
    </row>
    <row r="26">
      <c r="B26" s="52" t="n">
        <v>2023</v>
      </c>
      <c r="C26" t="str">
        <f>tbl_detail_2022!C26</f>
        <v>pneucontr</v>
      </c>
      <c r="D26" t="str">
        <f>tbl_detail_2022!D26</f>
        <v>T&amp;S Pneumatic Controllers</v>
      </c>
      <c r="E26" t="n">
        <f>tbl_detail_2022!E26</f>
        <v>0</v>
      </c>
      <c r="F26" t="n">
        <f>tbl_detail_2022!F26</f>
        <v>7452.6991104134004</v>
      </c>
      <c r="G26" t="n">
        <f>tbl_detail_2022!G26</f>
        <v>-2756.3174478921101</v>
      </c>
      <c r="H26" t="n">
        <f>tbl_detail_2022!H26</f>
        <v>-76.280227585111604</v>
      </c>
      <c r="I26" t="n">
        <f>tbl_detail_2022!I26</f>
        <v>-2.2656520423205402</v>
      </c>
      <c r="J26" t="n">
        <f>tbl_detail_2022!J26</f>
        <v>-62512.228183086598</v>
      </c>
      <c r="K26" t="n">
        <f>tbl_detail_2022!K26</f>
        <v>585305.34583351202</v>
      </c>
      <c r="L26" t="n">
        <f>tbl_detail_2022!L26</f>
        <v>441337.52474469697</v>
      </c>
      <c r="M26" t="n">
        <f>tbl_detail_2022!M26</f>
        <v>143967.82108881499</v>
      </c>
      <c r="N26" t="n">
        <f>tbl_detail_2022!N26</f>
        <v>14560964.484884201</v>
      </c>
      <c r="O26" t="n">
        <f>tbl_detail_2022!O26</f>
        <v>-924206.26052206499</v>
      </c>
      <c r="P26" t="n">
        <f t="shared" si="1"/>
        <v>2</v>
      </c>
      <c r="Q26" t="n">
        <f t="shared" si="2"/>
        <v>0.87343872827321156</v>
      </c>
      <c r="R26" t="n">
        <f t="shared" si="3"/>
        <v>511228.356916335</v>
      </c>
      <c r="S26" t="n">
        <f t="shared" si="8"/>
        <v>385481.28635225515</v>
      </c>
      <c r="T26" t="n">
        <f t="shared" si="9"/>
        <v>125747.07056407981</v>
      </c>
      <c r="U26" t="n">
        <f t="shared" si="10"/>
        <v>12718110.302108655</v>
      </c>
      <c r="V26" t="n">
        <f t="shared" si="11"/>
        <v>-807237.54085253284</v>
      </c>
      <c r="W26" t="n">
        <f t="shared" si="4"/>
        <v>1457.410101441091</v>
      </c>
      <c r="X26" t="n">
        <f t="shared" si="5"/>
        <v>4017084.8913362892</v>
      </c>
      <c r="Y26" t="n">
        <f t="shared" si="6"/>
        <v>0.94259590913375435</v>
      </c>
      <c r="Z26" t="n">
        <f t="shared" si="7"/>
        <v>3786487.7852165983</v>
      </c>
    </row>
    <row r="27">
      <c r="B27" s="52" t="n">
        <v>2023</v>
      </c>
      <c r="C27" t="str">
        <f>tbl_detail_2022!C27</f>
        <v>pneucontr</v>
      </c>
      <c r="D27" t="str">
        <f>tbl_detail_2022!D27</f>
        <v>Well Pad Pneumatic Controllers</v>
      </c>
      <c r="E27" t="n">
        <f>tbl_detail_2022!E27</f>
        <v>0</v>
      </c>
      <c r="F27" t="n">
        <f>tbl_detail_2022!F27</f>
        <v>65047.524260047197</v>
      </c>
      <c r="G27" t="n">
        <f>tbl_detail_2022!G27</f>
        <v>-78684.541993756196</v>
      </c>
      <c r="H27" t="n">
        <f>tbl_detail_2022!H27</f>
        <v>-21872.312191405399</v>
      </c>
      <c r="I27" t="n">
        <f>tbl_detail_2022!I27</f>
        <v>-823.93000025024196</v>
      </c>
      <c r="J27" t="n">
        <f>tbl_detail_2022!J27</f>
        <v>-1784535.39426562</v>
      </c>
      <c r="K27" t="n">
        <f>tbl_detail_2022!K27</f>
        <v>22059147.9913752</v>
      </c>
      <c r="L27" t="n">
        <f>tbl_detail_2022!L27</f>
        <v>14103421.564334599</v>
      </c>
      <c r="M27" t="n">
        <f>tbl_detail_2022!M27</f>
        <v>7955726.4270405499</v>
      </c>
      <c r="N27" t="n">
        <f>tbl_detail_2022!N27</f>
        <v>226156421.56940299</v>
      </c>
      <c r="O27" t="n">
        <f>tbl_detail_2022!O27</f>
        <v>-3902851.4556028298</v>
      </c>
      <c r="P27" t="n">
        <f t="shared" si="1"/>
        <v>2</v>
      </c>
      <c r="Q27" t="n">
        <f t="shared" si="2"/>
        <v>0.87343872827321156</v>
      </c>
      <c r="R27" t="n">
        <f t="shared" si="3"/>
        <v>19267314.168377325</v>
      </c>
      <c r="S27" t="n">
        <f t="shared" si="8"/>
        <v>12318474.5954534</v>
      </c>
      <c r="T27" t="n">
        <f t="shared" si="9"/>
        <v>6948839.5729238791</v>
      </c>
      <c r="U27" t="n">
        <f t="shared" si="10"/>
        <v>197533777.24639967</v>
      </c>
      <c r="V27" t="n">
        <f t="shared" si="11"/>
        <v>-3408901.6120209885</v>
      </c>
      <c r="W27" t="n">
        <f t="shared" si="4"/>
        <v>1457.410101441091</v>
      </c>
      <c r="X27" t="n">
        <f t="shared" si="5"/>
        <v>114675646.32896601</v>
      </c>
      <c r="Y27" t="n">
        <f t="shared" si="6"/>
        <v>0.94259590913375435</v>
      </c>
      <c r="Z27" t="n">
        <f t="shared" si="7"/>
        <v>108092795.10695259</v>
      </c>
    </row>
    <row r="28">
      <c r="B28" s="52" t="n">
        <v>2023</v>
      </c>
      <c r="C28" t="str">
        <f>tbl_detail_2022!C28</f>
        <v>pumps</v>
      </c>
      <c r="D28" t="str">
        <f>tbl_detail_2022!D28</f>
        <v>G&amp;B Pneumatic Pumps</v>
      </c>
      <c r="E28" t="n">
        <f>tbl_detail_2022!E28</f>
        <v>0</v>
      </c>
      <c r="F28" t="n">
        <f>tbl_detail_2022!F28</f>
        <v>82.920540594978405</v>
      </c>
      <c r="G28" t="n">
        <f>tbl_detail_2022!G28</f>
        <v>-3303.9983588742698</v>
      </c>
      <c r="H28" t="n">
        <f>tbl_detail_2022!H28</f>
        <v>-918.42796252056201</v>
      </c>
      <c r="I28" t="n">
        <f>tbl_detail_2022!I28</f>
        <v>-34.597181348149597</v>
      </c>
      <c r="J28" t="n">
        <f>tbl_detail_2022!J28</f>
        <v>-74933.422303894506</v>
      </c>
      <c r="K28" t="n">
        <f>tbl_detail_2022!K28</f>
        <v>1365017.6511854799</v>
      </c>
      <c r="L28" t="n">
        <f>tbl_detail_2022!L28</f>
        <v>592208.84461361205</v>
      </c>
      <c r="M28" t="n">
        <f>tbl_detail_2022!M28</f>
        <v>772808.80657186697</v>
      </c>
      <c r="N28" t="n">
        <f>tbl_detail_2022!N28</f>
        <v>12300390.558984401</v>
      </c>
      <c r="O28" t="n">
        <f>tbl_detail_2022!O28</f>
        <v>-105621.785159438</v>
      </c>
      <c r="P28" t="n">
        <f t="shared" si="1"/>
        <v>2</v>
      </c>
      <c r="Q28" t="n">
        <f t="shared" si="2"/>
        <v>0.87343872827321156</v>
      </c>
      <c r="R28" t="n">
        <f t="shared" si="3"/>
        <v>1192259.2813219319</v>
      </c>
      <c r="S28" t="n">
        <f t="shared" si="8"/>
        <v>517258.14011146128</v>
      </c>
      <c r="T28" t="n">
        <f t="shared" si="9"/>
        <v>675001.14121046988</v>
      </c>
      <c r="U28" t="n">
        <f t="shared" si="10"/>
        <v>10743637.487103153</v>
      </c>
      <c r="V28" t="n">
        <f t="shared" si="11"/>
        <v>-92254.157707605904</v>
      </c>
      <c r="W28" t="n">
        <f t="shared" si="4"/>
        <v>1457.410101441091</v>
      </c>
      <c r="X28" t="n">
        <f t="shared" si="5"/>
        <v>4815280.5833681477</v>
      </c>
      <c r="Y28" t="n">
        <f t="shared" si="6"/>
        <v>0.94259590913375435</v>
      </c>
      <c r="Z28" t="n">
        <f t="shared" si="7"/>
        <v>4538863.7792140143</v>
      </c>
    </row>
    <row r="29">
      <c r="B29" s="52" t="n">
        <v>2023</v>
      </c>
      <c r="C29" t="str">
        <f>tbl_detail_2022!C29</f>
        <v>pumps</v>
      </c>
      <c r="D29" t="str">
        <f>tbl_detail_2022!D29</f>
        <v>Well Pad Pumps</v>
      </c>
      <c r="E29" t="n">
        <f>tbl_detail_2022!E29</f>
        <v>0</v>
      </c>
      <c r="F29" t="n">
        <f>tbl_detail_2022!F29</f>
        <v>3404.2189322352301</v>
      </c>
      <c r="G29" t="n">
        <f>tbl_detail_2022!G29</f>
        <v>-5708.1665260119598</v>
      </c>
      <c r="H29" t="n">
        <f>tbl_detail_2022!H29</f>
        <v>-1586.7258947427199</v>
      </c>
      <c r="I29" t="n">
        <f>tbl_detail_2022!I29</f>
        <v>-59.771964454958102</v>
      </c>
      <c r="J29" t="n">
        <f>tbl_detail_2022!J29</f>
        <v>-129459.039144422</v>
      </c>
      <c r="K29" t="n">
        <f>tbl_detail_2022!K29</f>
        <v>2927206.76750489</v>
      </c>
      <c r="L29" t="n">
        <f>tbl_detail_2022!L29</f>
        <v>1023132.07697337</v>
      </c>
      <c r="M29" t="n">
        <f>tbl_detail_2022!M29</f>
        <v>1904074.6905315199</v>
      </c>
      <c r="N29" t="n">
        <f>tbl_detail_2022!N29</f>
        <v>26248132.284470201</v>
      </c>
      <c r="O29" t="n">
        <f>tbl_detail_2022!O29</f>
        <v>-204253.13593411399</v>
      </c>
      <c r="P29" t="n">
        <f t="shared" si="1"/>
        <v>2</v>
      </c>
      <c r="Q29" t="n">
        <f t="shared" si="2"/>
        <v>0.87343872827321156</v>
      </c>
      <c r="R29" t="n">
        <f t="shared" si="3"/>
        <v>2556735.7564022094</v>
      </c>
      <c r="S29" t="n">
        <f t="shared" si="8"/>
        <v>893643.18016714999</v>
      </c>
      <c r="T29" t="n">
        <f t="shared" si="9"/>
        <v>1663092.5762350596</v>
      </c>
      <c r="U29" t="n">
        <f t="shared" si="10"/>
        <v>22926135.28209468</v>
      </c>
      <c r="V29" t="n">
        <f t="shared" si="11"/>
        <v>-178402.59929610795</v>
      </c>
      <c r="W29" t="n">
        <f t="shared" si="4"/>
        <v>1457.410101441091</v>
      </c>
      <c r="X29" t="n">
        <f t="shared" si="5"/>
        <v>8319139.55571773</v>
      </c>
      <c r="Y29" t="n">
        <f t="shared" si="6"/>
        <v>0.94259590913375435</v>
      </c>
      <c r="Z29" t="n">
        <f t="shared" si="7"/>
        <v>7841586.9127323311</v>
      </c>
    </row>
    <row r="30">
      <c r="B30" s="52" t="n">
        <v>2023</v>
      </c>
      <c r="C30" t="str">
        <f>tbl_detail_2022!C30</f>
        <v>Storage vessels</v>
      </c>
      <c r="D30" t="n">
        <f>tbl_detail_2022!D30</f>
        <v>0</v>
      </c>
      <c r="E30" t="n">
        <f>tbl_detail_2022!E30</f>
        <v>0</v>
      </c>
      <c r="F30" t="n">
        <f>tbl_detail_2022!F30</f>
        <v>2068.92915531995</v>
      </c>
      <c r="G30" t="n">
        <f>tbl_detail_2022!G30</f>
        <v>-5272.3141257605903</v>
      </c>
      <c r="H30" t="n">
        <f>tbl_detail_2022!H30</f>
        <v>-25010.152493042999</v>
      </c>
      <c r="I30" t="n">
        <f>tbl_detail_2022!I30</f>
        <v>-942.13244441292898</v>
      </c>
      <c r="J30" t="n">
        <f>tbl_detail_2022!J30</f>
        <v>-119574.072984411</v>
      </c>
      <c r="K30" t="n">
        <f>tbl_detail_2022!K30</f>
        <v>64100497.123221897</v>
      </c>
      <c r="L30" t="n">
        <f>tbl_detail_2022!L30</f>
        <v>0</v>
      </c>
      <c r="M30" t="n">
        <f>tbl_detail_2022!M30</f>
        <v>64100497.123221897</v>
      </c>
      <c r="N30" t="n">
        <f>tbl_detail_2022!N30</f>
        <v>164173666.332948</v>
      </c>
      <c r="O30" t="n">
        <f>tbl_detail_2022!O30</f>
        <v>47254341.907507598</v>
      </c>
      <c r="P30" t="n">
        <f t="shared" si="1"/>
        <v>2</v>
      </c>
      <c r="Q30" t="n">
        <f t="shared" si="2"/>
        <v>0.87343872827321156</v>
      </c>
      <c r="R30" t="n">
        <f t="shared" si="3"/>
        <v>55987856.68898759</v>
      </c>
      <c r="S30" t="n">
        <f t="shared" si="8"/>
        <v>0</v>
      </c>
      <c r="T30" t="n">
        <f t="shared" si="9"/>
        <v>55987856.68898759</v>
      </c>
      <c r="U30" t="n">
        <f t="shared" si="10"/>
        <v>143395638.33780068</v>
      </c>
      <c r="V30" t="n">
        <f t="shared" si="11"/>
        <v>41273772.301080965</v>
      </c>
      <c r="W30" t="n">
        <f t="shared" si="4"/>
        <v>1457.410101441091</v>
      </c>
      <c r="X30" t="n">
        <f t="shared" si="5"/>
        <v>7683923.8648540387</v>
      </c>
      <c r="Y30" t="n">
        <f t="shared" si="6"/>
        <v>0.94259590913375435</v>
      </c>
      <c r="Z30" t="n">
        <f t="shared" si="7"/>
        <v>7242835.2011066442</v>
      </c>
    </row>
    <row r="31">
      <c r="B31" s="52" t="n">
        <v>2024</v>
      </c>
      <c r="C31" t="str">
        <f>tbl_detail_2022!C31</f>
        <v>fugitives</v>
      </c>
      <c r="D31" t="str">
        <f>tbl_detail_2022!D31</f>
        <v>G&amp;B Stations</v>
      </c>
      <c r="E31" t="n">
        <f>tbl_detail_2022!E31</f>
        <v>0</v>
      </c>
      <c r="F31" t="n">
        <f>tbl_detail_2022!F31</f>
        <v>0</v>
      </c>
      <c r="G31" t="n">
        <f>tbl_detail_2022!G31</f>
        <v>0</v>
      </c>
      <c r="H31" t="n">
        <f>tbl_detail_2022!H31</f>
        <v>0</v>
      </c>
      <c r="I31" t="n">
        <f>tbl_detail_2022!I31</f>
        <v>0</v>
      </c>
      <c r="J31" t="n">
        <f>tbl_detail_2022!J31</f>
        <v>0</v>
      </c>
      <c r="K31" t="n">
        <f>tbl_detail_2022!K31</f>
        <v>0</v>
      </c>
      <c r="L31" t="n">
        <f>tbl_detail_2022!L31</f>
        <v>0</v>
      </c>
      <c r="M31" t="n">
        <f>tbl_detail_2022!M31</f>
        <v>0</v>
      </c>
      <c r="N31" t="n">
        <f>tbl_detail_2022!N31</f>
        <v>0</v>
      </c>
      <c r="O31" t="n">
        <f>tbl_detail_2022!O31</f>
        <v>0</v>
      </c>
      <c r="P31" t="n">
        <f t="shared" si="1"/>
        <v>3</v>
      </c>
      <c r="Q31" t="n">
        <f t="shared" si="2"/>
        <v>0.81629787689085187</v>
      </c>
      <c r="R31" t="n">
        <f t="shared" si="3"/>
        <v>0</v>
      </c>
      <c r="S31" t="n">
        <f t="shared" si="8"/>
        <v>0</v>
      </c>
      <c r="T31" t="n">
        <f t="shared" si="9"/>
        <v>0</v>
      </c>
      <c r="U31" t="n">
        <f t="shared" si="10"/>
        <v>0</v>
      </c>
      <c r="V31" t="n">
        <f t="shared" si="11"/>
        <v>0</v>
      </c>
      <c r="W31" t="n">
        <f t="shared" si="4"/>
        <v>1499.4833400558439</v>
      </c>
      <c r="X31" t="n">
        <f t="shared" si="5"/>
        <v>0</v>
      </c>
      <c r="Y31" t="n">
        <f t="shared" si="6"/>
        <v>0.91514165935315961</v>
      </c>
      <c r="Z31" t="n">
        <f t="shared" si="7"/>
        <v>0</v>
      </c>
    </row>
    <row r="32">
      <c r="B32" s="52" t="n">
        <v>2024</v>
      </c>
      <c r="C32" t="str">
        <f>tbl_detail_2022!C32</f>
        <v>fugitives</v>
      </c>
      <c r="D32" t="str">
        <f>tbl_detail_2022!D32</f>
        <v>Processing Plants</v>
      </c>
      <c r="E32" t="str">
        <f>tbl_detail_2022!E32</f>
        <v>Large Plants</v>
      </c>
      <c r="F32" t="n">
        <f>tbl_detail_2022!F32</f>
        <v>6.5738172869065297</v>
      </c>
      <c r="G32" t="n">
        <f>tbl_detail_2022!G32</f>
        <v>-103.809533612362</v>
      </c>
      <c r="H32" t="n">
        <f>tbl_detail_2022!H32</f>
        <v>-4.3771874346832202</v>
      </c>
      <c r="I32" t="n">
        <f>tbl_detail_2022!I32</f>
        <v>-0.143512237213961</v>
      </c>
      <c r="J32" t="n">
        <f>tbl_detail_2022!J32</f>
        <v>-2354.3606189913098</v>
      </c>
      <c r="K32" t="n">
        <f>tbl_detail_2022!K32</f>
        <v>-189767.32154731499</v>
      </c>
      <c r="L32" t="n">
        <f>tbl_detail_2022!L32</f>
        <v>16113.8041237338</v>
      </c>
      <c r="M32" t="n">
        <f>tbl_detail_2022!M32</f>
        <v>-205881.12567104801</v>
      </c>
      <c r="N32" t="n">
        <f>tbl_detail_2022!N32</f>
        <v>-28445.4552185518</v>
      </c>
      <c r="O32" t="n">
        <f>tbl_detail_2022!O32</f>
        <v>-170316.15754650999</v>
      </c>
      <c r="P32" t="n">
        <f t="shared" si="1"/>
        <v>3</v>
      </c>
      <c r="Q32" t="n">
        <f t="shared" si="2"/>
        <v>0.81629787689085187</v>
      </c>
      <c r="R32" t="n">
        <f t="shared" si="3"/>
        <v>-154906.66168233682</v>
      </c>
      <c r="S32" t="n">
        <f t="shared" si="8"/>
        <v>13153.664094838954</v>
      </c>
      <c r="T32" t="n">
        <f t="shared" si="9"/>
        <v>-168060.32577717514</v>
      </c>
      <c r="U32" t="n">
        <f t="shared" si="10"/>
        <v>-23219.964702097637</v>
      </c>
      <c r="V32" t="n">
        <f t="shared" si="11"/>
        <v>-139028.71780542395</v>
      </c>
      <c r="W32" t="n">
        <f t="shared" si="4"/>
        <v>1499.4833400558439</v>
      </c>
      <c r="X32" t="n">
        <f t="shared" si="5"/>
        <v>155660.66619070398</v>
      </c>
      <c r="Y32" t="n">
        <f t="shared" si="6"/>
        <v>0.91514165935315961</v>
      </c>
      <c r="Z32" t="n">
        <f t="shared" si="7"/>
        <v>142451.56035377912</v>
      </c>
    </row>
    <row r="33">
      <c r="B33" s="52" t="n">
        <v>2024</v>
      </c>
      <c r="C33" t="str">
        <f>tbl_detail_2022!C33</f>
        <v>fugitives</v>
      </c>
      <c r="D33" t="str">
        <f>tbl_detail_2022!D33</f>
        <v>Processing Plants</v>
      </c>
      <c r="E33" t="str">
        <f>tbl_detail_2022!E33</f>
        <v>Small Plants</v>
      </c>
      <c r="F33" t="n">
        <f>tbl_detail_2022!F33</f>
        <v>27.284250509373098</v>
      </c>
      <c r="G33" t="n">
        <f>tbl_detail_2022!G33</f>
        <v>-206.71632212378</v>
      </c>
      <c r="H33" t="n">
        <f>tbl_detail_2022!H33</f>
        <v>-8.9451992414914798</v>
      </c>
      <c r="I33" t="n">
        <f>tbl_detail_2022!I33</f>
        <v>-0.29461013412014603</v>
      </c>
      <c r="J33" t="n">
        <f>tbl_detail_2022!J33</f>
        <v>-4688.2473234904501</v>
      </c>
      <c r="K33" t="n">
        <f>tbl_detail_2022!K33</f>
        <v>-365379.60684227798</v>
      </c>
      <c r="L33" t="n">
        <f>tbl_detail_2022!L33</f>
        <v>32087.4799064176</v>
      </c>
      <c r="M33" t="n">
        <f>tbl_detail_2022!M33</f>
        <v>-397467.086748695</v>
      </c>
      <c r="N33" t="n">
        <f>tbl_detail_2022!N33</f>
        <v>-57637.979201050701</v>
      </c>
      <c r="O33" t="n">
        <f>tbl_detail_2022!O33</f>
        <v>-325966.42897253501</v>
      </c>
      <c r="P33" t="n">
        <f t="shared" si="1"/>
        <v>3</v>
      </c>
      <c r="Q33" t="n">
        <f t="shared" si="2"/>
        <v>0.81629787689085187</v>
      </c>
      <c r="R33" t="n">
        <f t="shared" si="3"/>
        <v>-298258.59732456569</v>
      </c>
      <c r="S33" t="n">
        <f t="shared" si="8"/>
        <v>26192.941722386557</v>
      </c>
      <c r="T33" t="n">
        <f t="shared" si="9"/>
        <v>-324451.53904695174</v>
      </c>
      <c r="U33" t="n">
        <f t="shared" si="10"/>
        <v>-47049.760050096767</v>
      </c>
      <c r="V33" t="n">
        <f t="shared" si="11"/>
        <v>-266085.70390797302</v>
      </c>
      <c r="W33" t="n">
        <f t="shared" si="4"/>
        <v>1499.4833400558439</v>
      </c>
      <c r="X33" t="n">
        <f t="shared" si="5"/>
        <v>309967.6811422254</v>
      </c>
      <c r="Y33" t="n">
        <f t="shared" si="6"/>
        <v>0.91514165935315961</v>
      </c>
      <c r="Z33" t="n">
        <f t="shared" si="7"/>
        <v>283664.33806634723</v>
      </c>
    </row>
    <row r="34">
      <c r="B34" s="52" t="n">
        <v>2024</v>
      </c>
      <c r="C34" t="str">
        <f>tbl_detail_2022!C34</f>
        <v>fugitives</v>
      </c>
      <c r="D34" t="str">
        <f>tbl_detail_2022!D34</f>
        <v>T&amp;S Compressor Stations</v>
      </c>
      <c r="E34" t="str">
        <f>tbl_detail_2022!E34</f>
        <v>Compressor Stations (Transmission)</v>
      </c>
      <c r="F34" t="n">
        <f>tbl_detail_2022!F34</f>
        <v>0</v>
      </c>
      <c r="G34" t="n">
        <f>tbl_detail_2022!G34</f>
        <v>0</v>
      </c>
      <c r="H34" t="n">
        <f>tbl_detail_2022!H34</f>
        <v>0</v>
      </c>
      <c r="I34" t="n">
        <f>tbl_detail_2022!I34</f>
        <v>0</v>
      </c>
      <c r="J34" t="n">
        <f>tbl_detail_2022!J34</f>
        <v>0</v>
      </c>
      <c r="K34" t="n">
        <f>tbl_detail_2022!K34</f>
        <v>0</v>
      </c>
      <c r="L34" t="n">
        <f>tbl_detail_2022!L34</f>
        <v>0</v>
      </c>
      <c r="M34" t="n">
        <f>tbl_detail_2022!M34</f>
        <v>0</v>
      </c>
      <c r="N34" t="n">
        <f>tbl_detail_2022!N34</f>
        <v>0</v>
      </c>
      <c r="O34" t="n">
        <f>tbl_detail_2022!O34</f>
        <v>0</v>
      </c>
      <c r="P34" t="n">
        <f t="shared" si="1"/>
        <v>3</v>
      </c>
      <c r="Q34" t="n">
        <f t="shared" si="2"/>
        <v>0.81629787689085187</v>
      </c>
      <c r="R34" t="n">
        <f t="shared" si="3"/>
        <v>0</v>
      </c>
      <c r="S34" t="n">
        <f t="shared" si="8"/>
        <v>0</v>
      </c>
      <c r="T34" t="n">
        <f t="shared" si="9"/>
        <v>0</v>
      </c>
      <c r="U34" t="n">
        <f t="shared" si="10"/>
        <v>0</v>
      </c>
      <c r="V34" t="n">
        <f t="shared" si="11"/>
        <v>0</v>
      </c>
      <c r="W34" t="n">
        <f t="shared" si="4"/>
        <v>1499.4833400558439</v>
      </c>
      <c r="X34" t="n">
        <f t="shared" si="5"/>
        <v>0</v>
      </c>
      <c r="Y34" t="n">
        <f t="shared" si="6"/>
        <v>0.91514165935315961</v>
      </c>
      <c r="Z34" t="n">
        <f t="shared" si="7"/>
        <v>0</v>
      </c>
    </row>
    <row r="35">
      <c r="B35" s="52" t="n">
        <v>2024</v>
      </c>
      <c r="C35" t="str">
        <f>tbl_detail_2022!C35</f>
        <v>fugitives</v>
      </c>
      <c r="D35" t="str">
        <f>tbl_detail_2022!D35</f>
        <v>T&amp;S Compressor Stations</v>
      </c>
      <c r="E35" t="str">
        <f>tbl_detail_2022!E35</f>
        <v>Compressor Stations (Storage)</v>
      </c>
      <c r="F35" t="n">
        <f>tbl_detail_2022!F35</f>
        <v>0</v>
      </c>
      <c r="G35" t="n">
        <f>tbl_detail_2022!G35</f>
        <v>0</v>
      </c>
      <c r="H35" t="n">
        <f>tbl_detail_2022!H35</f>
        <v>0</v>
      </c>
      <c r="I35" t="n">
        <f>tbl_detail_2022!I35</f>
        <v>0</v>
      </c>
      <c r="J35" t="n">
        <f>tbl_detail_2022!J35</f>
        <v>0</v>
      </c>
      <c r="K35" t="n">
        <f>tbl_detail_2022!K35</f>
        <v>0</v>
      </c>
      <c r="L35" t="n">
        <f>tbl_detail_2022!L35</f>
        <v>0</v>
      </c>
      <c r="M35" t="n">
        <f>tbl_detail_2022!M35</f>
        <v>0</v>
      </c>
      <c r="N35" t="n">
        <f>tbl_detail_2022!N35</f>
        <v>0</v>
      </c>
      <c r="O35" t="n">
        <f>tbl_detail_2022!O35</f>
        <v>0</v>
      </c>
      <c r="P35" t="n">
        <f t="shared" si="1"/>
        <v>3</v>
      </c>
      <c r="Q35" t="n">
        <f t="shared" si="2"/>
        <v>0.81629787689085187</v>
      </c>
      <c r="R35" t="n">
        <f t="shared" si="3"/>
        <v>0</v>
      </c>
      <c r="S35" t="n">
        <f t="shared" si="8"/>
        <v>0</v>
      </c>
      <c r="T35" t="n">
        <f t="shared" si="9"/>
        <v>0</v>
      </c>
      <c r="U35" t="n">
        <f t="shared" si="10"/>
        <v>0</v>
      </c>
      <c r="V35" t="n">
        <f t="shared" si="11"/>
        <v>0</v>
      </c>
      <c r="W35" t="n">
        <f t="shared" si="4"/>
        <v>1499.4833400558439</v>
      </c>
      <c r="X35" t="n">
        <f t="shared" si="5"/>
        <v>0</v>
      </c>
      <c r="Y35" t="n">
        <f t="shared" si="6"/>
        <v>0.91514165935315961</v>
      </c>
      <c r="Z35" t="n">
        <f t="shared" si="7"/>
        <v>0</v>
      </c>
    </row>
    <row r="36">
      <c r="B36" s="52" t="n">
        <v>2024</v>
      </c>
      <c r="C36" t="str">
        <f>tbl_detail_2022!C36</f>
        <v>fugitives</v>
      </c>
      <c r="D36" t="str">
        <f>tbl_detail_2022!D36</f>
        <v>Wellpad Fugitives</v>
      </c>
      <c r="E36" t="str">
        <f>tbl_detail_2022!E36</f>
        <v>1: No equipment, no tanks</v>
      </c>
      <c r="F36" t="n">
        <f>tbl_detail_2022!F36</f>
        <v>6029.9632128069998</v>
      </c>
      <c r="G36" t="n">
        <f>tbl_detail_2022!G36</f>
        <v>-807.49789139634095</v>
      </c>
      <c r="H36" t="n">
        <f>tbl_detail_2022!H36</f>
        <v>-224.463986534024</v>
      </c>
      <c r="I36" t="n">
        <f>tbl_detail_2022!I36</f>
        <v>-8.4555583727366894</v>
      </c>
      <c r="J36" t="n">
        <f>tbl_detail_2022!J36</f>
        <v>-18313.744116423499</v>
      </c>
      <c r="K36" t="n">
        <f>tbl_detail_2022!K36</f>
        <v>4606782.1509512402</v>
      </c>
      <c r="L36" t="n">
        <f>tbl_detail_2022!L36</f>
        <v>131542.762841569</v>
      </c>
      <c r="M36" t="n">
        <f>tbl_detail_2022!M36</f>
        <v>4475239.3881096803</v>
      </c>
      <c r="N36" t="n">
        <f>tbl_detail_2022!N36</f>
        <v>301918.05668035598</v>
      </c>
      <c r="O36" t="n">
        <f>tbl_detail_2022!O36</f>
        <v>4475910.8523007696</v>
      </c>
      <c r="P36" t="n">
        <f t="shared" si="1"/>
        <v>3</v>
      </c>
      <c r="Q36" t="n">
        <f t="shared" si="2"/>
        <v>0.81629787689085187</v>
      </c>
      <c r="R36" t="n">
        <f t="shared" si="3"/>
        <v>3760506.4891201691</v>
      </c>
      <c r="S36" t="n">
        <f t="shared" si="8"/>
        <v>107378.07802792962</v>
      </c>
      <c r="T36" t="n">
        <f t="shared" si="9"/>
        <v>3653128.4110922469</v>
      </c>
      <c r="U36" t="n">
        <f t="shared" si="10"/>
        <v>246455.06866318645</v>
      </c>
      <c r="V36" t="n">
        <f t="shared" si="11"/>
        <v>3653676.5258858413</v>
      </c>
      <c r="W36" t="n">
        <f t="shared" si="4"/>
        <v>1499.4833400558439</v>
      </c>
      <c r="X36" t="n">
        <f t="shared" si="5"/>
        <v>1210829.6352790364</v>
      </c>
      <c r="Y36" t="n">
        <f t="shared" si="6"/>
        <v>0.91514165935315961</v>
      </c>
      <c r="Z36" t="n">
        <f t="shared" si="7"/>
        <v>1108080.6416232383</v>
      </c>
    </row>
    <row r="37">
      <c r="B37" s="52" t="n">
        <v>2024</v>
      </c>
      <c r="C37" t="str">
        <f>tbl_detail_2022!C37</f>
        <v>fugitives</v>
      </c>
      <c r="D37" t="str">
        <f>tbl_detail_2022!D37</f>
        <v>Wellpad Fugitives</v>
      </c>
      <c r="E37" t="str">
        <f>tbl_detail_2022!E37</f>
        <v>2: Tanks, no equipment</v>
      </c>
      <c r="F37" t="n">
        <f>tbl_detail_2022!F37</f>
        <v>1143.2906312697701</v>
      </c>
      <c r="G37" t="n">
        <f>tbl_detail_2022!G37</f>
        <v>-430.26558031135102</v>
      </c>
      <c r="H37" t="n">
        <f>tbl_detail_2022!H37</f>
        <v>-119.602946898171</v>
      </c>
      <c r="I37" t="n">
        <f>tbl_detail_2022!I37</f>
        <v>-4.5054430096540896</v>
      </c>
      <c r="J37" t="n">
        <f>tbl_detail_2022!J37</f>
        <v>-9758.2592151425597</v>
      </c>
      <c r="K37" t="n">
        <f>tbl_detail_2022!K37</f>
        <v>1883599.3168106701</v>
      </c>
      <c r="L37" t="n">
        <f>tbl_detail_2022!L37</f>
        <v>70090.9857385699</v>
      </c>
      <c r="M37" t="n">
        <f>tbl_detail_2022!M37</f>
        <v>1813508.3310721</v>
      </c>
      <c r="N37" t="n">
        <f>tbl_detail_2022!N37</f>
        <v>232243.23642231</v>
      </c>
      <c r="O37" t="n">
        <f>tbl_detail_2022!O37</f>
        <v>1782929.7037124501</v>
      </c>
      <c r="P37" t="n">
        <f t="shared" si="1"/>
        <v>3</v>
      </c>
      <c r="Q37" t="n">
        <f t="shared" si="2"/>
        <v>0.81629787689085187</v>
      </c>
      <c r="R37" t="n">
        <f t="shared" si="3"/>
        <v>1537578.1232256091</v>
      </c>
      <c r="S37" t="n">
        <f t="shared" si="8"/>
        <v>57215.122847581588</v>
      </c>
      <c r="T37" t="n">
        <f t="shared" si="9"/>
        <v>1480363.0003780273</v>
      </c>
      <c r="U37" t="n">
        <f t="shared" si="10"/>
        <v>189579.66081379182</v>
      </c>
      <c r="V37" t="n">
        <f t="shared" si="11"/>
        <v>1455401.7317861086</v>
      </c>
      <c r="W37" t="n">
        <f t="shared" si="4"/>
        <v>1499.4833400558439</v>
      </c>
      <c r="X37" t="n">
        <f t="shared" si="5"/>
        <v>645176.06947633054</v>
      </c>
      <c r="Y37" t="n">
        <f t="shared" si="6"/>
        <v>0.91514165935315961</v>
      </c>
      <c r="Z37" t="n">
        <f t="shared" si="7"/>
        <v>590427.49879551854</v>
      </c>
    </row>
    <row r="38">
      <c r="B38" s="52" t="n">
        <v>2024</v>
      </c>
      <c r="C38" t="str">
        <f>tbl_detail_2022!C38</f>
        <v>fugitives</v>
      </c>
      <c r="D38" t="str">
        <f>tbl_detail_2022!D38</f>
        <v>Wellpad Fugitives</v>
      </c>
      <c r="E38" t="str">
        <f>tbl_detail_2022!E38</f>
        <v>3: Equipment = 1, no tanks</v>
      </c>
      <c r="F38" t="n">
        <f>tbl_detail_2022!F38</f>
        <v>427.92516497975203</v>
      </c>
      <c r="G38" t="n">
        <f>tbl_detail_2022!G38</f>
        <v>84.346864956544593</v>
      </c>
      <c r="H38" t="n">
        <f>tbl_detail_2022!H38</f>
        <v>23.446294735276599</v>
      </c>
      <c r="I38" t="n">
        <f>tbl_detail_2022!I38</f>
        <v>0.88322192267787003</v>
      </c>
      <c r="J38" t="n">
        <f>tbl_detail_2022!J38</f>
        <v>1912.9547188854499</v>
      </c>
      <c r="K38" t="n">
        <f>tbl_detail_2022!K38</f>
        <v>-531387.03309928603</v>
      </c>
      <c r="L38" t="n">
        <f>tbl_detail_2022!L38</f>
        <v>-13740.2459766459</v>
      </c>
      <c r="M38" t="n">
        <f>tbl_detail_2022!M38</f>
        <v>-517646.78712264</v>
      </c>
      <c r="N38" t="n">
        <f>tbl_detail_2022!N38</f>
        <v>-125868.906821642</v>
      </c>
      <c r="O38" t="n">
        <f>tbl_detail_2022!O38</f>
        <v>-476827.10555939702</v>
      </c>
      <c r="P38" t="n">
        <f t="shared" si="1"/>
        <v>3</v>
      </c>
      <c r="Q38" t="n">
        <f t="shared" si="2"/>
        <v>0.81629787689085187</v>
      </c>
      <c r="R38" t="n">
        <f t="shared" si="3"/>
        <v>-433770.106926276</v>
      </c>
      <c r="S38" t="n">
        <f t="shared" si="8"/>
        <v>-11216.133618694117</v>
      </c>
      <c r="T38" t="n">
        <f t="shared" si="9"/>
        <v>-422553.97330758179</v>
      </c>
      <c r="U38" t="n">
        <f t="shared" si="10"/>
        <v>-102746.52140507882</v>
      </c>
      <c r="V38" t="n">
        <f t="shared" si="11"/>
        <v>-389232.95391214592</v>
      </c>
      <c r="W38" t="n">
        <f t="shared" si="4"/>
        <v>1499.4833400558439</v>
      </c>
      <c r="X38" t="n">
        <f t="shared" si="5"/>
        <v>-126476.7187882787</v>
      </c>
      <c r="Y38" t="n">
        <f t="shared" si="6"/>
        <v>0.91514165935315961</v>
      </c>
      <c r="Z38" t="n">
        <f t="shared" si="7"/>
        <v>-115744.11430144831</v>
      </c>
    </row>
    <row r="39">
      <c r="B39" s="52" t="n">
        <v>2024</v>
      </c>
      <c r="C39" t="str">
        <f>tbl_detail_2022!C39</f>
        <v>fugitives</v>
      </c>
      <c r="D39" t="str">
        <f>tbl_detail_2022!D39</f>
        <v>Wellpad Fugitives</v>
      </c>
      <c r="E39" t="str">
        <f>tbl_detail_2022!E39</f>
        <v>4: Equipment &gt; 1, no tanks</v>
      </c>
      <c r="F39" t="n">
        <f>tbl_detail_2022!F39</f>
        <v>2053.59015075452</v>
      </c>
      <c r="G39" t="n">
        <f>tbl_detail_2022!G39</f>
        <v>-433.15193611247003</v>
      </c>
      <c r="H39" t="n">
        <f>tbl_detail_2022!H39</f>
        <v>-120.405280794739</v>
      </c>
      <c r="I39" t="n">
        <f>tbl_detail_2022!I39</f>
        <v>-4.5356669275378101</v>
      </c>
      <c r="J39" t="n">
        <f>tbl_detail_2022!J39</f>
        <v>-9823.7206635671791</v>
      </c>
      <c r="K39" t="n">
        <f>tbl_detail_2022!K39</f>
        <v>3322603.1104573002</v>
      </c>
      <c r="L39" t="n">
        <f>tbl_detail_2022!L39</f>
        <v>70561.177946708398</v>
      </c>
      <c r="M39" t="n">
        <f>tbl_detail_2022!M39</f>
        <v>3252041.9325105902</v>
      </c>
      <c r="N39" t="n">
        <f>tbl_detail_2022!N39</f>
        <v>8897.8920879981597</v>
      </c>
      <c r="O39" t="n">
        <f>tbl_detail_2022!O39</f>
        <v>3318746.1742223101</v>
      </c>
      <c r="P39" t="n">
        <f t="shared" si="1"/>
        <v>3</v>
      </c>
      <c r="Q39" t="n">
        <f t="shared" si="2"/>
        <v>0.81629787689085187</v>
      </c>
      <c r="R39" t="n">
        <f t="shared" si="3"/>
        <v>2712233.8648172347</v>
      </c>
      <c r="S39" t="n">
        <f t="shared" si="8"/>
        <v>57598.939748815661</v>
      </c>
      <c r="T39" t="n">
        <f t="shared" si="9"/>
        <v>2654634.9250684176</v>
      </c>
      <c r="U39" t="n">
        <f t="shared" si="10"/>
        <v>7263.3304202368063</v>
      </c>
      <c r="V39" t="n">
        <f t="shared" si="11"/>
        <v>2709085.4559573089</v>
      </c>
      <c r="W39" t="n">
        <f t="shared" si="4"/>
        <v>1499.4833400558439</v>
      </c>
      <c r="X39" t="n">
        <f t="shared" si="5"/>
        <v>649504.11191358208</v>
      </c>
      <c r="Y39" t="n">
        <f t="shared" si="6"/>
        <v>0.91514165935315961</v>
      </c>
      <c r="Z39" t="n">
        <f t="shared" si="7"/>
        <v>594388.27073329582</v>
      </c>
    </row>
    <row r="40">
      <c r="B40" s="52" t="n">
        <v>2024</v>
      </c>
      <c r="C40" t="str">
        <f>tbl_detail_2022!C40</f>
        <v>fugitives</v>
      </c>
      <c r="D40" t="str">
        <f>tbl_detail_2022!D40</f>
        <v>Wellpad Fugitives</v>
      </c>
      <c r="E40" t="str">
        <f>tbl_detail_2022!E40</f>
        <v>5: Equipment = 1 and tanks</v>
      </c>
      <c r="F40" t="n">
        <f>tbl_detail_2022!F40</f>
        <v>1475.7702753820099</v>
      </c>
      <c r="G40" t="n">
        <f>tbl_detail_2022!G40</f>
        <v>-219.54735037911499</v>
      </c>
      <c r="H40" t="n">
        <f>tbl_detail_2022!H40</f>
        <v>-61.028609516071597</v>
      </c>
      <c r="I40" t="n">
        <f>tbl_detail_2022!I40</f>
        <v>-2.2989477204704198</v>
      </c>
      <c r="J40" t="n">
        <f>tbl_detail_2022!J40</f>
        <v>-4979.2501492841702</v>
      </c>
      <c r="K40" t="n">
        <f>tbl_detail_2022!K40</f>
        <v>2387720.3080191598</v>
      </c>
      <c r="L40" t="n">
        <f>tbl_detail_2022!L40</f>
        <v>35764.632144704701</v>
      </c>
      <c r="M40" t="n">
        <f>tbl_detail_2022!M40</f>
        <v>2351955.67587446</v>
      </c>
      <c r="N40" t="n">
        <f>tbl_detail_2022!N40</f>
        <v>6394.2869282850197</v>
      </c>
      <c r="O40" t="n">
        <f>tbl_detail_2022!O40</f>
        <v>2384948.60021391</v>
      </c>
      <c r="P40" t="n">
        <f t="shared" si="1"/>
        <v>3</v>
      </c>
      <c r="Q40" t="n">
        <f t="shared" si="2"/>
        <v>0.81629787689085187</v>
      </c>
      <c r="R40" t="n">
        <f t="shared" si="3"/>
        <v>1949091.018045211</v>
      </c>
      <c r="S40" t="n">
        <f t="shared" si="8"/>
        <v>29194.593287504762</v>
      </c>
      <c r="T40" t="n">
        <f t="shared" si="9"/>
        <v>1919896.4247577102</v>
      </c>
      <c r="U40" t="n">
        <f t="shared" si="10"/>
        <v>5219.6428437899885</v>
      </c>
      <c r="V40" t="n">
        <f t="shared" si="11"/>
        <v>1946828.4788484238</v>
      </c>
      <c r="W40" t="n">
        <f t="shared" si="4"/>
        <v>1499.4833400558439</v>
      </c>
      <c r="X40" t="n">
        <f t="shared" si="5"/>
        <v>329207.59424688597</v>
      </c>
      <c r="Y40" t="n">
        <f t="shared" si="6"/>
        <v>0.91514165935315961</v>
      </c>
      <c r="Z40" t="n">
        <f t="shared" si="7"/>
        <v>301271.58407075692</v>
      </c>
    </row>
    <row r="41">
      <c r="B41" s="52" t="n">
        <v>2024</v>
      </c>
      <c r="C41" t="str">
        <f>tbl_detail_2022!C41</f>
        <v>fugitives</v>
      </c>
      <c r="D41" t="str">
        <f>tbl_detail_2022!D41</f>
        <v>Wellpad Fugitives</v>
      </c>
      <c r="E41" t="str">
        <f>tbl_detail_2022!E41</f>
        <v>6: Equipment &gt; 1 and tanks</v>
      </c>
      <c r="F41" t="n">
        <f>tbl_detail_2022!F41</f>
        <v>10758.872500528199</v>
      </c>
      <c r="G41" t="n">
        <f>tbl_detail_2022!G41</f>
        <v>-2690.9305384804002</v>
      </c>
      <c r="H41" t="n">
        <f>tbl_detail_2022!H41</f>
        <v>-748.01061722771897</v>
      </c>
      <c r="I41" t="n">
        <f>tbl_detail_2022!I41</f>
        <v>-28.177559950968199</v>
      </c>
      <c r="J41" t="n">
        <f>tbl_detail_2022!J41</f>
        <v>-61029.278022735001</v>
      </c>
      <c r="K41" t="n">
        <f>tbl_detail_2022!K41</f>
        <v>17407301.657604001</v>
      </c>
      <c r="L41" t="n">
        <f>tbl_detail_2022!L41</f>
        <v>438357.10460415803</v>
      </c>
      <c r="M41" t="n">
        <f>tbl_detail_2022!M41</f>
        <v>16968944.552999899</v>
      </c>
      <c r="N41" t="n">
        <f>tbl_detail_2022!N41</f>
        <v>46616.549296878002</v>
      </c>
      <c r="O41" t="n">
        <f>tbl_detail_2022!O41</f>
        <v>17387094.955122702</v>
      </c>
      <c r="P41" t="n">
        <f t="shared" si="1"/>
        <v>3</v>
      </c>
      <c r="Q41" t="n">
        <f t="shared" si="2"/>
        <v>0.81629787689085187</v>
      </c>
      <c r="R41" t="n">
        <f t="shared" si="3"/>
        <v>14209543.385500753</v>
      </c>
      <c r="S41" t="n">
        <f t="shared" si="8"/>
        <v>357829.97380839527</v>
      </c>
      <c r="T41" t="n">
        <f t="shared" si="9"/>
        <v>13851713.411692403</v>
      </c>
      <c r="U41" t="n">
        <f t="shared" si="10"/>
        <v>38052.990219019244</v>
      </c>
      <c r="V41" t="n">
        <f t="shared" si="11"/>
        <v>14193048.697166303</v>
      </c>
      <c r="W41" t="n">
        <f t="shared" si="4"/>
        <v>1499.4833400558439</v>
      </c>
      <c r="X41" t="n">
        <f t="shared" si="5"/>
        <v>4035005.5116988611</v>
      </c>
      <c r="Y41" t="n">
        <f t="shared" si="6"/>
        <v>0.91514165935315961</v>
      </c>
      <c r="Z41" t="n">
        <f t="shared" si="7"/>
        <v>3692601.6394752408</v>
      </c>
    </row>
    <row r="42">
      <c r="B42" s="52" t="n">
        <v>2024</v>
      </c>
      <c r="C42" t="str">
        <f>tbl_detail_2022!C42</f>
        <v>compressors</v>
      </c>
      <c r="D42" t="str">
        <f>tbl_detail_2022!D42</f>
        <v>G&amp;B Station Recip Comp</v>
      </c>
      <c r="E42" t="n">
        <f>tbl_detail_2022!E42</f>
        <v>0</v>
      </c>
      <c r="F42" t="n">
        <f>tbl_detail_2022!F42</f>
        <v>3003.5049566950402</v>
      </c>
      <c r="G42" t="n">
        <f>tbl_detail_2022!G42</f>
        <v>-13522.7575594299</v>
      </c>
      <c r="H42" t="n">
        <f>tbl_detail_2022!H42</f>
        <v>-3758.9845186622301</v>
      </c>
      <c r="I42" t="n">
        <f>tbl_detail_2022!I42</f>
        <v>-141.61717028370799</v>
      </c>
      <c r="J42" t="n">
        <f>tbl_detail_2022!J42</f>
        <v>-306690.98251586198</v>
      </c>
      <c r="K42" t="n">
        <f>tbl_detail_2022!K42</f>
        <v>1793092.4591469399</v>
      </c>
      <c r="L42" t="n">
        <f>tbl_detail_2022!L42</f>
        <v>2202879.9202536</v>
      </c>
      <c r="M42" t="n">
        <f>tbl_detail_2022!M42</f>
        <v>-409787.46110666601</v>
      </c>
      <c r="N42" t="n">
        <f>tbl_detail_2022!N42</f>
        <v>0</v>
      </c>
      <c r="O42" t="n">
        <f>tbl_detail_2022!O42</f>
        <v>1793092.4591469399</v>
      </c>
      <c r="P42" t="n">
        <f t="shared" si="1"/>
        <v>3</v>
      </c>
      <c r="Q42" t="n">
        <f t="shared" si="2"/>
        <v>0.81629787689085187</v>
      </c>
      <c r="R42" t="n">
        <f t="shared" si="3"/>
        <v>1463697.5674706437</v>
      </c>
      <c r="S42" t="n">
        <f t="shared" si="8"/>
        <v>1798206.2019485028</v>
      </c>
      <c r="T42" t="n">
        <f t="shared" si="9"/>
        <v>-334508.63447786402</v>
      </c>
      <c r="U42" t="n">
        <f t="shared" si="10"/>
        <v>0</v>
      </c>
      <c r="V42" t="n">
        <f t="shared" si="11"/>
        <v>1463697.5674706437</v>
      </c>
      <c r="W42" t="n">
        <f t="shared" si="4"/>
        <v>1499.4833400558439</v>
      </c>
      <c r="X42" t="n">
        <f t="shared" si="5"/>
        <v>20277149.671979357</v>
      </c>
      <c r="Y42" t="n">
        <f t="shared" si="6"/>
        <v>0.91514165935315961</v>
      </c>
      <c r="Z42" t="n">
        <f t="shared" si="7"/>
        <v>18556464.397767566</v>
      </c>
    </row>
    <row r="43">
      <c r="B43" s="52" t="n">
        <v>2024</v>
      </c>
      <c r="C43" t="str">
        <f>tbl_detail_2022!C43</f>
        <v>compressors</v>
      </c>
      <c r="D43" t="str">
        <f>tbl_detail_2022!D43</f>
        <v>Proc Recip Comp</v>
      </c>
      <c r="E43" t="n">
        <f>tbl_detail_2022!E43</f>
        <v>0</v>
      </c>
      <c r="F43" t="n">
        <f>tbl_detail_2022!F43</f>
        <v>126.014996922759</v>
      </c>
      <c r="G43" t="n">
        <f>tbl_detail_2022!G43</f>
        <v>-362.18085308010598</v>
      </c>
      <c r="H43" t="n">
        <f>tbl_detail_2022!H43</f>
        <v>-100.677115129866</v>
      </c>
      <c r="I43" t="n">
        <f>tbl_detail_2022!I43</f>
        <v>-3.7929414410285598</v>
      </c>
      <c r="J43" t="n">
        <f>tbl_detail_2022!J43</f>
        <v>-8214.1235758613493</v>
      </c>
      <c r="K43" t="n">
        <f>tbl_detail_2022!K43</f>
        <v>75230.953162887105</v>
      </c>
      <c r="L43" t="n">
        <f>tbl_detail_2022!L43</f>
        <v>56219.415701186001</v>
      </c>
      <c r="M43" t="n">
        <f>tbl_detail_2022!M43</f>
        <v>19011.5374617011</v>
      </c>
      <c r="N43" t="n">
        <f>tbl_detail_2022!N43</f>
        <v>0</v>
      </c>
      <c r="O43" t="n">
        <f>tbl_detail_2022!O43</f>
        <v>75230.953162887105</v>
      </c>
      <c r="P43" t="n">
        <f t="shared" si="1"/>
        <v>3</v>
      </c>
      <c r="Q43" t="n">
        <f t="shared" si="2"/>
        <v>0.81629787689085187</v>
      </c>
      <c r="R43" t="n">
        <f t="shared" si="3"/>
        <v>61410.867343339858</v>
      </c>
      <c r="S43" t="n">
        <f t="shared" si="8"/>
        <v>45891.789676922352</v>
      </c>
      <c r="T43" t="n">
        <f t="shared" si="9"/>
        <v>15519.077666417503</v>
      </c>
      <c r="U43" t="n">
        <f t="shared" si="10"/>
        <v>0</v>
      </c>
      <c r="V43" t="n">
        <f t="shared" si="11"/>
        <v>61410.867343339858</v>
      </c>
      <c r="W43" t="n">
        <f t="shared" si="4"/>
        <v>1499.4833400558439</v>
      </c>
      <c r="X43" t="n">
        <f t="shared" si="5"/>
        <v>543084.1552808322</v>
      </c>
      <c r="Y43" t="n">
        <f t="shared" si="6"/>
        <v>0.91514165935315961</v>
      </c>
      <c r="Z43" t="n">
        <f t="shared" si="7"/>
        <v>496998.93503210979</v>
      </c>
    </row>
    <row r="44">
      <c r="B44" s="52" t="n">
        <v>2024</v>
      </c>
      <c r="C44" t="str">
        <f>tbl_detail_2022!C44</f>
        <v>compressors</v>
      </c>
      <c r="D44" t="str">
        <f>tbl_detail_2022!D44</f>
        <v>T&amp;S Recip Comp</v>
      </c>
      <c r="E44" t="str">
        <f>tbl_detail_2022!E44</f>
        <v>Reciprocating Compressors (Transmission)</v>
      </c>
      <c r="F44" t="n">
        <f>tbl_detail_2022!F44</f>
        <v>858.66923494722096</v>
      </c>
      <c r="G44" t="n">
        <f>tbl_detail_2022!G44</f>
        <v>-2812.2712181003599</v>
      </c>
      <c r="H44" t="n">
        <f>tbl_detail_2022!H44</f>
        <v>-77.828730762419795</v>
      </c>
      <c r="I44" t="n">
        <f>tbl_detail_2022!I44</f>
        <v>-2.3116452111570398</v>
      </c>
      <c r="J44" t="n">
        <f>tbl_detail_2022!J44</f>
        <v>-63781.2383450466</v>
      </c>
      <c r="K44" t="n">
        <f>tbl_detail_2022!K44</f>
        <v>512625.533263491</v>
      </c>
      <c r="L44" t="n">
        <f>tbl_detail_2022!L44</f>
        <v>409250.59434299503</v>
      </c>
      <c r="M44" t="n">
        <f>tbl_detail_2022!M44</f>
        <v>103374.938920496</v>
      </c>
      <c r="N44" t="n">
        <f>tbl_detail_2022!N44</f>
        <v>0</v>
      </c>
      <c r="O44" t="n">
        <f>tbl_detail_2022!O44</f>
        <v>512625.533263491</v>
      </c>
      <c r="P44" t="n">
        <f t="shared" si="1"/>
        <v>3</v>
      </c>
      <c r="Q44" t="n">
        <f t="shared" si="2"/>
        <v>0.81629787689085187</v>
      </c>
      <c r="R44" t="n">
        <f t="shared" si="3"/>
        <v>418455.13444302848</v>
      </c>
      <c r="S44" t="n">
        <f t="shared" si="8"/>
        <v>334070.39127850614</v>
      </c>
      <c r="T44" t="n">
        <f t="shared" si="9"/>
        <v>84384.743164522384</v>
      </c>
      <c r="U44" t="n">
        <f t="shared" si="10"/>
        <v>0</v>
      </c>
      <c r="V44" t="n">
        <f t="shared" si="11"/>
        <v>418455.13444302848</v>
      </c>
      <c r="W44" t="n">
        <f t="shared" si="4"/>
        <v>1499.4833400558439</v>
      </c>
      <c r="X44" t="n">
        <f t="shared" si="5"/>
        <v>4216953.8392600445</v>
      </c>
      <c r="Y44" t="n">
        <f t="shared" si="6"/>
        <v>0.91514165935315961</v>
      </c>
      <c r="Z44" t="n">
        <f t="shared" si="7"/>
        <v>3859110.1338761142</v>
      </c>
    </row>
    <row r="45">
      <c r="B45" s="52" t="n">
        <v>2024</v>
      </c>
      <c r="C45" t="str">
        <f>tbl_detail_2022!C45</f>
        <v>compressors</v>
      </c>
      <c r="D45" t="str">
        <f>tbl_detail_2022!D45</f>
        <v>T&amp;S Recip Comp</v>
      </c>
      <c r="E45" t="str">
        <f>tbl_detail_2022!E45</f>
        <v>Reciprocating Compressors (Storage)</v>
      </c>
      <c r="F45" t="n">
        <f>tbl_detail_2022!F45</f>
        <v>30.556363643835098</v>
      </c>
      <c r="G45" t="n">
        <f>tbl_detail_2022!G45</f>
        <v>-127.99762170034001</v>
      </c>
      <c r="H45" t="n">
        <f>tbl_detail_2022!H45</f>
        <v>-3.54229434680019</v>
      </c>
      <c r="I45" t="n">
        <f>tbl_detail_2022!I45</f>
        <v>-0.105212145734274</v>
      </c>
      <c r="J45" t="n">
        <f>tbl_detail_2022!J45</f>
        <v>-2902.9372290710298</v>
      </c>
      <c r="K45" t="n">
        <f>tbl_detail_2022!K45</f>
        <v>18242.149095369499</v>
      </c>
      <c r="L45" t="n">
        <f>tbl_detail_2022!L45</f>
        <v>18626.618378129799</v>
      </c>
      <c r="M45" t="n">
        <f>tbl_detail_2022!M45</f>
        <v>-384.46928276029502</v>
      </c>
      <c r="N45" t="n">
        <f>tbl_detail_2022!N45</f>
        <v>0</v>
      </c>
      <c r="O45" t="n">
        <f>tbl_detail_2022!O45</f>
        <v>18242.149095369499</v>
      </c>
      <c r="P45" t="n">
        <f t="shared" si="1"/>
        <v>3</v>
      </c>
      <c r="Q45" t="n">
        <f t="shared" si="2"/>
        <v>0.81629787689085187</v>
      </c>
      <c r="R45" t="n">
        <f t="shared" si="3"/>
        <v>14891.027576476496</v>
      </c>
      <c r="S45" t="n">
        <f t="shared" si="8"/>
        <v>15204.869035723477</v>
      </c>
      <c r="T45" t="n">
        <f t="shared" si="9"/>
        <v>-313.84145924697742</v>
      </c>
      <c r="U45" t="n">
        <f t="shared" si="10"/>
        <v>0</v>
      </c>
      <c r="V45" t="n">
        <f t="shared" si="11"/>
        <v>14891.027576476496</v>
      </c>
      <c r="W45" t="n">
        <f t="shared" si="4"/>
        <v>1499.4833400558439</v>
      </c>
      <c r="X45" t="n">
        <f t="shared" si="5"/>
        <v>191930.30130643019</v>
      </c>
      <c r="Y45" t="n">
        <f t="shared" si="6"/>
        <v>0.91514165935315961</v>
      </c>
      <c r="Z45" t="n">
        <f t="shared" si="7"/>
        <v>175643.41441771842</v>
      </c>
    </row>
    <row r="46">
      <c r="B46" s="52" t="n">
        <v>2024</v>
      </c>
      <c r="C46" t="str">
        <f>tbl_detail_2022!C46</f>
        <v>compressors</v>
      </c>
      <c r="D46" t="str">
        <f>tbl_detail_2022!D46</f>
        <v>Wet Seal Centrifugal Compr</v>
      </c>
      <c r="E46" t="str">
        <f>tbl_detail_2022!E46</f>
        <v>G&amp;B WS Centrifugal Comp</v>
      </c>
      <c r="F46" t="n">
        <f>tbl_detail_2022!F46</f>
        <v>39.976277039106201</v>
      </c>
      <c r="G46" t="n">
        <f>tbl_detail_2022!G46</f>
        <v>-8964.5992414623597</v>
      </c>
      <c r="H46" t="n">
        <f>tbl_detail_2022!H46</f>
        <v>-2491.9318132099002</v>
      </c>
      <c r="I46" t="n">
        <f>tbl_detail_2022!I46</f>
        <v>-93.881826374834105</v>
      </c>
      <c r="J46" t="n">
        <f>tbl_detail_2022!J46</f>
        <v>-203313.69080175599</v>
      </c>
      <c r="K46" t="n">
        <f>tbl_detail_2022!K46</f>
        <v>999406.92597765406</v>
      </c>
      <c r="L46" t="n">
        <f>tbl_detail_2022!L46</f>
        <v>1460348.2740372799</v>
      </c>
      <c r="M46" t="n">
        <f>tbl_detail_2022!M46</f>
        <v>-460941.34805962897</v>
      </c>
      <c r="N46" t="n">
        <f>tbl_detail_2022!N46</f>
        <v>0</v>
      </c>
      <c r="O46" t="n">
        <f>tbl_detail_2022!O46</f>
        <v>999406.92597765406</v>
      </c>
      <c r="P46" t="n">
        <f t="shared" si="1"/>
        <v>3</v>
      </c>
      <c r="Q46" t="n">
        <f t="shared" si="2"/>
        <v>0.81629787689085187</v>
      </c>
      <c r="R46" t="n">
        <f t="shared" si="3"/>
        <v>815813.75182557176</v>
      </c>
      <c r="S46" t="n">
        <f t="shared" si="8"/>
        <v>1192079.1956178516</v>
      </c>
      <c r="T46" t="n">
        <f t="shared" si="9"/>
        <v>-376265.44379228231</v>
      </c>
      <c r="U46" t="n">
        <f t="shared" si="10"/>
        <v>0</v>
      </c>
      <c r="V46" t="n">
        <f t="shared" si="11"/>
        <v>815813.75182557176</v>
      </c>
      <c r="W46" t="n">
        <f t="shared" si="4"/>
        <v>1499.4833400558439</v>
      </c>
      <c r="X46" t="n">
        <f t="shared" si="5"/>
        <v>13442267.212850064</v>
      </c>
      <c r="Y46" t="n">
        <f t="shared" si="6"/>
        <v>0.91514165935315961</v>
      </c>
      <c r="Z46" t="n">
        <f t="shared" si="7"/>
        <v>12301578.72263618</v>
      </c>
    </row>
    <row r="47">
      <c r="B47" s="52" t="n">
        <v>2024</v>
      </c>
      <c r="C47" t="str">
        <f>tbl_detail_2022!C47</f>
        <v>compressors</v>
      </c>
      <c r="D47" t="str">
        <f>tbl_detail_2022!D47</f>
        <v>Wet Seal Centrifugal Compr</v>
      </c>
      <c r="E47" t="str">
        <f>tbl_detail_2022!E47</f>
        <v>Proc WS Centrifugal Comp</v>
      </c>
      <c r="F47" t="n">
        <f>tbl_detail_2022!F47</f>
        <v>0</v>
      </c>
      <c r="G47" t="n">
        <f>tbl_detail_2022!G47</f>
        <v>0</v>
      </c>
      <c r="H47" t="n">
        <f>tbl_detail_2022!H47</f>
        <v>0</v>
      </c>
      <c r="I47" t="n">
        <f>tbl_detail_2022!I47</f>
        <v>0</v>
      </c>
      <c r="J47" t="n">
        <f>tbl_detail_2022!J47</f>
        <v>0</v>
      </c>
      <c r="K47" t="n">
        <f>tbl_detail_2022!K47</f>
        <v>0</v>
      </c>
      <c r="L47" t="n">
        <f>tbl_detail_2022!L47</f>
        <v>0</v>
      </c>
      <c r="M47" t="n">
        <f>tbl_detail_2022!M47</f>
        <v>0</v>
      </c>
      <c r="N47" t="n">
        <f>tbl_detail_2022!N47</f>
        <v>0</v>
      </c>
      <c r="O47" t="n">
        <f>tbl_detail_2022!O47</f>
        <v>0</v>
      </c>
      <c r="P47" t="n">
        <f t="shared" si="1"/>
        <v>3</v>
      </c>
      <c r="Q47" t="n">
        <f t="shared" si="2"/>
        <v>0.81629787689085187</v>
      </c>
      <c r="R47" t="n">
        <f t="shared" si="3"/>
        <v>0</v>
      </c>
      <c r="S47" t="n">
        <f t="shared" si="8"/>
        <v>0</v>
      </c>
      <c r="T47" t="n">
        <f t="shared" si="9"/>
        <v>0</v>
      </c>
      <c r="U47" t="n">
        <f t="shared" si="10"/>
        <v>0</v>
      </c>
      <c r="V47" t="n">
        <f t="shared" si="11"/>
        <v>0</v>
      </c>
      <c r="W47" t="n">
        <f t="shared" si="4"/>
        <v>1499.4833400558439</v>
      </c>
      <c r="X47" t="n">
        <f t="shared" si="5"/>
        <v>0</v>
      </c>
      <c r="Y47" t="n">
        <f t="shared" si="6"/>
        <v>0.91514165935315961</v>
      </c>
      <c r="Z47" t="n">
        <f t="shared" si="7"/>
        <v>0</v>
      </c>
    </row>
    <row r="48">
      <c r="B48" s="52" t="n">
        <v>2024</v>
      </c>
      <c r="C48" t="str">
        <f>tbl_detail_2022!C48</f>
        <v>compressors</v>
      </c>
      <c r="D48" t="str">
        <f>tbl_detail_2022!D48</f>
        <v>Wet Seal Centrifugal Compr</v>
      </c>
      <c r="E48" t="str">
        <f>tbl_detail_2022!E48</f>
        <v>T&amp;S WS Centrifugal Comp</v>
      </c>
      <c r="F48" t="n">
        <f>tbl_detail_2022!F48</f>
        <v>0</v>
      </c>
      <c r="G48" t="n">
        <f>tbl_detail_2022!G48</f>
        <v>0</v>
      </c>
      <c r="H48" t="n">
        <f>tbl_detail_2022!H48</f>
        <v>0</v>
      </c>
      <c r="I48" t="n">
        <f>tbl_detail_2022!I48</f>
        <v>0</v>
      </c>
      <c r="J48" t="n">
        <f>tbl_detail_2022!J48</f>
        <v>0</v>
      </c>
      <c r="K48" t="n">
        <f>tbl_detail_2022!K48</f>
        <v>0</v>
      </c>
      <c r="L48" t="n">
        <f>tbl_detail_2022!L48</f>
        <v>0</v>
      </c>
      <c r="M48" t="n">
        <f>tbl_detail_2022!M48</f>
        <v>0</v>
      </c>
      <c r="N48" t="n">
        <f>tbl_detail_2022!N48</f>
        <v>0</v>
      </c>
      <c r="O48" t="n">
        <f>tbl_detail_2022!O48</f>
        <v>0</v>
      </c>
      <c r="P48" t="n">
        <f t="shared" si="1"/>
        <v>3</v>
      </c>
      <c r="Q48" t="n">
        <f t="shared" si="2"/>
        <v>0.81629787689085187</v>
      </c>
      <c r="R48" t="n">
        <f t="shared" si="3"/>
        <v>0</v>
      </c>
      <c r="S48" t="n">
        <f t="shared" si="8"/>
        <v>0</v>
      </c>
      <c r="T48" t="n">
        <f t="shared" si="9"/>
        <v>0</v>
      </c>
      <c r="U48" t="n">
        <f t="shared" si="10"/>
        <v>0</v>
      </c>
      <c r="V48" t="n">
        <f t="shared" si="11"/>
        <v>0</v>
      </c>
      <c r="W48" t="n">
        <f t="shared" si="4"/>
        <v>1499.4833400558439</v>
      </c>
      <c r="X48" t="n">
        <f t="shared" si="5"/>
        <v>0</v>
      </c>
      <c r="Y48" t="n">
        <f t="shared" si="6"/>
        <v>0.91514165935315961</v>
      </c>
      <c r="Z48" t="n">
        <f t="shared" si="7"/>
        <v>0</v>
      </c>
    </row>
    <row r="49">
      <c r="B49" s="52" t="n">
        <v>2024</v>
      </c>
      <c r="C49" t="str">
        <f>tbl_detail_2022!C49</f>
        <v>compressors</v>
      </c>
      <c r="D49" t="str">
        <f>tbl_detail_2022!D49</f>
        <v>Dry Seal Centrifugal Compr</v>
      </c>
      <c r="E49" t="str">
        <f>tbl_detail_2022!E49</f>
        <v>G&amp;B DS Centrifugal Comp</v>
      </c>
      <c r="F49" t="n">
        <f>tbl_detail_2022!F49</f>
        <v>61.316067806925297</v>
      </c>
      <c r="G49" t="n">
        <f>tbl_detail_2022!G49</f>
        <v>-988.80353780747305</v>
      </c>
      <c r="H49" t="n">
        <f>tbl_detail_2022!H49</f>
        <v>-274.86236991839002</v>
      </c>
      <c r="I49" t="n">
        <f>tbl_detail_2022!I49</f>
        <v>-10.355251758038399</v>
      </c>
      <c r="J49" t="n">
        <f>tbl_detail_2022!J49</f>
        <v>-22425.6870089238</v>
      </c>
      <c r="K49" t="n">
        <f>tbl_detail_2022!K49</f>
        <v>919741.01710387901</v>
      </c>
      <c r="L49" t="n">
        <f>tbl_detail_2022!L49</f>
        <v>161077.75717629801</v>
      </c>
      <c r="M49" t="n">
        <f>tbl_detail_2022!M49</f>
        <v>758663.25992758002</v>
      </c>
      <c r="N49" t="n">
        <f>tbl_detail_2022!N49</f>
        <v>0</v>
      </c>
      <c r="O49" t="n">
        <f>tbl_detail_2022!O49</f>
        <v>919741.01710387901</v>
      </c>
      <c r="P49" t="n">
        <f t="shared" si="1"/>
        <v>3</v>
      </c>
      <c r="Q49" t="n">
        <f t="shared" si="2"/>
        <v>0.81629787689085187</v>
      </c>
      <c r="R49" t="n">
        <f t="shared" si="3"/>
        <v>750782.63955132908</v>
      </c>
      <c r="S49" t="n">
        <f t="shared" si="8"/>
        <v>131487.43119735224</v>
      </c>
      <c r="T49" t="n">
        <f t="shared" si="9"/>
        <v>619295.20835397602</v>
      </c>
      <c r="U49" t="n">
        <f t="shared" si="10"/>
        <v>0</v>
      </c>
      <c r="V49" t="n">
        <f t="shared" si="11"/>
        <v>750782.63955132908</v>
      </c>
      <c r="W49" t="n">
        <f t="shared" si="4"/>
        <v>1499.4833400558439</v>
      </c>
      <c r="X49" t="n">
        <f t="shared" si="5"/>
        <v>1482694.4315305846</v>
      </c>
      <c r="Y49" t="n">
        <f t="shared" si="6"/>
        <v>0.91514165935315961</v>
      </c>
      <c r="Z49" t="n">
        <f t="shared" si="7"/>
        <v>1356875.4423845888</v>
      </c>
    </row>
    <row r="50">
      <c r="B50" s="52" t="n">
        <v>2024</v>
      </c>
      <c r="C50" t="str">
        <f>tbl_detail_2022!C50</f>
        <v>compressors</v>
      </c>
      <c r="D50" t="str">
        <f>tbl_detail_2022!D50</f>
        <v>Dry Seal Centrifugal Compr</v>
      </c>
      <c r="E50" t="str">
        <f>tbl_detail_2022!E50</f>
        <v>Proc DS Centrifugal Comp</v>
      </c>
      <c r="F50" t="n">
        <f>tbl_detail_2022!F50</f>
        <v>21.0540826230487</v>
      </c>
      <c r="G50" t="n">
        <f>tbl_detail_2022!G50</f>
        <v>-163.849339383781</v>
      </c>
      <c r="H50" t="n">
        <f>tbl_detail_2022!H50</f>
        <v>-45.545971480289602</v>
      </c>
      <c r="I50" t="n">
        <f>tbl_detail_2022!I50</f>
        <v>-12.6606279029569</v>
      </c>
      <c r="J50" t="n">
        <f>tbl_detail_2022!J50</f>
        <v>-3716.04050870117</v>
      </c>
      <c r="K50" t="n">
        <f>tbl_detail_2022!K50</f>
        <v>315811.23934573098</v>
      </c>
      <c r="L50" t="n">
        <f>tbl_detail_2022!L50</f>
        <v>25433.4652007242</v>
      </c>
      <c r="M50" t="n">
        <f>tbl_detail_2022!M50</f>
        <v>290377.77414500702</v>
      </c>
      <c r="N50" t="n">
        <f>tbl_detail_2022!N50</f>
        <v>0</v>
      </c>
      <c r="O50" t="n">
        <f>tbl_detail_2022!O50</f>
        <v>315811.23934573098</v>
      </c>
      <c r="P50" t="n">
        <f t="shared" si="1"/>
        <v>3</v>
      </c>
      <c r="Q50" t="n">
        <f t="shared" si="2"/>
        <v>0.81629787689085187</v>
      </c>
      <c r="R50" t="n">
        <f t="shared" si="3"/>
        <v>257796.04417618885</v>
      </c>
      <c r="S50" t="n">
        <f t="shared" si="8"/>
        <v>20761.283645328527</v>
      </c>
      <c r="T50" t="n">
        <f t="shared" si="9"/>
        <v>237034.76053086054</v>
      </c>
      <c r="U50" t="n">
        <f t="shared" si="10"/>
        <v>0</v>
      </c>
      <c r="V50" t="n">
        <f t="shared" si="11"/>
        <v>257796.04417618885</v>
      </c>
      <c r="W50" t="n">
        <f t="shared" si="4"/>
        <v>1499.4833400558439</v>
      </c>
      <c r="X50" t="n">
        <f t="shared" si="5"/>
        <v>245689.35468513545</v>
      </c>
      <c r="Y50" t="n">
        <f t="shared" si="6"/>
        <v>0.91514165935315961</v>
      </c>
      <c r="Z50" t="n">
        <f t="shared" si="7"/>
        <v>224840.56373196183</v>
      </c>
    </row>
    <row r="51">
      <c r="B51" s="52" t="n">
        <v>2024</v>
      </c>
      <c r="C51" t="str">
        <f>tbl_detail_2022!C51</f>
        <v>compressors</v>
      </c>
      <c r="D51" t="str">
        <f>tbl_detail_2022!D51</f>
        <v>Dry Seal Centrifugal Compr</v>
      </c>
      <c r="E51" t="str">
        <f>tbl_detail_2022!E51</f>
        <v>T&amp;S DS Centrifugal Comp</v>
      </c>
      <c r="F51" t="n">
        <f>tbl_detail_2022!F51</f>
        <v>362.57756548036099</v>
      </c>
      <c r="G51" t="n">
        <f>tbl_detail_2022!G51</f>
        <v>-6545.3080336980602</v>
      </c>
      <c r="H51" t="n">
        <f>tbl_detail_2022!H51</f>
        <v>-181.13936288687299</v>
      </c>
      <c r="I51" t="n">
        <f>tbl_detail_2022!I51</f>
        <v>-5.0129754960552901</v>
      </c>
      <c r="J51" t="n">
        <f>tbl_detail_2022!J51</f>
        <v>-148445.089169257</v>
      </c>
      <c r="K51" t="n">
        <f>tbl_detail_2022!K51</f>
        <v>5438663.4822054096</v>
      </c>
      <c r="L51" t="n">
        <f>tbl_detail_2022!L51</f>
        <v>952493.90802295995</v>
      </c>
      <c r="M51" t="n">
        <f>tbl_detail_2022!M51</f>
        <v>4486169.5741824498</v>
      </c>
      <c r="N51" t="n">
        <f>tbl_detail_2022!N51</f>
        <v>0</v>
      </c>
      <c r="O51" t="n">
        <f>tbl_detail_2022!O51</f>
        <v>5438663.4822054096</v>
      </c>
      <c r="P51" t="n">
        <f t="shared" si="1"/>
        <v>3</v>
      </c>
      <c r="Q51" t="n">
        <f t="shared" si="2"/>
        <v>0.81629787689085187</v>
      </c>
      <c r="R51" t="n">
        <f t="shared" si="3"/>
        <v>4439569.4536480829</v>
      </c>
      <c r="S51" t="n">
        <f t="shared" si="8"/>
        <v>777518.75487061252</v>
      </c>
      <c r="T51" t="n">
        <f t="shared" si="9"/>
        <v>3662050.6987774707</v>
      </c>
      <c r="U51" t="n">
        <f t="shared" si="10"/>
        <v>0</v>
      </c>
      <c r="V51" t="n">
        <f t="shared" si="11"/>
        <v>4439569.4536480829</v>
      </c>
      <c r="W51" t="n">
        <f t="shared" si="4"/>
        <v>1499.4833400558439</v>
      </c>
      <c r="X51" t="n">
        <f t="shared" si="5"/>
        <v>9814580.3520639148</v>
      </c>
      <c r="Y51" t="n">
        <f t="shared" si="6"/>
        <v>0.91514165935315961</v>
      </c>
      <c r="Z51" t="n">
        <f t="shared" si="7"/>
        <v>8981731.3492426891</v>
      </c>
    </row>
    <row r="52">
      <c r="B52" s="52" t="n">
        <v>2024</v>
      </c>
      <c r="C52" t="str">
        <f>tbl_detail_2022!C52</f>
        <v>liquids_unloading</v>
      </c>
      <c r="D52" t="n">
        <f>tbl_detail_2022!D52</f>
        <v>0</v>
      </c>
      <c r="E52" t="n">
        <f>tbl_detail_2022!E52</f>
        <v>0</v>
      </c>
      <c r="F52" t="n">
        <f>tbl_detail_2022!F52</f>
        <v>10647.2683454505</v>
      </c>
      <c r="G52" t="n">
        <f>tbl_detail_2022!G52</f>
        <v>-1053.7323470546801</v>
      </c>
      <c r="H52" t="n">
        <f>tbl_detail_2022!H52</f>
        <v>-292.91093639625501</v>
      </c>
      <c r="I52" t="n">
        <f>tbl_detail_2022!I52</f>
        <v>-11.0352191533769</v>
      </c>
      <c r="J52" t="n">
        <f>tbl_detail_2022!J52</f>
        <v>-23898.2476323097</v>
      </c>
      <c r="K52" t="n">
        <f>tbl_detail_2022!K52</f>
        <v>692072.44245428301</v>
      </c>
      <c r="L52" t="n">
        <f>tbl_detail_2022!L52</f>
        <v>171654.76926189201</v>
      </c>
      <c r="M52" t="n">
        <f>tbl_detail_2022!M52</f>
        <v>520417.673192391</v>
      </c>
      <c r="N52" t="n">
        <f>tbl_detail_2022!N52</f>
        <v>0</v>
      </c>
      <c r="O52" t="n">
        <f>tbl_detail_2022!O52</f>
        <v>692072.44245428301</v>
      </c>
      <c r="P52" t="n">
        <f t="shared" si="1"/>
        <v>3</v>
      </c>
      <c r="Q52" t="n">
        <f t="shared" si="2"/>
        <v>0.81629787689085187</v>
      </c>
      <c r="R52" t="n">
        <f t="shared" si="3"/>
        <v>564937.26543009747</v>
      </c>
      <c r="S52" t="n">
        <f t="shared" si="8"/>
        <v>140121.42370667151</v>
      </c>
      <c r="T52" t="n">
        <f t="shared" si="9"/>
        <v>424815.84172342595</v>
      </c>
      <c r="U52" t="n">
        <f t="shared" si="10"/>
        <v>0</v>
      </c>
      <c r="V52" t="n">
        <f t="shared" si="11"/>
        <v>564937.26543009747</v>
      </c>
      <c r="W52" t="n">
        <f t="shared" si="4"/>
        <v>1499.4833400558439</v>
      </c>
      <c r="X52" t="n">
        <f t="shared" si="5"/>
        <v>1580054.0992864354</v>
      </c>
      <c r="Y52" t="n">
        <f t="shared" si="6"/>
        <v>0.91514165935315961</v>
      </c>
      <c r="Z52" t="n">
        <f t="shared" si="7"/>
        <v>1445973.3302887506</v>
      </c>
    </row>
    <row r="53">
      <c r="B53" s="52" t="n">
        <v>2024</v>
      </c>
      <c r="C53" t="str">
        <f>tbl_detail_2022!C53</f>
        <v>pneucontr</v>
      </c>
      <c r="D53" t="str">
        <f>tbl_detail_2022!D53</f>
        <v>G&amp;B Pneumatic Controllers</v>
      </c>
      <c r="E53" t="n">
        <f>tbl_detail_2022!E53</f>
        <v>0</v>
      </c>
      <c r="F53" t="n">
        <f>tbl_detail_2022!F53</f>
        <v>1161.16871325698</v>
      </c>
      <c r="G53" t="n">
        <f>tbl_detail_2022!G53</f>
        <v>-34418.422345134903</v>
      </c>
      <c r="H53" t="n">
        <f>tbl_detail_2022!H53</f>
        <v>-9567.4507291174305</v>
      </c>
      <c r="I53" t="n">
        <f>tbl_detail_2022!I53</f>
        <v>-360.40586896585302</v>
      </c>
      <c r="J53" t="n">
        <f>tbl_detail_2022!J53</f>
        <v>-780596.68815953401</v>
      </c>
      <c r="K53" t="n">
        <f>tbl_detail_2022!K53</f>
        <v>5229946.22198248</v>
      </c>
      <c r="L53" t="n">
        <f>tbl_detail_2022!L53</f>
        <v>5606818.8117469903</v>
      </c>
      <c r="M53" t="n">
        <f>tbl_detail_2022!M53</f>
        <v>-376872.58976450999</v>
      </c>
      <c r="N53" t="n">
        <f>tbl_detail_2022!N53</f>
        <v>19649136.0213998</v>
      </c>
      <c r="O53" t="n">
        <f>tbl_detail_2022!O53</f>
        <v>-1479063.1065050899</v>
      </c>
      <c r="P53" t="n">
        <f t="shared" si="1"/>
        <v>3</v>
      </c>
      <c r="Q53" t="n">
        <f t="shared" si="2"/>
        <v>0.81629787689085187</v>
      </c>
      <c r="R53" t="n">
        <f t="shared" si="3"/>
        <v>4269193.9972576303</v>
      </c>
      <c r="S53" t="n">
        <f t="shared" si="8"/>
        <v>4576834.2921407567</v>
      </c>
      <c r="T53" t="n">
        <f t="shared" si="9"/>
        <v>-307640.29488312651</v>
      </c>
      <c r="U53" t="n">
        <f t="shared" si="10"/>
        <v>16039548.017008217</v>
      </c>
      <c r="V53" t="n">
        <f t="shared" si="11"/>
        <v>-1207356.0736276929</v>
      </c>
      <c r="W53" t="n">
        <f t="shared" si="4"/>
        <v>1499.4833400558439</v>
      </c>
      <c r="X53" t="n">
        <f t="shared" si="5"/>
        <v>51609850.897535577</v>
      </c>
      <c r="Y53" t="n">
        <f t="shared" si="6"/>
        <v>0.91514165935315961</v>
      </c>
      <c r="Z53" t="n">
        <f t="shared" si="7"/>
        <v>47230324.58933986</v>
      </c>
    </row>
    <row r="54">
      <c r="B54" s="52" t="n">
        <v>2024</v>
      </c>
      <c r="C54" t="str">
        <f>tbl_detail_2022!C54</f>
        <v>pneucontr</v>
      </c>
      <c r="D54" t="str">
        <f>tbl_detail_2022!D54</f>
        <v>T&amp;S Pneumatic Controllers</v>
      </c>
      <c r="E54" t="n">
        <f>tbl_detail_2022!E54</f>
        <v>0</v>
      </c>
      <c r="F54" t="n">
        <f>tbl_detail_2022!F54</f>
        <v>11179.048665620099</v>
      </c>
      <c r="G54" t="n">
        <f>tbl_detail_2022!G54</f>
        <v>-4134.4761718381596</v>
      </c>
      <c r="H54" t="n">
        <f>tbl_detail_2022!H54</f>
        <v>-114.420341377667</v>
      </c>
      <c r="I54" t="n">
        <f>tbl_detail_2022!I54</f>
        <v>-3.3984780634808098</v>
      </c>
      <c r="J54" t="n">
        <f>tbl_detail_2022!J54</f>
        <v>-93768.342274629904</v>
      </c>
      <c r="K54" t="n">
        <f>tbl_detail_2022!K54</f>
        <v>825710.79436162196</v>
      </c>
      <c r="L54" t="n">
        <f>tbl_detail_2022!L54</f>
        <v>601662.03733530804</v>
      </c>
      <c r="M54" t="n">
        <f>tbl_detail_2022!M54</f>
        <v>224048.75702631401</v>
      </c>
      <c r="N54" t="n">
        <f>tbl_detail_2022!N54</f>
        <v>7280482.2424421003</v>
      </c>
      <c r="O54" t="n">
        <f>tbl_detail_2022!O54</f>
        <v>-1386309.3907830999</v>
      </c>
      <c r="P54" t="n">
        <f t="shared" si="1"/>
        <v>3</v>
      </c>
      <c r="Q54" t="n">
        <f t="shared" si="2"/>
        <v>0.81629787689085187</v>
      </c>
      <c r="R54" t="n">
        <f t="shared" si="3"/>
        <v>674025.96836325084</v>
      </c>
      <c r="S54" t="n">
        <f t="shared" si="8"/>
        <v>491135.44368263643</v>
      </c>
      <c r="T54" t="n">
        <f t="shared" si="9"/>
        <v>182890.52468061444</v>
      </c>
      <c r="U54" t="n">
        <f t="shared" si="10"/>
        <v>5943042.1972470349</v>
      </c>
      <c r="V54" t="n">
        <f t="shared" si="11"/>
        <v>-1131641.4124100949</v>
      </c>
      <c r="W54" t="n">
        <f t="shared" si="4"/>
        <v>1499.4833400558439</v>
      </c>
      <c r="X54" t="n">
        <f t="shared" si="5"/>
        <v>6199578.1395291826</v>
      </c>
      <c r="Y54" t="n">
        <f t="shared" si="6"/>
        <v>0.91514165935315961</v>
      </c>
      <c r="Z54" t="n">
        <f t="shared" si="7"/>
        <v>5673492.2258983105</v>
      </c>
    </row>
    <row r="55">
      <c r="B55" s="52" t="n">
        <v>2024</v>
      </c>
      <c r="C55" t="str">
        <f>tbl_detail_2022!C55</f>
        <v>pneucontr</v>
      </c>
      <c r="D55" t="str">
        <f>tbl_detail_2022!D55</f>
        <v>Well Pad Pneumatic Controllers</v>
      </c>
      <c r="E55" t="n">
        <f>tbl_detail_2022!E55</f>
        <v>0</v>
      </c>
      <c r="F55" t="n">
        <f>tbl_detail_2022!F55</f>
        <v>101706.401366135</v>
      </c>
      <c r="G55" t="n">
        <f>tbl_detail_2022!G55</f>
        <v>-123030.34089428101</v>
      </c>
      <c r="H55" t="n">
        <f>tbl_detail_2022!H55</f>
        <v>-34199.322470076499</v>
      </c>
      <c r="I55" t="n">
        <f>tbl_detail_2022!I55</f>
        <v>-1288.28847744778</v>
      </c>
      <c r="J55" t="n">
        <f>tbl_detail_2022!J55</f>
        <v>-2790281.1954072402</v>
      </c>
      <c r="K55" t="n">
        <f>tbl_detail_2022!K55</f>
        <v>34506022.601668</v>
      </c>
      <c r="L55" t="n">
        <f>tbl_detail_2022!L55</f>
        <v>20041849.1825267</v>
      </c>
      <c r="M55" t="n">
        <f>tbl_detail_2022!M55</f>
        <v>14464173.4191413</v>
      </c>
      <c r="N55" t="n">
        <f>tbl_detail_2022!N55</f>
        <v>127896088.48147</v>
      </c>
      <c r="O55" t="n">
        <f>tbl_detail_2022!O55</f>
        <v>-6102384.0819681101</v>
      </c>
      <c r="P55" t="n">
        <f t="shared" si="1"/>
        <v>3</v>
      </c>
      <c r="Q55" t="n">
        <f t="shared" si="2"/>
        <v>0.81629787689085187</v>
      </c>
      <c r="R55" t="n">
        <f t="shared" si="3"/>
        <v>28167192.989689339</v>
      </c>
      <c r="S55" t="n">
        <f t="shared" si="8"/>
        <v>16360118.936663201</v>
      </c>
      <c r="T55" t="n">
        <f t="shared" si="9"/>
        <v>11807074.053026136</v>
      </c>
      <c r="U55" t="n">
        <f t="shared" si="10"/>
        <v>104401305.4900685</v>
      </c>
      <c r="V55" t="n">
        <f t="shared" si="11"/>
        <v>-4981363.1700830981</v>
      </c>
      <c r="W55" t="n">
        <f t="shared" si="4"/>
        <v>1499.4833400558439</v>
      </c>
      <c r="X55" t="n">
        <f t="shared" si="5"/>
        <v>184481946.49236557</v>
      </c>
      <c r="Y55" t="n">
        <f t="shared" si="6"/>
        <v>0.91514165935315961</v>
      </c>
      <c r="Z55" t="n">
        <f t="shared" si="7"/>
        <v>168827114.63372424</v>
      </c>
    </row>
    <row r="56">
      <c r="B56" s="52" t="n">
        <v>2024</v>
      </c>
      <c r="C56" t="str">
        <f>tbl_detail_2022!C56</f>
        <v>pumps</v>
      </c>
      <c r="D56" t="str">
        <f>tbl_detail_2022!D56</f>
        <v>G&amp;B Pneumatic Pumps</v>
      </c>
      <c r="E56" t="n">
        <f>tbl_detail_2022!E56</f>
        <v>0</v>
      </c>
      <c r="F56" t="n">
        <f>tbl_detail_2022!F56</f>
        <v>124.38081089246801</v>
      </c>
      <c r="G56" t="n">
        <f>tbl_detail_2022!G56</f>
        <v>-4955.9975383113997</v>
      </c>
      <c r="H56" t="n">
        <f>tbl_detail_2022!H56</f>
        <v>-1377.6419437808399</v>
      </c>
      <c r="I56" t="n">
        <f>tbl_detail_2022!I56</f>
        <v>-51.895772022224399</v>
      </c>
      <c r="J56" t="n">
        <f>tbl_detail_2022!J56</f>
        <v>-112400.13345584201</v>
      </c>
      <c r="K56" t="n">
        <f>tbl_detail_2022!K56</f>
        <v>2047526.4767782199</v>
      </c>
      <c r="L56" t="n">
        <f>tbl_detail_2022!L56</f>
        <v>807340.32345047302</v>
      </c>
      <c r="M56" t="n">
        <f>tbl_detail_2022!M56</f>
        <v>1240186.15332775</v>
      </c>
      <c r="N56" t="n">
        <f>tbl_detail_2022!N56</f>
        <v>6150195.2794921901</v>
      </c>
      <c r="O56" t="n">
        <f>tbl_detail_2022!O56</f>
        <v>-158432.67773915699</v>
      </c>
      <c r="P56" t="n">
        <f t="shared" si="1"/>
        <v>3</v>
      </c>
      <c r="Q56" t="n">
        <f t="shared" si="2"/>
        <v>0.81629787689085187</v>
      </c>
      <c r="R56" t="n">
        <f t="shared" si="3"/>
        <v>1671391.5158718671</v>
      </c>
      <c r="S56" t="n">
        <f t="shared" si="8"/>
        <v>659030.19196099474</v>
      </c>
      <c r="T56" t="n">
        <f t="shared" si="9"/>
        <v>1012361.3239108749</v>
      </c>
      <c r="U56" t="n">
        <f t="shared" si="10"/>
        <v>5020391.3491136143</v>
      </c>
      <c r="V56" t="n">
        <f t="shared" si="11"/>
        <v>-129328.25846860638</v>
      </c>
      <c r="W56" t="n">
        <f t="shared" si="4"/>
        <v>1499.4833400558439</v>
      </c>
      <c r="X56" t="n">
        <f t="shared" si="5"/>
        <v>7431435.7420557179</v>
      </c>
      <c r="Y56" t="n">
        <f t="shared" si="6"/>
        <v>0.91514165935315961</v>
      </c>
      <c r="Z56" t="n">
        <f t="shared" si="7"/>
        <v>6800816.4363612486</v>
      </c>
    </row>
    <row r="57">
      <c r="B57" s="52" t="n">
        <v>2024</v>
      </c>
      <c r="C57" t="str">
        <f>tbl_detail_2022!C57</f>
        <v>pumps</v>
      </c>
      <c r="D57" t="str">
        <f>tbl_detail_2022!D57</f>
        <v>Well Pad Pumps</v>
      </c>
      <c r="E57" t="n">
        <f>tbl_detail_2022!E57</f>
        <v>0</v>
      </c>
      <c r="F57" t="n">
        <f>tbl_detail_2022!F57</f>
        <v>5326.9897040760297</v>
      </c>
      <c r="G57" t="n">
        <f>tbl_detail_2022!G57</f>
        <v>-8932.2528657848397</v>
      </c>
      <c r="H57" t="n">
        <f>tbl_detail_2022!H57</f>
        <v>-2482.94033748744</v>
      </c>
      <c r="I57" t="n">
        <f>tbl_detail_2022!I57</f>
        <v>-93.532362513151796</v>
      </c>
      <c r="J57" t="n">
        <f>tbl_detail_2022!J57</f>
        <v>-202580.08734153199</v>
      </c>
      <c r="K57" t="n">
        <f>tbl_detail_2022!K57</f>
        <v>4581822.8788578603</v>
      </c>
      <c r="L57" t="n">
        <f>tbl_detail_2022!L57</f>
        <v>1455078.9951080501</v>
      </c>
      <c r="M57" t="n">
        <f>tbl_detail_2022!M57</f>
        <v>3126743.8837497998</v>
      </c>
      <c r="N57" t="n">
        <f>tbl_detail_2022!N57</f>
        <v>14832345.551410099</v>
      </c>
      <c r="O57" t="n">
        <f>tbl_detail_2022!O57</f>
        <v>-319619.38224456197</v>
      </c>
      <c r="P57" t="n">
        <f t="shared" si="1"/>
        <v>3</v>
      </c>
      <c r="Q57" t="n">
        <f t="shared" si="2"/>
        <v>0.81629787689085187</v>
      </c>
      <c r="R57" t="n">
        <f t="shared" si="3"/>
        <v>3740132.288301602</v>
      </c>
      <c r="S57" t="n">
        <f t="shared" si="8"/>
        <v>1187777.8944151755</v>
      </c>
      <c r="T57" t="n">
        <f t="shared" si="9"/>
        <v>2552354.3938864181</v>
      </c>
      <c r="U57" t="n">
        <f t="shared" si="10"/>
        <v>12107612.182927536</v>
      </c>
      <c r="V57" t="n">
        <f t="shared" si="11"/>
        <v>-260904.62313940158</v>
      </c>
      <c r="W57" t="n">
        <f t="shared" si="4"/>
        <v>1499.4833400558439</v>
      </c>
      <c r="X57" t="n">
        <f t="shared" si="5"/>
        <v>13393764.361410435</v>
      </c>
      <c r="Y57" t="n">
        <f t="shared" si="6"/>
        <v>0.91514165935315961</v>
      </c>
      <c r="Z57" t="n">
        <f t="shared" si="7"/>
        <v>12257191.742686357</v>
      </c>
    </row>
    <row r="58">
      <c r="B58" s="52" t="n">
        <v>2024</v>
      </c>
      <c r="C58" t="str">
        <f>tbl_detail_2022!C58</f>
        <v>Storage vessels</v>
      </c>
      <c r="D58" t="n">
        <f>tbl_detail_2022!D58</f>
        <v>0</v>
      </c>
      <c r="E58" t="n">
        <f>tbl_detail_2022!E58</f>
        <v>0</v>
      </c>
      <c r="F58" t="n">
        <f>tbl_detail_2022!F58</f>
        <v>3230.9575899624801</v>
      </c>
      <c r="G58" t="n">
        <f>tbl_detail_2022!G58</f>
        <v>-7426.6585720371304</v>
      </c>
      <c r="H58" t="n">
        <f>tbl_detail_2022!H58</f>
        <v>-35260.372369925601</v>
      </c>
      <c r="I58" t="n">
        <f>tbl_detail_2022!I58</f>
        <v>-1328.2582271751</v>
      </c>
      <c r="J58" t="n">
        <f>tbl_detail_2022!J58</f>
        <v>-168433.783143557</v>
      </c>
      <c r="K58" t="n">
        <f>tbl_detail_2022!K58</f>
        <v>100102986.691497</v>
      </c>
      <c r="L58" t="n">
        <f>tbl_detail_2022!L58</f>
        <v>0</v>
      </c>
      <c r="M58" t="n">
        <f>tbl_detail_2022!M58</f>
        <v>100102986.691497</v>
      </c>
      <c r="N58" t="n">
        <f>tbl_detail_2022!N58</f>
        <v>93036967.300533593</v>
      </c>
      <c r="O58" t="n">
        <f>tbl_detail_2022!O58</f>
        <v>73795071.354743093</v>
      </c>
      <c r="P58" t="n">
        <f t="shared" si="1"/>
        <v>3</v>
      </c>
      <c r="Q58" t="n">
        <f t="shared" si="2"/>
        <v>0.81629787689085187</v>
      </c>
      <c r="R58" t="n">
        <f t="shared" si="3"/>
        <v>81713855.5067022</v>
      </c>
      <c r="S58" t="n">
        <f t="shared" si="8"/>
        <v>0</v>
      </c>
      <c r="T58" t="n">
        <f t="shared" si="9"/>
        <v>81713855.5067022</v>
      </c>
      <c r="U58" t="n">
        <f t="shared" si="10"/>
        <v>75945878.879789189</v>
      </c>
      <c r="V58" t="n">
        <f t="shared" si="11"/>
        <v>60238760.071885705</v>
      </c>
      <c r="W58" t="n">
        <f t="shared" si="4"/>
        <v>1499.4833400558439</v>
      </c>
      <c r="X58" t="n">
        <f t="shared" si="5"/>
        <v>11136150.8010526</v>
      </c>
      <c r="Y58" t="n">
        <f t="shared" si="6"/>
        <v>0.91514165935315961</v>
      </c>
      <c r="Z58" t="n">
        <f t="shared" si="7"/>
        <v>10191155.522882294</v>
      </c>
    </row>
    <row r="59">
      <c r="B59" s="52" t="n">
        <v>2025</v>
      </c>
      <c r="C59" t="str">
        <f>tbl_detail_2022!C59</f>
        <v>fugitives</v>
      </c>
      <c r="D59" t="str">
        <f>tbl_detail_2022!D59</f>
        <v>G&amp;B Stations</v>
      </c>
      <c r="E59" t="n">
        <f>tbl_detail_2022!E59</f>
        <v>0</v>
      </c>
      <c r="F59" t="n">
        <f>tbl_detail_2022!F59</f>
        <v>0</v>
      </c>
      <c r="G59" t="n">
        <f>tbl_detail_2022!G59</f>
        <v>0</v>
      </c>
      <c r="H59" t="n">
        <f>tbl_detail_2022!H59</f>
        <v>0</v>
      </c>
      <c r="I59" t="n">
        <f>tbl_detail_2022!I59</f>
        <v>0</v>
      </c>
      <c r="J59" t="n">
        <f>tbl_detail_2022!J59</f>
        <v>0</v>
      </c>
      <c r="K59" t="n">
        <f>tbl_detail_2022!K59</f>
        <v>0</v>
      </c>
      <c r="L59" t="n">
        <f>tbl_detail_2022!L59</f>
        <v>0</v>
      </c>
      <c r="M59" t="n">
        <f>tbl_detail_2022!M59</f>
        <v>0</v>
      </c>
      <c r="N59" t="n">
        <f>tbl_detail_2022!N59</f>
        <v>0</v>
      </c>
      <c r="O59" t="n">
        <f>tbl_detail_2022!O59</f>
        <v>0</v>
      </c>
      <c r="P59" t="n">
        <f t="shared" si="1"/>
        <v>4</v>
      </c>
      <c r="Q59" t="n">
        <f t="shared" si="2"/>
        <v>0.7628952120475252</v>
      </c>
      <c r="R59" t="n">
        <f t="shared" si="3"/>
        <v>0</v>
      </c>
      <c r="S59" t="n">
        <f t="shared" si="8"/>
        <v>0</v>
      </c>
      <c r="T59" t="n">
        <f t="shared" si="9"/>
        <v>0</v>
      </c>
      <c r="U59" t="n">
        <f t="shared" si="10"/>
        <v>0</v>
      </c>
      <c r="V59" t="n">
        <f t="shared" si="11"/>
        <v>0</v>
      </c>
      <c r="W59" t="n">
        <f t="shared" si="4"/>
        <v>1541.5565786705965</v>
      </c>
      <c r="X59" t="n">
        <f t="shared" si="5"/>
        <v>0</v>
      </c>
      <c r="Y59" t="n">
        <f t="shared" si="6"/>
        <v>0.888487047915689</v>
      </c>
      <c r="Z59" t="n">
        <f t="shared" si="7"/>
        <v>0</v>
      </c>
    </row>
    <row r="60">
      <c r="B60" s="52" t="n">
        <v>2025</v>
      </c>
      <c r="C60" t="str">
        <f>tbl_detail_2022!C60</f>
        <v>fugitives</v>
      </c>
      <c r="D60" t="str">
        <f>tbl_detail_2022!D60</f>
        <v>Processing Plants</v>
      </c>
      <c r="E60" t="str">
        <f>tbl_detail_2022!E60</f>
        <v>Large Plants</v>
      </c>
      <c r="F60" t="n">
        <f>tbl_detail_2022!F60</f>
        <v>8.7650897158753693</v>
      </c>
      <c r="G60" t="n">
        <f>tbl_detail_2022!G60</f>
        <v>-138.41271148314999</v>
      </c>
      <c r="H60" t="n">
        <f>tbl_detail_2022!H60</f>
        <v>-5.8362499129109597</v>
      </c>
      <c r="I60" t="n">
        <f>tbl_detail_2022!I60</f>
        <v>-0.191349649618615</v>
      </c>
      <c r="J60" t="n">
        <f>tbl_detail_2022!J60</f>
        <v>-3139.1474919884099</v>
      </c>
      <c r="K60" t="n">
        <f>tbl_detail_2022!K60</f>
        <v>-253023.095396419</v>
      </c>
      <c r="L60" t="n">
        <f>tbl_detail_2022!L60</f>
        <v>20307.753241598501</v>
      </c>
      <c r="M60" t="n">
        <f>tbl_detail_2022!M60</f>
        <v>-273330.84863801801</v>
      </c>
      <c r="N60" t="n">
        <f>tbl_detail_2022!N60</f>
        <v>-28445.4552185518</v>
      </c>
      <c r="O60" t="n">
        <f>tbl_detail_2022!O60</f>
        <v>-227088.210062014</v>
      </c>
      <c r="P60" t="n">
        <f t="shared" si="1"/>
        <v>4</v>
      </c>
      <c r="Q60" t="n">
        <f t="shared" si="2"/>
        <v>0.7628952120475252</v>
      </c>
      <c r="R60" t="n">
        <f t="shared" si="3"/>
        <v>-193030.10801537227</v>
      </c>
      <c r="S60" t="n">
        <f t="shared" si="8"/>
        <v>15492.687715458105</v>
      </c>
      <c r="T60" t="n">
        <f t="shared" si="9"/>
        <v>-208522.79573083075</v>
      </c>
      <c r="U60" t="n">
        <f t="shared" si="10"/>
        <v>-21700.90159074546</v>
      </c>
      <c r="V60" t="n">
        <f t="shared" si="11"/>
        <v>-173244.50816875312</v>
      </c>
      <c r="W60" t="n">
        <f t="shared" si="4"/>
        <v>1541.5565786705965</v>
      </c>
      <c r="X60" t="n">
        <f t="shared" si="5"/>
        <v>213371.02595848509</v>
      </c>
      <c r="Y60" t="n">
        <f t="shared" si="6"/>
        <v>0.888487047915689</v>
      </c>
      <c r="Z60" t="n">
        <f t="shared" si="7"/>
        <v>189577.39296459625</v>
      </c>
    </row>
    <row r="61">
      <c r="B61" s="52" t="n">
        <v>2025</v>
      </c>
      <c r="C61" t="str">
        <f>tbl_detail_2022!C61</f>
        <v>fugitives</v>
      </c>
      <c r="D61" t="str">
        <f>tbl_detail_2022!D61</f>
        <v>Processing Plants</v>
      </c>
      <c r="E61" t="str">
        <f>tbl_detail_2022!E61</f>
        <v>Small Plants</v>
      </c>
      <c r="F61" t="n">
        <f>tbl_detail_2022!F61</f>
        <v>36.3790006791642</v>
      </c>
      <c r="G61" t="n">
        <f>tbl_detail_2022!G61</f>
        <v>-275.62176283170697</v>
      </c>
      <c r="H61" t="n">
        <f>tbl_detail_2022!H61</f>
        <v>-11.9269323219886</v>
      </c>
      <c r="I61" t="n">
        <f>tbl_detail_2022!I61</f>
        <v>-0.392813512160194</v>
      </c>
      <c r="J61" t="n">
        <f>tbl_detail_2022!J61</f>
        <v>-6250.9964313206001</v>
      </c>
      <c r="K61" t="n">
        <f>tbl_detail_2022!K61</f>
        <v>-487172.80912303698</v>
      </c>
      <c r="L61" t="n">
        <f>tbl_detail_2022!L61</f>
        <v>40438.9068577859</v>
      </c>
      <c r="M61" t="n">
        <f>tbl_detail_2022!M61</f>
        <v>-527611.71598082304</v>
      </c>
      <c r="N61" t="n">
        <f>tbl_detail_2022!N61</f>
        <v>-57637.979201050701</v>
      </c>
      <c r="O61" t="n">
        <f>tbl_detail_2022!O61</f>
        <v>-434621.905296713</v>
      </c>
      <c r="P61" t="n">
        <f t="shared" si="1"/>
        <v>4</v>
      </c>
      <c r="Q61" t="n">
        <f t="shared" si="2"/>
        <v>0.7628952120475252</v>
      </c>
      <c r="R61" t="n">
        <f t="shared" si="3"/>
        <v>-371661.80351970781</v>
      </c>
      <c r="S61" t="n">
        <f t="shared" si="8"/>
        <v>30850.648422240694</v>
      </c>
      <c r="T61" t="n">
        <f t="shared" si="9"/>
        <v>-402512.45194194862</v>
      </c>
      <c r="U61" t="n">
        <f t="shared" si="10"/>
        <v>-43971.73836457642</v>
      </c>
      <c r="V61" t="n">
        <f t="shared" si="11"/>
        <v>-331570.97060183529</v>
      </c>
      <c r="W61" t="n">
        <f t="shared" si="4"/>
        <v>1541.5565786705965</v>
      </c>
      <c r="X61" t="n">
        <f t="shared" si="5"/>
        <v>424886.5417180048</v>
      </c>
      <c r="Y61" t="n">
        <f t="shared" si="6"/>
        <v>0.888487047915689</v>
      </c>
      <c r="Z61" t="n">
        <f t="shared" si="7"/>
        <v>377506.18915013631</v>
      </c>
    </row>
    <row r="62">
      <c r="B62" s="52" t="n">
        <v>2025</v>
      </c>
      <c r="C62" t="str">
        <f>tbl_detail_2022!C62</f>
        <v>fugitives</v>
      </c>
      <c r="D62" t="str">
        <f>tbl_detail_2022!D62</f>
        <v>T&amp;S Compressor Stations</v>
      </c>
      <c r="E62" t="str">
        <f>tbl_detail_2022!E62</f>
        <v>Compressor Stations (Transmission)</v>
      </c>
      <c r="F62" t="n">
        <f>tbl_detail_2022!F62</f>
        <v>0</v>
      </c>
      <c r="G62" t="n">
        <f>tbl_detail_2022!G62</f>
        <v>0</v>
      </c>
      <c r="H62" t="n">
        <f>tbl_detail_2022!H62</f>
        <v>0</v>
      </c>
      <c r="I62" t="n">
        <f>tbl_detail_2022!I62</f>
        <v>0</v>
      </c>
      <c r="J62" t="n">
        <f>tbl_detail_2022!J62</f>
        <v>0</v>
      </c>
      <c r="K62" t="n">
        <f>tbl_detail_2022!K62</f>
        <v>0</v>
      </c>
      <c r="L62" t="n">
        <f>tbl_detail_2022!L62</f>
        <v>0</v>
      </c>
      <c r="M62" t="n">
        <f>tbl_detail_2022!M62</f>
        <v>0</v>
      </c>
      <c r="N62" t="n">
        <f>tbl_detail_2022!N62</f>
        <v>0</v>
      </c>
      <c r="O62" t="n">
        <f>tbl_detail_2022!O62</f>
        <v>0</v>
      </c>
      <c r="P62" t="n">
        <f t="shared" si="1"/>
        <v>4</v>
      </c>
      <c r="Q62" t="n">
        <f t="shared" si="2"/>
        <v>0.7628952120475252</v>
      </c>
      <c r="R62" t="n">
        <f t="shared" si="3"/>
        <v>0</v>
      </c>
      <c r="S62" t="n">
        <f t="shared" si="8"/>
        <v>0</v>
      </c>
      <c r="T62" t="n">
        <f t="shared" si="9"/>
        <v>0</v>
      </c>
      <c r="U62" t="n">
        <f t="shared" si="10"/>
        <v>0</v>
      </c>
      <c r="V62" t="n">
        <f t="shared" si="11"/>
        <v>0</v>
      </c>
      <c r="W62" t="n">
        <f t="shared" si="4"/>
        <v>1541.5565786705965</v>
      </c>
      <c r="X62" t="n">
        <f t="shared" si="5"/>
        <v>0</v>
      </c>
      <c r="Y62" t="n">
        <f t="shared" si="6"/>
        <v>0.888487047915689</v>
      </c>
      <c r="Z62" t="n">
        <f t="shared" si="7"/>
        <v>0</v>
      </c>
    </row>
    <row r="63">
      <c r="B63" s="52" t="n">
        <v>2025</v>
      </c>
      <c r="C63" t="str">
        <f>tbl_detail_2022!C63</f>
        <v>fugitives</v>
      </c>
      <c r="D63" t="str">
        <f>tbl_detail_2022!D63</f>
        <v>T&amp;S Compressor Stations</v>
      </c>
      <c r="E63" t="str">
        <f>tbl_detail_2022!E63</f>
        <v>Compressor Stations (Storage)</v>
      </c>
      <c r="F63" t="n">
        <f>tbl_detail_2022!F63</f>
        <v>0</v>
      </c>
      <c r="G63" t="n">
        <f>tbl_detail_2022!G63</f>
        <v>0</v>
      </c>
      <c r="H63" t="n">
        <f>tbl_detail_2022!H63</f>
        <v>0</v>
      </c>
      <c r="I63" t="n">
        <f>tbl_detail_2022!I63</f>
        <v>0</v>
      </c>
      <c r="J63" t="n">
        <f>tbl_detail_2022!J63</f>
        <v>0</v>
      </c>
      <c r="K63" t="n">
        <f>tbl_detail_2022!K63</f>
        <v>0</v>
      </c>
      <c r="L63" t="n">
        <f>tbl_detail_2022!L63</f>
        <v>0</v>
      </c>
      <c r="M63" t="n">
        <f>tbl_detail_2022!M63</f>
        <v>0</v>
      </c>
      <c r="N63" t="n">
        <f>tbl_detail_2022!N63</f>
        <v>0</v>
      </c>
      <c r="O63" t="n">
        <f>tbl_detail_2022!O63</f>
        <v>0</v>
      </c>
      <c r="P63" t="n">
        <f t="shared" si="1"/>
        <v>4</v>
      </c>
      <c r="Q63" t="n">
        <f t="shared" si="2"/>
        <v>0.7628952120475252</v>
      </c>
      <c r="R63" t="n">
        <f t="shared" si="3"/>
        <v>0</v>
      </c>
      <c r="S63" t="n">
        <f t="shared" si="8"/>
        <v>0</v>
      </c>
      <c r="T63" t="n">
        <f t="shared" si="9"/>
        <v>0</v>
      </c>
      <c r="U63" t="n">
        <f t="shared" si="10"/>
        <v>0</v>
      </c>
      <c r="V63" t="n">
        <f t="shared" si="11"/>
        <v>0</v>
      </c>
      <c r="W63" t="n">
        <f t="shared" si="4"/>
        <v>1541.5565786705965</v>
      </c>
      <c r="X63" t="n">
        <f t="shared" si="5"/>
        <v>0</v>
      </c>
      <c r="Y63" t="n">
        <f t="shared" si="6"/>
        <v>0.888487047915689</v>
      </c>
      <c r="Z63" t="n">
        <f t="shared" si="7"/>
        <v>0</v>
      </c>
    </row>
    <row r="64">
      <c r="B64" s="52" t="n">
        <v>2025</v>
      </c>
      <c r="C64" t="str">
        <f>tbl_detail_2022!C64</f>
        <v>fugitives</v>
      </c>
      <c r="D64" t="str">
        <f>tbl_detail_2022!D64</f>
        <v>Wellpad Fugitives</v>
      </c>
      <c r="E64" t="str">
        <f>tbl_detail_2022!E64</f>
        <v>1: No equipment, no tanks</v>
      </c>
      <c r="F64" t="n">
        <f>tbl_detail_2022!F64</f>
        <v>8402.9534742932992</v>
      </c>
      <c r="G64" t="n">
        <f>tbl_detail_2022!G64</f>
        <v>-1125.27505932076</v>
      </c>
      <c r="H64" t="n">
        <f>tbl_detail_2022!H64</f>
        <v>-312.79800040799603</v>
      </c>
      <c r="I64" t="n">
        <f>tbl_detail_2022!I64</f>
        <v>-11.7831006753692</v>
      </c>
      <c r="J64" t="n">
        <f>tbl_detail_2022!J64</f>
        <v>-25520.809052959699</v>
      </c>
      <c r="K64" t="n">
        <f>tbl_detail_2022!K64</f>
        <v>6419703.5229719104</v>
      </c>
      <c r="L64" t="n">
        <f>tbl_detail_2022!L64</f>
        <v>173264.391027195</v>
      </c>
      <c r="M64" t="n">
        <f>tbl_detail_2022!M64</f>
        <v>6246439.1319447197</v>
      </c>
      <c r="N64" t="n">
        <f>tbl_detail_2022!N64</f>
        <v>329062.403220437</v>
      </c>
      <c r="O64" t="n">
        <f>tbl_detail_2022!O64</f>
        <v>6237330.0333054001</v>
      </c>
      <c r="P64" t="n">
        <f t="shared" si="1"/>
        <v>4</v>
      </c>
      <c r="Q64" t="n">
        <f t="shared" si="2"/>
        <v>0.7628952120475252</v>
      </c>
      <c r="R64" t="n">
        <f t="shared" si="3"/>
        <v>4897561.0804399</v>
      </c>
      <c r="S64" t="n">
        <f t="shared" si="8"/>
        <v>132182.57433297724</v>
      </c>
      <c r="T64" t="n">
        <f t="shared" si="9"/>
        <v>4765378.5061069261</v>
      </c>
      <c r="U64" t="n">
        <f t="shared" si="10"/>
        <v>251040.13188172353</v>
      </c>
      <c r="V64" t="n">
        <f t="shared" si="11"/>
        <v>4758429.2183689205</v>
      </c>
      <c r="W64" t="n">
        <f t="shared" si="4"/>
        <v>1541.5565786705965</v>
      </c>
      <c r="X64" t="n">
        <f t="shared" si="5"/>
        <v>1734675.1705098632</v>
      </c>
      <c r="Y64" t="n">
        <f t="shared" si="6"/>
        <v>0.888487047915689</v>
      </c>
      <c r="Z64" t="n">
        <f t="shared" si="7"/>
        <v>1541236.4213389528</v>
      </c>
    </row>
    <row r="65">
      <c r="B65" s="52" t="n">
        <v>2025</v>
      </c>
      <c r="C65" t="str">
        <f>tbl_detail_2022!C65</f>
        <v>fugitives</v>
      </c>
      <c r="D65" t="str">
        <f>tbl_detail_2022!D65</f>
        <v>Wellpad Fugitives</v>
      </c>
      <c r="E65" t="str">
        <f>tbl_detail_2022!E65</f>
        <v>2: Tanks, no equipment</v>
      </c>
      <c r="F65" t="n">
        <f>tbl_detail_2022!F65</f>
        <v>1593.2133651746001</v>
      </c>
      <c r="G65" t="n">
        <f>tbl_detail_2022!G65</f>
        <v>-599.58933833413005</v>
      </c>
      <c r="H65" t="n">
        <f>tbl_detail_2022!H65</f>
        <v>-166.670668245396</v>
      </c>
      <c r="I65" t="n">
        <f>tbl_detail_2022!I65</f>
        <v>-6.2784840728040798</v>
      </c>
      <c r="J65" t="n">
        <f>tbl_detail_2022!J65</f>
        <v>-13598.4574500855</v>
      </c>
      <c r="K65" t="n">
        <f>tbl_detail_2022!K65</f>
        <v>2624858.0405522399</v>
      </c>
      <c r="L65" t="n">
        <f>tbl_detail_2022!L65</f>
        <v>92321.855631964805</v>
      </c>
      <c r="M65" t="n">
        <f>tbl_detail_2022!M65</f>
        <v>2532536.18492027</v>
      </c>
      <c r="N65" t="n">
        <f>tbl_detail_2022!N65</f>
        <v>253123.37509421201</v>
      </c>
      <c r="O65" t="n">
        <f>tbl_detail_2022!O65</f>
        <v>2484571.6001071599</v>
      </c>
      <c r="P65" t="n">
        <f t="shared" si="1"/>
        <v>4</v>
      </c>
      <c r="Q65" t="n">
        <f t="shared" si="2"/>
        <v>0.7628952120475252</v>
      </c>
      <c r="R65" t="n">
        <f t="shared" si="3"/>
        <v>2002491.6314417524</v>
      </c>
      <c r="S65" t="n">
        <f t="shared" si="8"/>
        <v>70431.901628968801</v>
      </c>
      <c r="T65" t="n">
        <f t="shared" si="9"/>
        <v>1932059.7298127799</v>
      </c>
      <c r="U65" t="n">
        <f t="shared" si="10"/>
        <v>193106.61091668412</v>
      </c>
      <c r="V65" t="n">
        <f t="shared" si="11"/>
        <v>1895467.7777110108</v>
      </c>
      <c r="W65" t="n">
        <f t="shared" si="4"/>
        <v>1541.5565786705965</v>
      </c>
      <c r="X65" t="n">
        <f t="shared" si="5"/>
        <v>924300.88900972821</v>
      </c>
      <c r="Y65" t="n">
        <f t="shared" si="6"/>
        <v>0.888487047915689</v>
      </c>
      <c r="Z65" t="n">
        <f t="shared" si="7"/>
        <v>821229.36826210038</v>
      </c>
    </row>
    <row r="66">
      <c r="B66" s="52" t="n">
        <v>2025</v>
      </c>
      <c r="C66" t="str">
        <f>tbl_detail_2022!C66</f>
        <v>fugitives</v>
      </c>
      <c r="D66" t="str">
        <f>tbl_detail_2022!D66</f>
        <v>Wellpad Fugitives</v>
      </c>
      <c r="E66" t="str">
        <f>tbl_detail_2022!E66</f>
        <v>3: Equipment = 1, no tanks</v>
      </c>
      <c r="F66" t="n">
        <f>tbl_detail_2022!F66</f>
        <v>596.32789204533901</v>
      </c>
      <c r="G66" t="n">
        <f>tbl_detail_2022!G66</f>
        <v>117.540150232925</v>
      </c>
      <c r="H66" t="n">
        <f>tbl_detail_2022!H66</f>
        <v>32.673188351572598</v>
      </c>
      <c r="I66" t="n">
        <f>tbl_detail_2022!I66</f>
        <v>1.2307990052037401</v>
      </c>
      <c r="J66" t="n">
        <f>tbl_detail_2022!J66</f>
        <v>2665.76576571542</v>
      </c>
      <c r="K66" t="n">
        <f>tbl_detail_2022!K66</f>
        <v>-740505.43235361704</v>
      </c>
      <c r="L66" t="n">
        <f>tbl_detail_2022!L66</f>
        <v>-18098.261738464</v>
      </c>
      <c r="M66" t="n">
        <f>tbl_detail_2022!M66</f>
        <v>-722407.17061515304</v>
      </c>
      <c r="N66" t="n">
        <f>tbl_detail_2022!N66</f>
        <v>-137185.31917191501</v>
      </c>
      <c r="O66" t="n">
        <f>tbl_detail_2022!O66</f>
        <v>-664474.36607699795</v>
      </c>
      <c r="P66" t="n">
        <f t="shared" si="1"/>
        <v>4</v>
      </c>
      <c r="Q66" t="n">
        <f t="shared" si="2"/>
        <v>0.7628952120475252</v>
      </c>
      <c r="R66" t="n">
        <f t="shared" si="3"/>
        <v>-564928.04883775697</v>
      </c>
      <c r="S66" t="n">
        <f t="shared" si="8"/>
        <v>-13807.077226657106</v>
      </c>
      <c r="T66" t="n">
        <f t="shared" si="9"/>
        <v>-551120.9716110999</v>
      </c>
      <c r="U66" t="n">
        <f t="shared" si="10"/>
        <v>-104658.02315946552</v>
      </c>
      <c r="V66" t="n">
        <f t="shared" si="11"/>
        <v>-506924.31240845623</v>
      </c>
      <c r="W66" t="n">
        <f t="shared" si="4"/>
        <v>1541.5565786705965</v>
      </c>
      <c r="X66" t="n">
        <f t="shared" si="5"/>
        <v>-181194.79184949578</v>
      </c>
      <c r="Y66" t="n">
        <f t="shared" si="6"/>
        <v>0.888487047915689</v>
      </c>
      <c r="Z66" t="n">
        <f t="shared" si="7"/>
        <v>-160989.22570805627</v>
      </c>
    </row>
    <row r="67">
      <c r="B67" s="52" t="n">
        <v>2025</v>
      </c>
      <c r="C67" t="str">
        <f>tbl_detail_2022!C67</f>
        <v>fugitives</v>
      </c>
      <c r="D67" t="str">
        <f>tbl_detail_2022!D67</f>
        <v>Wellpad Fugitives</v>
      </c>
      <c r="E67" t="str">
        <f>tbl_detail_2022!E67</f>
        <v>4: Equipment &gt; 1, no tanks</v>
      </c>
      <c r="F67" t="n">
        <f>tbl_detail_2022!F67</f>
        <v>2861.7458984503901</v>
      </c>
      <c r="G67" t="n">
        <f>tbl_detail_2022!G67</f>
        <v>-603.61157075099402</v>
      </c>
      <c r="H67" t="n">
        <f>tbl_detail_2022!H67</f>
        <v>-167.788747106871</v>
      </c>
      <c r="I67" t="n">
        <f>tbl_detail_2022!I67</f>
        <v>-6.3206021035158404</v>
      </c>
      <c r="J67" t="n">
        <f>tbl_detail_2022!J67</f>
        <v>-13689.6801468183</v>
      </c>
      <c r="K67" t="n">
        <f>tbl_detail_2022!K67</f>
        <v>4630157.49273834</v>
      </c>
      <c r="L67" t="n">
        <f>tbl_detail_2022!L67</f>
        <v>92941.179453731995</v>
      </c>
      <c r="M67" t="n">
        <f>tbl_detail_2022!M67</f>
        <v>4537216.3132846104</v>
      </c>
      <c r="N67" t="n">
        <f>tbl_detail_2022!N67</f>
        <v>9697.8689723504394</v>
      </c>
      <c r="O67" t="n">
        <f>tbl_detail_2022!O67</f>
        <v>4624782.72433725</v>
      </c>
      <c r="P67" t="n">
        <f t="shared" si="1"/>
        <v>4</v>
      </c>
      <c r="Q67" t="n">
        <f t="shared" si="2"/>
        <v>0.7628952120475252</v>
      </c>
      <c r="R67" t="n">
        <f t="shared" si="3"/>
        <v>3532324.9822360533</v>
      </c>
      <c r="S67" t="n">
        <f t="shared" si="8"/>
        <v>70904.380807301961</v>
      </c>
      <c r="T67" t="n">
        <f t="shared" si="9"/>
        <v>3461420.6014287532</v>
      </c>
      <c r="U67" t="n">
        <f t="shared" si="10"/>
        <v>7398.4578060704034</v>
      </c>
      <c r="V67" t="n">
        <f t="shared" si="11"/>
        <v>3528224.5971569978</v>
      </c>
      <c r="W67" t="n">
        <f t="shared" si="4"/>
        <v>1541.5565786705965</v>
      </c>
      <c r="X67" t="n">
        <f t="shared" si="5"/>
        <v>930501.38785288704</v>
      </c>
      <c r="Y67" t="n">
        <f t="shared" si="6"/>
        <v>0.888487047915689</v>
      </c>
      <c r="Z67" t="n">
        <f t="shared" si="7"/>
        <v>826738.43117486313</v>
      </c>
    </row>
    <row r="68">
      <c r="B68" s="52" t="n">
        <v>2025</v>
      </c>
      <c r="C68" t="str">
        <f>tbl_detail_2022!C68</f>
        <v>fugitives</v>
      </c>
      <c r="D68" t="str">
        <f>tbl_detail_2022!D68</f>
        <v>Wellpad Fugitives</v>
      </c>
      <c r="E68" t="str">
        <f>tbl_detail_2022!E68</f>
        <v>5: Equipment = 1 and tanks</v>
      </c>
      <c r="F68" t="n">
        <f>tbl_detail_2022!F68</f>
        <v>2056.5347623418402</v>
      </c>
      <c r="G68" t="n">
        <f>tbl_detail_2022!G68</f>
        <v>-305.94650506686702</v>
      </c>
      <c r="H68" t="n">
        <f>tbl_detail_2022!H68</f>
        <v>-85.045388879850293</v>
      </c>
      <c r="I68" t="n">
        <f>tbl_detail_2022!I68</f>
        <v>-3.2036597991039599</v>
      </c>
      <c r="J68" t="n">
        <f>tbl_detail_2022!J68</f>
        <v>-6938.7500163248496</v>
      </c>
      <c r="K68" t="n">
        <f>tbl_detail_2022!K68</f>
        <v>3327367.3403673</v>
      </c>
      <c r="L68" t="n">
        <f>tbl_detail_2022!L68</f>
        <v>47108.157643969302</v>
      </c>
      <c r="M68" t="n">
        <f>tbl_detail_2022!M68</f>
        <v>3280259.1827233299</v>
      </c>
      <c r="N68" t="n">
        <f>tbl_detail_2022!N68</f>
        <v>6969.1738435178904</v>
      </c>
      <c r="O68" t="n">
        <f>tbl_detail_2022!O68</f>
        <v>3323504.8737302902</v>
      </c>
      <c r="P68" t="n">
        <f t="shared" ref="P68:P131" si="12">B68-2021</f>
        <v>4</v>
      </c>
      <c r="Q68" t="n">
        <f t="shared" ref="Q68:Q131" si="13" xml:space="preserve"> 1/(1+0.07)^P68</f>
        <v>0.7628952120475252</v>
      </c>
      <c r="R68" t="n">
        <f t="shared" ref="R68:R131" si="14">K68*$Q68</f>
        <v>2538432.6126895212</v>
      </c>
      <c r="S68" t="n">
        <f t="shared" si="8"/>
        <v>35938.587914964206</v>
      </c>
      <c r="T68" t="n">
        <f t="shared" si="9"/>
        <v>2502494.0247745565</v>
      </c>
      <c r="U68" t="n">
        <f t="shared" si="10"/>
        <v>5316.7493571466475</v>
      </c>
      <c r="V68" t="n">
        <f t="shared" si="11"/>
        <v>2535485.9553854531</v>
      </c>
      <c r="W68" t="n">
        <f t="shared" ref="W68:W131" si="15">VLOOKUP(B68, $AD$3:$AE$15, 2)</f>
        <v>1541.5565786705965</v>
      </c>
      <c r="X68" t="n">
        <f t="shared" ref="X68:X131" si="16" xml:space="preserve"> -W68*G68</f>
        <v>471633.84760710585</v>
      </c>
      <c r="Y68" t="n">
        <f t="shared" ref="Y68:Y131" si="17">1/(1+0.03)^P68</f>
        <v>0.888487047915689</v>
      </c>
      <c r="Z68" t="n">
        <f t="shared" ref="Z68:Z131" si="18">X68*Y68</f>
        <v>419040.56495755544</v>
      </c>
    </row>
    <row r="69">
      <c r="B69" s="52" t="n">
        <v>2025</v>
      </c>
      <c r="C69" t="str">
        <f>tbl_detail_2022!C69</f>
        <v>fugitives</v>
      </c>
      <c r="D69" t="str">
        <f>tbl_detail_2022!D69</f>
        <v>Wellpad Fugitives</v>
      </c>
      <c r="E69" t="str">
        <f>tbl_detail_2022!E69</f>
        <v>6: Equipment &gt; 1 and tanks</v>
      </c>
      <c r="F69" t="n">
        <f>tbl_detail_2022!F69</f>
        <v>14992.8452077085</v>
      </c>
      <c r="G69" t="n">
        <f>tbl_detail_2022!G69</f>
        <v>-3749.9008400881798</v>
      </c>
      <c r="H69" t="n">
        <f>tbl_detail_2022!H69</f>
        <v>-1042.3775723029601</v>
      </c>
      <c r="I69" t="n">
        <f>tbl_detail_2022!I69</f>
        <v>-39.266363148652601</v>
      </c>
      <c r="J69" t="n">
        <f>tbl_detail_2022!J69</f>
        <v>-85046.320466029501</v>
      </c>
      <c r="K69" t="n">
        <f>tbl_detail_2022!K69</f>
        <v>24257651.461482801</v>
      </c>
      <c r="L69" t="n">
        <f>tbl_detail_2022!L69</f>
        <v>577391.52759898</v>
      </c>
      <c r="M69" t="n">
        <f>tbl_detail_2022!M69</f>
        <v>23680259.933883801</v>
      </c>
      <c r="N69" t="n">
        <f>tbl_detail_2022!N69</f>
        <v>50807.672486163799</v>
      </c>
      <c r="O69" t="n">
        <f>tbl_detail_2022!O69</f>
        <v>24229492.752245702</v>
      </c>
      <c r="P69" t="n">
        <f t="shared" si="12"/>
        <v>4</v>
      </c>
      <c r="Q69" t="n">
        <f t="shared" si="13"/>
        <v>0.7628952120475252</v>
      </c>
      <c r="R69" t="n">
        <f t="shared" si="14"/>
        <v>18506046.155482881</v>
      </c>
      <c r="S69" t="n">
        <f t="shared" si="8"/>
        <v>440489.23188206833</v>
      </c>
      <c r="T69" t="n">
        <f t="shared" si="9"/>
        <v>18065556.923600797</v>
      </c>
      <c r="U69" t="n">
        <f t="shared" si="10"/>
        <v>38760.930074973141</v>
      </c>
      <c r="V69" t="n">
        <f t="shared" si="11"/>
        <v>18484564.011028461</v>
      </c>
      <c r="W69" t="n">
        <f t="shared" si="15"/>
        <v>1541.5565786705965</v>
      </c>
      <c r="X69" t="n">
        <f t="shared" si="16"/>
        <v>5780684.3094003303</v>
      </c>
      <c r="Y69" t="n">
        <f t="shared" si="17"/>
        <v>0.888487047915689</v>
      </c>
      <c r="Z69" t="n">
        <f t="shared" si="18"/>
        <v>5136063.1369916424</v>
      </c>
    </row>
    <row r="70">
      <c r="B70" s="52" t="n">
        <v>2025</v>
      </c>
      <c r="C70" t="str">
        <f>tbl_detail_2022!C70</f>
        <v>compressors</v>
      </c>
      <c r="D70" t="str">
        <f>tbl_detail_2022!D70</f>
        <v>G&amp;B Station Recip Comp</v>
      </c>
      <c r="E70" t="n">
        <f>tbl_detail_2022!E70</f>
        <v>0</v>
      </c>
      <c r="F70" t="n">
        <f>tbl_detail_2022!F70</f>
        <v>4004.6732755933899</v>
      </c>
      <c r="G70" t="n">
        <f>tbl_detail_2022!G70</f>
        <v>-18030.343412573198</v>
      </c>
      <c r="H70" t="n">
        <f>tbl_detail_2022!H70</f>
        <v>-5011.9793582163002</v>
      </c>
      <c r="I70" t="n">
        <f>tbl_detail_2022!I70</f>
        <v>-188.82289371161099</v>
      </c>
      <c r="J70" t="n">
        <f>tbl_detail_2022!J70</f>
        <v>-408921.31002114899</v>
      </c>
      <c r="K70" t="n">
        <f>tbl_detail_2022!K70</f>
        <v>2390789.94552925</v>
      </c>
      <c r="L70" t="n">
        <f>tbl_detail_2022!L70</f>
        <v>2776224.7510190299</v>
      </c>
      <c r="M70" t="n">
        <f>tbl_detail_2022!M70</f>
        <v>-385434.80548977602</v>
      </c>
      <c r="N70" t="n">
        <f>tbl_detail_2022!N70</f>
        <v>0</v>
      </c>
      <c r="O70" t="n">
        <f>tbl_detail_2022!O70</f>
        <v>2390789.94552925</v>
      </c>
      <c r="P70" t="n">
        <f t="shared" si="12"/>
        <v>4</v>
      </c>
      <c r="Q70" t="n">
        <f t="shared" si="13"/>
        <v>0.7628952120475252</v>
      </c>
      <c r="R70" t="n">
        <f t="shared" si="14"/>
        <v>1823922.2024556284</v>
      </c>
      <c r="S70" t="n">
        <f t="shared" si="8"/>
        <v>2117968.5701202508</v>
      </c>
      <c r="T70" t="n">
        <f t="shared" si="9"/>
        <v>-294046.36766461929</v>
      </c>
      <c r="U70" t="n">
        <f t="shared" si="10"/>
        <v>0</v>
      </c>
      <c r="V70" t="n">
        <f t="shared" si="11"/>
        <v>1823922.2024556284</v>
      </c>
      <c r="W70" t="n">
        <f t="shared" si="15"/>
        <v>1541.5565786705965</v>
      </c>
      <c r="X70" t="n">
        <f t="shared" si="16"/>
        <v>27794794.503342267</v>
      </c>
      <c r="Y70" t="n">
        <f t="shared" si="17"/>
        <v>0.888487047915689</v>
      </c>
      <c r="Z70" t="n">
        <f t="shared" si="18"/>
        <v>24695314.915697791</v>
      </c>
    </row>
    <row r="71">
      <c r="B71" s="52" t="n">
        <v>2025</v>
      </c>
      <c r="C71" t="str">
        <f>tbl_detail_2022!C71</f>
        <v>compressors</v>
      </c>
      <c r="D71" t="str">
        <f>tbl_detail_2022!D71</f>
        <v>Proc Recip Comp</v>
      </c>
      <c r="E71" t="n">
        <f>tbl_detail_2022!E71</f>
        <v>0</v>
      </c>
      <c r="F71" t="n">
        <f>tbl_detail_2022!F71</f>
        <v>168.019995897012</v>
      </c>
      <c r="G71" t="n">
        <f>tbl_detail_2022!G71</f>
        <v>-482.90780410680799</v>
      </c>
      <c r="H71" t="n">
        <f>tbl_detail_2022!H71</f>
        <v>-134.23615350648899</v>
      </c>
      <c r="I71" t="n">
        <f>tbl_detail_2022!I71</f>
        <v>-5.0572552547047502</v>
      </c>
      <c r="J71" t="n">
        <f>tbl_detail_2022!J71</f>
        <v>-10952.1647678151</v>
      </c>
      <c r="K71" t="n">
        <f>tbl_detail_2022!K71</f>
        <v>100307.937550516</v>
      </c>
      <c r="L71" t="n">
        <f>tbl_detail_2022!L71</f>
        <v>70851.675537308503</v>
      </c>
      <c r="M71" t="n">
        <f>tbl_detail_2022!M71</f>
        <v>29456.262013207699</v>
      </c>
      <c r="N71" t="n">
        <f>tbl_detail_2022!N71</f>
        <v>0</v>
      </c>
      <c r="O71" t="n">
        <f>tbl_detail_2022!O71</f>
        <v>100307.937550516</v>
      </c>
      <c r="P71" t="n">
        <f t="shared" si="12"/>
        <v>4</v>
      </c>
      <c r="Q71" t="n">
        <f t="shared" si="13"/>
        <v>0.7628952120475252</v>
      </c>
      <c r="R71" t="n">
        <f t="shared" si="14"/>
        <v>76524.445287650815</v>
      </c>
      <c r="S71" t="n">
        <f t="shared" si="8"/>
        <v>54052.404032957427</v>
      </c>
      <c r="T71" t="n">
        <f t="shared" si="9"/>
        <v>22472.041254693548</v>
      </c>
      <c r="U71" t="n">
        <f t="shared" si="10"/>
        <v>0</v>
      </c>
      <c r="V71" t="n">
        <f t="shared" si="11"/>
        <v>76524.445287650815</v>
      </c>
      <c r="W71" t="n">
        <f t="shared" si="15"/>
        <v>1541.5565786705965</v>
      </c>
      <c r="X71" t="n">
        <f t="shared" si="16"/>
        <v>744429.70231222152</v>
      </c>
      <c r="Y71" t="n">
        <f t="shared" si="17"/>
        <v>0.888487047915689</v>
      </c>
      <c r="Z71" t="n">
        <f t="shared" si="18"/>
        <v>661416.14858814084</v>
      </c>
    </row>
    <row r="72">
      <c r="B72" s="52" t="n">
        <v>2025</v>
      </c>
      <c r="C72" t="str">
        <f>tbl_detail_2022!C72</f>
        <v>compressors</v>
      </c>
      <c r="D72" t="str">
        <f>tbl_detail_2022!D72</f>
        <v>T&amp;S Recip Comp</v>
      </c>
      <c r="E72" t="str">
        <f>tbl_detail_2022!E72</f>
        <v>Reciprocating Compressors (Transmission)</v>
      </c>
      <c r="F72" t="n">
        <f>tbl_detail_2022!F72</f>
        <v>1144.89231326296</v>
      </c>
      <c r="G72" t="n">
        <f>tbl_detail_2022!G72</f>
        <v>-3749.6949574671498</v>
      </c>
      <c r="H72" t="n">
        <f>tbl_detail_2022!H72</f>
        <v>-103.77164101656</v>
      </c>
      <c r="I72" t="n">
        <f>tbl_detail_2022!I72</f>
        <v>-3.0821936148760498</v>
      </c>
      <c r="J72" t="n">
        <f>tbl_detail_2022!J72</f>
        <v>-85041.651126728699</v>
      </c>
      <c r="K72" t="n">
        <f>tbl_detail_2022!K72</f>
        <v>683500.71101798804</v>
      </c>
      <c r="L72" t="n">
        <f>tbl_detail_2022!L72</f>
        <v>515766.48320144002</v>
      </c>
      <c r="M72" t="n">
        <f>tbl_detail_2022!M72</f>
        <v>167734.22781654799</v>
      </c>
      <c r="N72" t="n">
        <f>tbl_detail_2022!N72</f>
        <v>0</v>
      </c>
      <c r="O72" t="n">
        <f>tbl_detail_2022!O72</f>
        <v>683500.71101798804</v>
      </c>
      <c r="P72" t="n">
        <f t="shared" si="12"/>
        <v>4</v>
      </c>
      <c r="Q72" t="n">
        <f t="shared" si="13"/>
        <v>0.7628952120475252</v>
      </c>
      <c r="R72" t="n">
        <f t="shared" si="14"/>
        <v>521439.41986670223</v>
      </c>
      <c r="S72" t="n">
        <f t="shared" si="8"/>
        <v>393475.78056896891</v>
      </c>
      <c r="T72" t="n">
        <f t="shared" si="9"/>
        <v>127963.63929773329</v>
      </c>
      <c r="U72" t="n">
        <f t="shared" si="10"/>
        <v>0</v>
      </c>
      <c r="V72" t="n">
        <f t="shared" si="11"/>
        <v>521439.41986670223</v>
      </c>
      <c r="W72" t="n">
        <f t="shared" si="15"/>
        <v>1541.5565786705965</v>
      </c>
      <c r="X72" t="n">
        <f t="shared" si="16"/>
        <v>5780366.9296914479</v>
      </c>
      <c r="Y72" t="n">
        <f t="shared" si="17"/>
        <v>0.888487047915689</v>
      </c>
      <c r="Z72" t="n">
        <f t="shared" si="18"/>
        <v>5135781.1492310297</v>
      </c>
    </row>
    <row r="73">
      <c r="B73" s="52" t="n">
        <v>2025</v>
      </c>
      <c r="C73" t="str">
        <f>tbl_detail_2022!C73</f>
        <v>compressors</v>
      </c>
      <c r="D73" t="str">
        <f>tbl_detail_2022!D73</f>
        <v>T&amp;S Recip Comp</v>
      </c>
      <c r="E73" t="str">
        <f>tbl_detail_2022!E73</f>
        <v>Reciprocating Compressors (Storage)</v>
      </c>
      <c r="F73" t="n">
        <f>tbl_detail_2022!F73</f>
        <v>40.741818191780098</v>
      </c>
      <c r="G73" t="n">
        <f>tbl_detail_2022!G73</f>
        <v>-170.66349560045299</v>
      </c>
      <c r="H73" t="n">
        <f>tbl_detail_2022!H73</f>
        <v>-4.7230591290669199</v>
      </c>
      <c r="I73" t="n">
        <f>tbl_detail_2022!I73</f>
        <v>-0.140282860979032</v>
      </c>
      <c r="J73" t="n">
        <f>tbl_detail_2022!J73</f>
        <v>-3870.5829720946999</v>
      </c>
      <c r="K73" t="n">
        <f>tbl_detail_2022!K73</f>
        <v>24322.8654604927</v>
      </c>
      <c r="L73" t="n">
        <f>tbl_detail_2022!L73</f>
        <v>23474.5791151415</v>
      </c>
      <c r="M73" t="n">
        <f>tbl_detail_2022!M73</f>
        <v>848.28634535117203</v>
      </c>
      <c r="N73" t="n">
        <f>tbl_detail_2022!N73</f>
        <v>0</v>
      </c>
      <c r="O73" t="n">
        <f>tbl_detail_2022!O73</f>
        <v>24322.8654604927</v>
      </c>
      <c r="P73" t="n">
        <f t="shared" si="12"/>
        <v>4</v>
      </c>
      <c r="Q73" t="n">
        <f t="shared" si="13"/>
        <v>0.7628952120475252</v>
      </c>
      <c r="R73" t="n">
        <f t="shared" si="14"/>
        <v>18555.797603086005</v>
      </c>
      <c r="S73" t="n">
        <f t="shared" si="8"/>
        <v>17908.644011772281</v>
      </c>
      <c r="T73" t="n">
        <f t="shared" si="9"/>
        <v>647.15359131370258</v>
      </c>
      <c r="U73" t="n">
        <f t="shared" si="10"/>
        <v>0</v>
      </c>
      <c r="V73" t="n">
        <f t="shared" si="11"/>
        <v>18555.797603086005</v>
      </c>
      <c r="W73" t="n">
        <f t="shared" si="15"/>
        <v>1541.5565786705965</v>
      </c>
      <c r="X73" t="n">
        <f t="shared" si="16"/>
        <v>263087.43438179872</v>
      </c>
      <c r="Y73" t="n">
        <f t="shared" si="17"/>
        <v>0.888487047915689</v>
      </c>
      <c r="Z73" t="n">
        <f t="shared" si="18"/>
        <v>233749.77791759689</v>
      </c>
    </row>
    <row r="74">
      <c r="B74" s="52" t="n">
        <v>2025</v>
      </c>
      <c r="C74" t="str">
        <f>tbl_detail_2022!C74</f>
        <v>compressors</v>
      </c>
      <c r="D74" t="str">
        <f>tbl_detail_2022!D74</f>
        <v>Wet Seal Centrifugal Compr</v>
      </c>
      <c r="E74" t="str">
        <f>tbl_detail_2022!E74</f>
        <v>G&amp;B WS Centrifugal Comp</v>
      </c>
      <c r="F74" t="n">
        <f>tbl_detail_2022!F74</f>
        <v>53.301702718808201</v>
      </c>
      <c r="G74" t="n">
        <f>tbl_detail_2022!G74</f>
        <v>-11952.7989886165</v>
      </c>
      <c r="H74" t="n">
        <f>tbl_detail_2022!H74</f>
        <v>-3322.5757509465402</v>
      </c>
      <c r="I74" t="n">
        <f>tbl_detail_2022!I74</f>
        <v>-125.175768499779</v>
      </c>
      <c r="J74" t="n">
        <f>tbl_detail_2022!J74</f>
        <v>-271084.92106900702</v>
      </c>
      <c r="K74" t="n">
        <f>tbl_detail_2022!K74</f>
        <v>1332542.56797021</v>
      </c>
      <c r="L74" t="n">
        <f>tbl_detail_2022!L74</f>
        <v>1840433.9638374301</v>
      </c>
      <c r="M74" t="n">
        <f>tbl_detail_2022!M74</f>
        <v>-507891.39586722502</v>
      </c>
      <c r="N74" t="n">
        <f>tbl_detail_2022!N74</f>
        <v>0</v>
      </c>
      <c r="O74" t="n">
        <f>tbl_detail_2022!O74</f>
        <v>1332542.56797021</v>
      </c>
      <c r="P74" t="n">
        <f t="shared" si="12"/>
        <v>4</v>
      </c>
      <c r="Q74" t="n">
        <f t="shared" si="13"/>
        <v>0.7628952120475252</v>
      </c>
      <c r="R74" t="n">
        <f t="shared" si="14"/>
        <v>1016590.344953987</v>
      </c>
      <c r="S74" t="n">
        <f t="shared" si="8"/>
        <v>1404058.2591012237</v>
      </c>
      <c r="T74" t="n">
        <f t="shared" si="9"/>
        <v>-387467.91414724017</v>
      </c>
      <c r="U74" t="n">
        <f t="shared" si="10"/>
        <v>0</v>
      </c>
      <c r="V74" t="n">
        <f t="shared" si="11"/>
        <v>1016590.344953987</v>
      </c>
      <c r="W74" t="n">
        <f t="shared" si="15"/>
        <v>1541.5565786705965</v>
      </c>
      <c r="X74" t="n">
        <f t="shared" si="16"/>
        <v>18425915.914429016</v>
      </c>
      <c r="Y74" t="n">
        <f t="shared" si="17"/>
        <v>0.888487047915689</v>
      </c>
      <c r="Z74" t="n">
        <f t="shared" si="18"/>
        <v>16371187.63595375</v>
      </c>
    </row>
    <row r="75">
      <c r="B75" s="52" t="n">
        <v>2025</v>
      </c>
      <c r="C75" t="str">
        <f>tbl_detail_2022!C75</f>
        <v>compressors</v>
      </c>
      <c r="D75" t="str">
        <f>tbl_detail_2022!D75</f>
        <v>Wet Seal Centrifugal Compr</v>
      </c>
      <c r="E75" t="str">
        <f>tbl_detail_2022!E75</f>
        <v>Proc WS Centrifugal Comp</v>
      </c>
      <c r="F75" t="n">
        <f>tbl_detail_2022!F75</f>
        <v>0</v>
      </c>
      <c r="G75" t="n">
        <f>tbl_detail_2022!G75</f>
        <v>0</v>
      </c>
      <c r="H75" t="n">
        <f>tbl_detail_2022!H75</f>
        <v>0</v>
      </c>
      <c r="I75" t="n">
        <f>tbl_detail_2022!I75</f>
        <v>0</v>
      </c>
      <c r="J75" t="n">
        <f>tbl_detail_2022!J75</f>
        <v>0</v>
      </c>
      <c r="K75" t="n">
        <f>tbl_detail_2022!K75</f>
        <v>0</v>
      </c>
      <c r="L75" t="n">
        <f>tbl_detail_2022!L75</f>
        <v>0</v>
      </c>
      <c r="M75" t="n">
        <f>tbl_detail_2022!M75</f>
        <v>0</v>
      </c>
      <c r="N75" t="n">
        <f>tbl_detail_2022!N75</f>
        <v>0</v>
      </c>
      <c r="O75" t="n">
        <f>tbl_detail_2022!O75</f>
        <v>0</v>
      </c>
      <c r="P75" t="n">
        <f t="shared" si="12"/>
        <v>4</v>
      </c>
      <c r="Q75" t="n">
        <f t="shared" si="13"/>
        <v>0.7628952120475252</v>
      </c>
      <c r="R75" t="n">
        <f t="shared" si="14"/>
        <v>0</v>
      </c>
      <c r="S75" t="n">
        <f t="shared" si="8"/>
        <v>0</v>
      </c>
      <c r="T75" t="n">
        <f t="shared" si="9"/>
        <v>0</v>
      </c>
      <c r="U75" t="n">
        <f t="shared" si="10"/>
        <v>0</v>
      </c>
      <c r="V75" t="n">
        <f t="shared" si="11"/>
        <v>0</v>
      </c>
      <c r="W75" t="n">
        <f t="shared" si="15"/>
        <v>1541.5565786705965</v>
      </c>
      <c r="X75" t="n">
        <f t="shared" si="16"/>
        <v>0</v>
      </c>
      <c r="Y75" t="n">
        <f t="shared" si="17"/>
        <v>0.888487047915689</v>
      </c>
      <c r="Z75" t="n">
        <f t="shared" si="18"/>
        <v>0</v>
      </c>
    </row>
    <row r="76">
      <c r="B76" s="52" t="n">
        <v>2025</v>
      </c>
      <c r="C76" t="str">
        <f>tbl_detail_2022!C76</f>
        <v>compressors</v>
      </c>
      <c r="D76" t="str">
        <f>tbl_detail_2022!D76</f>
        <v>Wet Seal Centrifugal Compr</v>
      </c>
      <c r="E76" t="str">
        <f>tbl_detail_2022!E76</f>
        <v>T&amp;S WS Centrifugal Comp</v>
      </c>
      <c r="F76" t="n">
        <f>tbl_detail_2022!F76</f>
        <v>0</v>
      </c>
      <c r="G76" t="n">
        <f>tbl_detail_2022!G76</f>
        <v>0</v>
      </c>
      <c r="H76" t="n">
        <f>tbl_detail_2022!H76</f>
        <v>0</v>
      </c>
      <c r="I76" t="n">
        <f>tbl_detail_2022!I76</f>
        <v>0</v>
      </c>
      <c r="J76" t="n">
        <f>tbl_detail_2022!J76</f>
        <v>0</v>
      </c>
      <c r="K76" t="n">
        <f>tbl_detail_2022!K76</f>
        <v>0</v>
      </c>
      <c r="L76" t="n">
        <f>tbl_detail_2022!L76</f>
        <v>0</v>
      </c>
      <c r="M76" t="n">
        <f>tbl_detail_2022!M76</f>
        <v>0</v>
      </c>
      <c r="N76" t="n">
        <f>tbl_detail_2022!N76</f>
        <v>0</v>
      </c>
      <c r="O76" t="n">
        <f>tbl_detail_2022!O76</f>
        <v>0</v>
      </c>
      <c r="P76" t="n">
        <f t="shared" si="12"/>
        <v>4</v>
      </c>
      <c r="Q76" t="n">
        <f t="shared" si="13"/>
        <v>0.7628952120475252</v>
      </c>
      <c r="R76" t="n">
        <f t="shared" si="14"/>
        <v>0</v>
      </c>
      <c r="S76" t="n">
        <f t="shared" si="8"/>
        <v>0</v>
      </c>
      <c r="T76" t="n">
        <f t="shared" si="9"/>
        <v>0</v>
      </c>
      <c r="U76" t="n">
        <f t="shared" si="10"/>
        <v>0</v>
      </c>
      <c r="V76" t="n">
        <f t="shared" si="11"/>
        <v>0</v>
      </c>
      <c r="W76" t="n">
        <f t="shared" si="15"/>
        <v>1541.5565786705965</v>
      </c>
      <c r="X76" t="n">
        <f t="shared" si="16"/>
        <v>0</v>
      </c>
      <c r="Y76" t="n">
        <f t="shared" si="17"/>
        <v>0.888487047915689</v>
      </c>
      <c r="Z76" t="n">
        <f t="shared" si="18"/>
        <v>0</v>
      </c>
    </row>
    <row r="77">
      <c r="B77" s="52" t="n">
        <v>2025</v>
      </c>
      <c r="C77" t="str">
        <f>tbl_detail_2022!C77</f>
        <v>compressors</v>
      </c>
      <c r="D77" t="str">
        <f>tbl_detail_2022!D77</f>
        <v>Dry Seal Centrifugal Compr</v>
      </c>
      <c r="E77" t="str">
        <f>tbl_detail_2022!E77</f>
        <v>G&amp;B DS Centrifugal Comp</v>
      </c>
      <c r="F77" t="n">
        <f>tbl_detail_2022!F77</f>
        <v>81.754757075900301</v>
      </c>
      <c r="G77" t="n">
        <f>tbl_detail_2022!G77</f>
        <v>-1318.40471707663</v>
      </c>
      <c r="H77" t="n">
        <f>tbl_detail_2022!H77</f>
        <v>-366.48315989118697</v>
      </c>
      <c r="I77" t="n">
        <f>tbl_detail_2022!I77</f>
        <v>-13.807002344051201</v>
      </c>
      <c r="J77" t="n">
        <f>tbl_detail_2022!J77</f>
        <v>-29900.9160118984</v>
      </c>
      <c r="K77" t="n">
        <f>tbl_detail_2022!K77</f>
        <v>1226321.3561385099</v>
      </c>
      <c r="L77" t="n">
        <f>tbl_detail_2022!L77</f>
        <v>203001.558187516</v>
      </c>
      <c r="M77" t="n">
        <f>tbl_detail_2022!M77</f>
        <v>1023319.79795099</v>
      </c>
      <c r="N77" t="n">
        <f>tbl_detail_2022!N77</f>
        <v>0</v>
      </c>
      <c r="O77" t="n">
        <f>tbl_detail_2022!O77</f>
        <v>1226321.3561385099</v>
      </c>
      <c r="P77" t="n">
        <f t="shared" si="12"/>
        <v>4</v>
      </c>
      <c r="Q77" t="n">
        <f t="shared" si="13"/>
        <v>0.7628952120475252</v>
      </c>
      <c r="R77" t="n">
        <f t="shared" si="14"/>
        <v>935554.69102969719</v>
      </c>
      <c r="S77" t="n">
        <f t="shared" si="8"/>
        <v>154868.91677944304</v>
      </c>
      <c r="T77" t="n">
        <f t="shared" si="9"/>
        <v>780685.77425025112</v>
      </c>
      <c r="U77" t="n">
        <f t="shared" si="10"/>
        <v>0</v>
      </c>
      <c r="V77" t="n">
        <f t="shared" si="11"/>
        <v>935554.69102969719</v>
      </c>
      <c r="W77" t="n">
        <f t="shared" si="15"/>
        <v>1541.5565786705965</v>
      </c>
      <c r="X77" t="n">
        <f t="shared" si="16"/>
        <v>2032395.4649598256</v>
      </c>
      <c r="Y77" t="n">
        <f t="shared" si="17"/>
        <v>0.888487047915689</v>
      </c>
      <c r="Z77" t="n">
        <f t="shared" si="18"/>
        <v>1805757.0468593896</v>
      </c>
    </row>
    <row r="78">
      <c r="B78" s="52" t="n">
        <v>2025</v>
      </c>
      <c r="C78" t="str">
        <f>tbl_detail_2022!C78</f>
        <v>compressors</v>
      </c>
      <c r="D78" t="str">
        <f>tbl_detail_2022!D78</f>
        <v>Dry Seal Centrifugal Compr</v>
      </c>
      <c r="E78" t="str">
        <f>tbl_detail_2022!E78</f>
        <v>Proc DS Centrifugal Comp</v>
      </c>
      <c r="F78" t="n">
        <f>tbl_detail_2022!F78</f>
        <v>28.072110164064998</v>
      </c>
      <c r="G78" t="n">
        <f>tbl_detail_2022!G78</f>
        <v>-218.46578584504101</v>
      </c>
      <c r="H78" t="n">
        <f>tbl_detail_2022!H78</f>
        <v>-60.727961973719403</v>
      </c>
      <c r="I78" t="n">
        <f>tbl_detail_2022!I78</f>
        <v>-16.880837203942502</v>
      </c>
      <c r="J78" t="n">
        <f>tbl_detail_2022!J78</f>
        <v>-4954.7206782682297</v>
      </c>
      <c r="K78" t="n">
        <f>tbl_detail_2022!K78</f>
        <v>421081.652460974</v>
      </c>
      <c r="L78" t="n">
        <f>tbl_detail_2022!L78</f>
        <v>32053.047896638302</v>
      </c>
      <c r="M78" t="n">
        <f>tbl_detail_2022!M78</f>
        <v>389028.60456433601</v>
      </c>
      <c r="N78" t="n">
        <f>tbl_detail_2022!N78</f>
        <v>0</v>
      </c>
      <c r="O78" t="n">
        <f>tbl_detail_2022!O78</f>
        <v>421081.652460974</v>
      </c>
      <c r="P78" t="n">
        <f t="shared" si="12"/>
        <v>4</v>
      </c>
      <c r="Q78" t="n">
        <f t="shared" si="13"/>
        <v>0.7628952120475252</v>
      </c>
      <c r="R78" t="n">
        <f t="shared" si="14"/>
        <v>321241.17654353706</v>
      </c>
      <c r="S78" t="n">
        <f t="shared" si="8"/>
        <v>24453.116771875357</v>
      </c>
      <c r="T78" t="n">
        <f t="shared" si="9"/>
        <v>296788.05977166194</v>
      </c>
      <c r="U78" t="n">
        <f t="shared" si="10"/>
        <v>0</v>
      </c>
      <c r="V78" t="n">
        <f t="shared" si="11"/>
        <v>321241.17654353706</v>
      </c>
      <c r="W78" t="n">
        <f t="shared" si="15"/>
        <v>1541.5565786705965</v>
      </c>
      <c r="X78" t="n">
        <f t="shared" si="16"/>
        <v>336777.36938386469</v>
      </c>
      <c r="Y78" t="n">
        <f t="shared" si="17"/>
        <v>0.888487047915689</v>
      </c>
      <c r="Z78" t="n">
        <f t="shared" si="18"/>
        <v>299222.33072868147</v>
      </c>
    </row>
    <row r="79">
      <c r="B79" s="52" t="n">
        <v>2025</v>
      </c>
      <c r="C79" t="str">
        <f>tbl_detail_2022!C79</f>
        <v>compressors</v>
      </c>
      <c r="D79" t="str">
        <f>tbl_detail_2022!D79</f>
        <v>Dry Seal Centrifugal Compr</v>
      </c>
      <c r="E79" t="str">
        <f>tbl_detail_2022!E79</f>
        <v>T&amp;S DS Centrifugal Comp</v>
      </c>
      <c r="F79" t="n">
        <f>tbl_detail_2022!F79</f>
        <v>483.43675397381497</v>
      </c>
      <c r="G79" t="n">
        <f>tbl_detail_2022!G79</f>
        <v>-8727.0773782640899</v>
      </c>
      <c r="H79" t="n">
        <f>tbl_detail_2022!H79</f>
        <v>-241.519150515831</v>
      </c>
      <c r="I79" t="n">
        <f>tbl_detail_2022!I79</f>
        <v>-6.6839673280737202</v>
      </c>
      <c r="J79" t="n">
        <f>tbl_detail_2022!J79</f>
        <v>-197926.78555900999</v>
      </c>
      <c r="K79" t="n">
        <f>tbl_detail_2022!K79</f>
        <v>7251551.3096072199</v>
      </c>
      <c r="L79" t="n">
        <f>tbl_detail_2022!L79</f>
        <v>1200400.0482894001</v>
      </c>
      <c r="M79" t="n">
        <f>tbl_detail_2022!M79</f>
        <v>6051151.2613178203</v>
      </c>
      <c r="N79" t="n">
        <f>tbl_detail_2022!N79</f>
        <v>0</v>
      </c>
      <c r="O79" t="n">
        <f>tbl_detail_2022!O79</f>
        <v>7251551.3096072199</v>
      </c>
      <c r="P79" t="n">
        <f t="shared" si="12"/>
        <v>4</v>
      </c>
      <c r="Q79" t="n">
        <f t="shared" si="13"/>
        <v>0.7628952120475252</v>
      </c>
      <c r="R79" t="n">
        <f t="shared" si="14"/>
        <v>5532173.7740163086</v>
      </c>
      <c r="S79" t="n">
        <f t="shared" si="8"/>
        <v>915779.4493816013</v>
      </c>
      <c r="T79" t="n">
        <f t="shared" si="9"/>
        <v>4616394.3246347085</v>
      </c>
      <c r="U79" t="n">
        <f t="shared" si="10"/>
        <v>0</v>
      </c>
      <c r="V79" t="n">
        <f t="shared" si="11"/>
        <v>5532173.7740163086</v>
      </c>
      <c r="W79" t="n">
        <f t="shared" si="15"/>
        <v>1541.5565786705965</v>
      </c>
      <c r="X79" t="n">
        <f t="shared" si="16"/>
        <v>13453283.54503035</v>
      </c>
      <c r="Y79" t="n">
        <f t="shared" si="17"/>
        <v>0.888487047915689</v>
      </c>
      <c r="Z79" t="n">
        <f t="shared" si="18"/>
        <v>11953068.181696732</v>
      </c>
    </row>
    <row r="80">
      <c r="B80" s="52" t="n">
        <v>2025</v>
      </c>
      <c r="C80" t="str">
        <f>tbl_detail_2022!C80</f>
        <v>liquids_unloading</v>
      </c>
      <c r="D80" t="n">
        <f>tbl_detail_2022!D80</f>
        <v>0</v>
      </c>
      <c r="E80" t="n">
        <f>tbl_detail_2022!E80</f>
        <v>0</v>
      </c>
      <c r="F80" t="n">
        <f>tbl_detail_2022!F80</f>
        <v>14837.3211208179</v>
      </c>
      <c r="G80" t="n">
        <f>tbl_detail_2022!G80</f>
        <v>-1468.4109295812</v>
      </c>
      <c r="H80" t="n">
        <f>tbl_detail_2022!H80</f>
        <v>-408.18109228624098</v>
      </c>
      <c r="I80" t="n">
        <f>tbl_detail_2022!I80</f>
        <v>-15.3779434221939</v>
      </c>
      <c r="J80" t="n">
        <f>tbl_detail_2022!J80</f>
        <v>-33302.999684131901</v>
      </c>
      <c r="K80" t="n">
        <f>tbl_detail_2022!K80</f>
        <v>964425.87285316503</v>
      </c>
      <c r="L80" t="n">
        <f>tbl_detail_2022!L80</f>
        <v>226098.786589244</v>
      </c>
      <c r="M80" t="n">
        <f>tbl_detail_2022!M80</f>
        <v>738327.086263921</v>
      </c>
      <c r="N80" t="n">
        <f>tbl_detail_2022!N80</f>
        <v>0</v>
      </c>
      <c r="O80" t="n">
        <f>tbl_detail_2022!O80</f>
        <v>964425.87285316503</v>
      </c>
      <c r="P80" t="n">
        <f t="shared" si="12"/>
        <v>4</v>
      </c>
      <c r="Q80" t="n">
        <f t="shared" si="13"/>
        <v>0.7628952120475252</v>
      </c>
      <c r="R80" t="n">
        <f t="shared" si="14"/>
        <v>735755.88077443489</v>
      </c>
      <c r="S80" t="n">
        <f t="shared" si="8"/>
        <v>172489.68173868945</v>
      </c>
      <c r="T80" t="n">
        <f t="shared" si="9"/>
        <v>563266.19903574546</v>
      </c>
      <c r="U80" t="n">
        <f t="shared" si="10"/>
        <v>0</v>
      </c>
      <c r="V80" t="n">
        <f t="shared" si="11"/>
        <v>735755.88077443489</v>
      </c>
      <c r="W80" t="n">
        <f t="shared" si="15"/>
        <v>1541.5565786705965</v>
      </c>
      <c r="X80" t="n">
        <f t="shared" si="16"/>
        <v>2263638.5286877048</v>
      </c>
      <c r="Y80" t="n">
        <f t="shared" si="17"/>
        <v>0.888487047915689</v>
      </c>
      <c r="Z80" t="n">
        <f t="shared" si="18"/>
        <v>2011213.5139019527</v>
      </c>
    </row>
    <row r="81">
      <c r="B81" s="52" t="n">
        <v>2025</v>
      </c>
      <c r="C81" t="str">
        <f>tbl_detail_2022!C81</f>
        <v>pneucontr</v>
      </c>
      <c r="D81" t="str">
        <f>tbl_detail_2022!D81</f>
        <v>G&amp;B Pneumatic Controllers</v>
      </c>
      <c r="E81" t="n">
        <f>tbl_detail_2022!E81</f>
        <v>0</v>
      </c>
      <c r="F81" t="n">
        <f>tbl_detail_2022!F81</f>
        <v>1548.22495100931</v>
      </c>
      <c r="G81" t="n">
        <f>tbl_detail_2022!G81</f>
        <v>-45891.229793513201</v>
      </c>
      <c r="H81" t="n">
        <f>tbl_detail_2022!H81</f>
        <v>-12756.600972156601</v>
      </c>
      <c r="I81" t="n">
        <f>tbl_detail_2022!I81</f>
        <v>-480.54115862113798</v>
      </c>
      <c r="J81" t="n">
        <f>tbl_detail_2022!J81</f>
        <v>-1040795.58421271</v>
      </c>
      <c r="K81" t="n">
        <f>tbl_detail_2022!K81</f>
        <v>6973261.6293099802</v>
      </c>
      <c r="L81" t="n">
        <f>tbl_detail_2022!L81</f>
        <v>7066108.7862924002</v>
      </c>
      <c r="M81" t="n">
        <f>tbl_detail_2022!M81</f>
        <v>-92847.156982427899</v>
      </c>
      <c r="N81" t="n">
        <f>tbl_detail_2022!N81</f>
        <v>19649136.0213998</v>
      </c>
      <c r="O81" t="n">
        <f>tbl_detail_2022!O81</f>
        <v>-1972084.14200679</v>
      </c>
      <c r="P81" t="n">
        <f t="shared" si="12"/>
        <v>4</v>
      </c>
      <c r="Q81" t="n">
        <f t="shared" si="13"/>
        <v>0.7628952120475252</v>
      </c>
      <c r="R81" t="n">
        <f t="shared" si="14"/>
        <v>5319867.9093553079</v>
      </c>
      <c r="S81" t="n">
        <f t="shared" si="8"/>
        <v>5390700.5608694218</v>
      </c>
      <c r="T81" t="n">
        <f t="shared" si="9"/>
        <v>-70832.651514119192</v>
      </c>
      <c r="U81" t="n">
        <f t="shared" si="10"/>
        <v>14990231.791596467</v>
      </c>
      <c r="V81" t="n">
        <f t="shared" si="11"/>
        <v>-1504493.5496918319</v>
      </c>
      <c r="W81" t="n">
        <f t="shared" si="15"/>
        <v>1541.5565786705965</v>
      </c>
      <c r="X81" t="n">
        <f t="shared" si="16"/>
        <v>70743927.191474363</v>
      </c>
      <c r="Y81" t="n">
        <f t="shared" si="17"/>
        <v>0.888487047915689</v>
      </c>
      <c r="Z81" t="n">
        <f t="shared" si="18"/>
        <v>62855063.028315499</v>
      </c>
    </row>
    <row r="82">
      <c r="B82" s="52" t="n">
        <v>2025</v>
      </c>
      <c r="C82" t="str">
        <f>tbl_detail_2022!C82</f>
        <v>pneucontr</v>
      </c>
      <c r="D82" t="str">
        <f>tbl_detail_2022!D82</f>
        <v>T&amp;S Pneumatic Controllers</v>
      </c>
      <c r="E82" t="n">
        <f>tbl_detail_2022!E82</f>
        <v>0</v>
      </c>
      <c r="F82" t="n">
        <f>tbl_detail_2022!F82</f>
        <v>14905.398220826801</v>
      </c>
      <c r="G82" t="n">
        <f>tbl_detail_2022!G82</f>
        <v>-5512.6348957842101</v>
      </c>
      <c r="H82" t="n">
        <f>tbl_detail_2022!H82</f>
        <v>-152.56045517022301</v>
      </c>
      <c r="I82" t="n">
        <f>tbl_detail_2022!I82</f>
        <v>-4.5313040846410901</v>
      </c>
      <c r="J82" t="n">
        <f>tbl_detail_2022!J82</f>
        <v>-125024.45636617301</v>
      </c>
      <c r="K82" t="n">
        <f>tbl_detail_2022!K82</f>
        <v>1092239.85508405</v>
      </c>
      <c r="L82" t="n">
        <f>tbl_detail_2022!L82</f>
        <v>758256.96373251197</v>
      </c>
      <c r="M82" t="n">
        <f>tbl_detail_2022!M82</f>
        <v>333982.89135154302</v>
      </c>
      <c r="N82" t="n">
        <f>tbl_detail_2022!N82</f>
        <v>7280482.2424421003</v>
      </c>
      <c r="O82" t="n">
        <f>tbl_detail_2022!O82</f>
        <v>-1848412.52104413</v>
      </c>
      <c r="P82" t="n">
        <f t="shared" si="12"/>
        <v>4</v>
      </c>
      <c r="Q82" t="n">
        <f t="shared" si="13"/>
        <v>0.7628952120475252</v>
      </c>
      <c r="R82" t="n">
        <f t="shared" si="14"/>
        <v>833264.55585110455</v>
      </c>
      <c r="S82" t="n">
        <f t="shared" si="8"/>
        <v>578470.60713322728</v>
      </c>
      <c r="T82" t="n">
        <f t="shared" si="9"/>
        <v>254793.94871788096</v>
      </c>
      <c r="U82" t="n">
        <f t="shared" si="10"/>
        <v>5554245.0441561081</v>
      </c>
      <c r="V82" t="n">
        <f t="shared" si="11"/>
        <v>-1410145.0621932622</v>
      </c>
      <c r="W82" t="n">
        <f t="shared" si="15"/>
        <v>1541.5565786705965</v>
      </c>
      <c r="X82" t="n">
        <f t="shared" si="16"/>
        <v>8498038.5894052479</v>
      </c>
      <c r="Y82" t="n">
        <f t="shared" si="17"/>
        <v>0.888487047915689</v>
      </c>
      <c r="Z82" t="n">
        <f t="shared" si="18"/>
        <v>7550397.2193742748</v>
      </c>
    </row>
    <row r="83">
      <c r="B83" s="52" t="n">
        <v>2025</v>
      </c>
      <c r="C83" t="str">
        <f>tbl_detail_2022!C83</f>
        <v>pneucontr</v>
      </c>
      <c r="D83" t="str">
        <f>tbl_detail_2022!D83</f>
        <v>Well Pad Pneumatic Controllers</v>
      </c>
      <c r="E83" t="n">
        <f>tbl_detail_2022!E83</f>
        <v>0</v>
      </c>
      <c r="F83" t="n">
        <f>tbl_detail_2022!F83</f>
        <v>141602.83625327001</v>
      </c>
      <c r="G83" t="n">
        <f>tbl_detail_2022!G83</f>
        <v>-171295.76809823501</v>
      </c>
      <c r="H83" t="n">
        <f>tbl_detail_2022!H83</f>
        <v>-47615.8902622639</v>
      </c>
      <c r="I83" t="n">
        <f>tbl_detail_2022!I83</f>
        <v>-1793.6905861794801</v>
      </c>
      <c r="J83" t="n">
        <f>tbl_detail_2022!J83</f>
        <v>-3884922.67113245</v>
      </c>
      <c r="K83" t="n">
        <f>tbl_detail_2022!K83</f>
        <v>48061311.423374802</v>
      </c>
      <c r="L83" t="n">
        <f>tbl_detail_2022!L83</f>
        <v>26375290.822664801</v>
      </c>
      <c r="M83" t="n">
        <f>tbl_detail_2022!M83</f>
        <v>21686020.600710101</v>
      </c>
      <c r="N83" t="n">
        <f>tbl_detail_2022!N83</f>
        <v>139394757.30914301</v>
      </c>
      <c r="O83" t="n">
        <f>tbl_detail_2022!O83</f>
        <v>-8496170.1751961894</v>
      </c>
      <c r="P83" t="n">
        <f t="shared" si="12"/>
        <v>4</v>
      </c>
      <c r="Q83" t="n">
        <f t="shared" si="13"/>
        <v>0.7628952120475252</v>
      </c>
      <c r="R83" t="n">
        <f t="shared" si="14"/>
        <v>36665744.369617663</v>
      </c>
      <c r="S83" t="n">
        <f t="shared" ref="S83:S146" si="19">L83*$Q83</f>
        <v>20121583.084972009</v>
      </c>
      <c r="T83" t="n">
        <f t="shared" ref="T83:T146" si="20">M83*$Q83</f>
        <v>16544161.284645732</v>
      </c>
      <c r="U83" t="n">
        <f t="shared" ref="U83:U146" si="21">N83*$Q83</f>
        <v>106343592.93567197</v>
      </c>
      <c r="V83" t="n">
        <f t="shared" ref="V83:V146" si="22">O83*$Q83</f>
        <v>-6481687.5473981565</v>
      </c>
      <c r="W83" t="n">
        <f t="shared" si="15"/>
        <v>1541.5565786705965</v>
      </c>
      <c r="X83" t="n">
        <f t="shared" si="16"/>
        <v>264062118.2102671</v>
      </c>
      <c r="Y83" t="n">
        <f t="shared" si="17"/>
        <v>0.888487047915689</v>
      </c>
      <c r="Z83" t="n">
        <f t="shared" si="18"/>
        <v>234615771.8750039</v>
      </c>
    </row>
    <row r="84">
      <c r="B84" s="52" t="n">
        <v>2025</v>
      </c>
      <c r="C84" t="str">
        <f>tbl_detail_2022!C84</f>
        <v>pumps</v>
      </c>
      <c r="D84" t="str">
        <f>tbl_detail_2022!D84</f>
        <v>G&amp;B Pneumatic Pumps</v>
      </c>
      <c r="E84" t="n">
        <f>tbl_detail_2022!E84</f>
        <v>0</v>
      </c>
      <c r="F84" t="n">
        <f>tbl_detail_2022!F84</f>
        <v>165.84108118995701</v>
      </c>
      <c r="G84" t="n">
        <f>tbl_detail_2022!G84</f>
        <v>-6607.9967177485396</v>
      </c>
      <c r="H84" t="n">
        <f>tbl_detail_2022!H84</f>
        <v>-1836.8559250411199</v>
      </c>
      <c r="I84" t="n">
        <f>tbl_detail_2022!I84</f>
        <v>-69.194362696299194</v>
      </c>
      <c r="J84" t="n">
        <f>tbl_detail_2022!J84</f>
        <v>-149866.84460778901</v>
      </c>
      <c r="K84" t="n">
        <f>tbl_detail_2022!K84</f>
        <v>2730035.3023709599</v>
      </c>
      <c r="L84" t="n">
        <f>tbl_detail_2022!L84</f>
        <v>1017467.25631821</v>
      </c>
      <c r="M84" t="n">
        <f>tbl_detail_2022!M84</f>
        <v>1712568.04605275</v>
      </c>
      <c r="N84" t="n">
        <f>tbl_detail_2022!N84</f>
        <v>6150195.2794921901</v>
      </c>
      <c r="O84" t="n">
        <f>tbl_detail_2022!O84</f>
        <v>-211243.57031887601</v>
      </c>
      <c r="P84" t="n">
        <f t="shared" si="12"/>
        <v>4</v>
      </c>
      <c r="Q84" t="n">
        <f t="shared" si="13"/>
        <v>0.7628952120475252</v>
      </c>
      <c r="R84" t="n">
        <f t="shared" si="14"/>
        <v>2082730.8608995229</v>
      </c>
      <c r="S84" t="n">
        <f t="shared" si="19"/>
        <v>776220.89826029458</v>
      </c>
      <c r="T84" t="n">
        <f t="shared" si="20"/>
        <v>1306509.9626392287</v>
      </c>
      <c r="U84" t="n">
        <f t="shared" si="21"/>
        <v>4691954.5318818828</v>
      </c>
      <c r="V84" t="n">
        <f t="shared" si="22"/>
        <v>-161156.70837209522</v>
      </c>
      <c r="W84" t="n">
        <f t="shared" si="15"/>
        <v>1541.5565786705965</v>
      </c>
      <c r="X84" t="n">
        <f t="shared" si="16"/>
        <v>10186600.81207897</v>
      </c>
      <c r="Y84" t="n">
        <f t="shared" si="17"/>
        <v>0.888487047915689</v>
      </c>
      <c r="Z84" t="n">
        <f t="shared" si="18"/>
        <v>9050662.8838196043</v>
      </c>
    </row>
    <row r="85">
      <c r="B85" s="52" t="n">
        <v>2025</v>
      </c>
      <c r="C85" t="str">
        <f>tbl_detail_2022!C85</f>
        <v>pumps</v>
      </c>
      <c r="D85" t="str">
        <f>tbl_detail_2022!D85</f>
        <v>Well Pad Pumps</v>
      </c>
      <c r="E85" t="n">
        <f>tbl_detail_2022!E85</f>
        <v>0</v>
      </c>
      <c r="F85" t="n">
        <f>tbl_detail_2022!F85</f>
        <v>7422.06945544474</v>
      </c>
      <c r="G85" t="n">
        <f>tbl_detail_2022!G85</f>
        <v>-12445.2654963315</v>
      </c>
      <c r="H85" t="n">
        <f>tbl_detail_2022!H85</f>
        <v>-3459.4689800988899</v>
      </c>
      <c r="I85" t="n">
        <f>tbl_detail_2022!I85</f>
        <v>-130.31819648032501</v>
      </c>
      <c r="J85" t="n">
        <f>tbl_detail_2022!J85</f>
        <v>-282253.87358801102</v>
      </c>
      <c r="K85" t="n">
        <f>tbl_detail_2022!K85</f>
        <v>6385036.82605993</v>
      </c>
      <c r="L85" t="n">
        <f>tbl_detail_2022!L85</f>
        <v>1916261.5660345601</v>
      </c>
      <c r="M85" t="n">
        <f>tbl_detail_2022!M85</f>
        <v>4468775.2600253699</v>
      </c>
      <c r="N85" t="n">
        <f>tbl_detail_2022!N85</f>
        <v>16165867.4085541</v>
      </c>
      <c r="O85" t="n">
        <f>tbl_detail_2022!O85</f>
        <v>-445324.16732668399</v>
      </c>
      <c r="P85" t="n">
        <f t="shared" si="12"/>
        <v>4</v>
      </c>
      <c r="Q85" t="n">
        <f t="shared" si="13"/>
        <v>0.7628952120475252</v>
      </c>
      <c r="R85" t="n">
        <f t="shared" si="14"/>
        <v>4871114.0233482476</v>
      </c>
      <c r="S85" t="n">
        <f t="shared" si="19"/>
        <v>1461906.7737584584</v>
      </c>
      <c r="T85" t="n">
        <f t="shared" si="20"/>
        <v>3409207.2495897892</v>
      </c>
      <c r="U85" t="n">
        <f t="shared" si="21"/>
        <v>12332862.844581056</v>
      </c>
      <c r="V85" t="n">
        <f t="shared" si="22"/>
        <v>-339735.67506257817</v>
      </c>
      <c r="W85" t="n">
        <f t="shared" si="15"/>
        <v>1541.5565786705965</v>
      </c>
      <c r="X85" t="n">
        <f t="shared" si="16"/>
        <v>19185080.899172012</v>
      </c>
      <c r="Y85" t="n">
        <f t="shared" si="17"/>
        <v>0.888487047915689</v>
      </c>
      <c r="Z85" t="n">
        <f t="shared" si="18"/>
        <v>17045695.892129011</v>
      </c>
    </row>
    <row r="86">
      <c r="B86" s="52" t="n">
        <v>2025</v>
      </c>
      <c r="C86" t="str">
        <f>tbl_detail_2022!C86</f>
        <v>Storage vessels</v>
      </c>
      <c r="D86" t="n">
        <f>tbl_detail_2022!D86</f>
        <v>0</v>
      </c>
      <c r="E86" t="n">
        <f>tbl_detail_2022!E86</f>
        <v>0</v>
      </c>
      <c r="F86" t="n">
        <f>tbl_detail_2022!F86</f>
        <v>4494.4275012245398</v>
      </c>
      <c r="G86" t="n">
        <f>tbl_detail_2022!G86</f>
        <v>-9422.5134979834602</v>
      </c>
      <c r="H86" t="n">
        <f>tbl_detail_2022!H86</f>
        <v>-44767.431020208998</v>
      </c>
      <c r="I86" t="n">
        <f>tbl_detail_2022!I86</f>
        <v>-1686.38912653127</v>
      </c>
      <c r="J86" t="n">
        <f>tbl_detail_2022!J86</f>
        <v>-213699.011445365</v>
      </c>
      <c r="K86" t="n">
        <f>tbl_detail_2022!K86</f>
        <v>139248381.88488901</v>
      </c>
      <c r="L86" t="n">
        <f>tbl_detail_2022!L86</f>
        <v>0</v>
      </c>
      <c r="M86" t="n">
        <f>tbl_detail_2022!M86</f>
        <v>139248381.88488901</v>
      </c>
      <c r="N86" t="n">
        <f>tbl_detail_2022!N86</f>
        <v>101401580.232968</v>
      </c>
      <c r="O86" t="n">
        <f>tbl_detail_2022!O86</f>
        <v>102652724.127968</v>
      </c>
      <c r="P86" t="n">
        <f t="shared" si="12"/>
        <v>4</v>
      </c>
      <c r="Q86" t="n">
        <f t="shared" si="13"/>
        <v>0.7628952120475252</v>
      </c>
      <c r="R86" t="n">
        <f t="shared" si="14"/>
        <v>106231923.82534717</v>
      </c>
      <c r="S86" t="n">
        <f t="shared" si="19"/>
        <v>0</v>
      </c>
      <c r="T86" t="n">
        <f t="shared" si="20"/>
        <v>106231923.82534717</v>
      </c>
      <c r="U86" t="n">
        <f t="shared" si="21"/>
        <v>77358780.053784266</v>
      </c>
      <c r="V86" t="n">
        <f t="shared" si="22"/>
        <v>78313271.74086225</v>
      </c>
      <c r="W86" t="n">
        <f t="shared" si="15"/>
        <v>1541.5565786705965</v>
      </c>
      <c r="X86" t="n">
        <f t="shared" si="16"/>
        <v>14525337.670428898</v>
      </c>
      <c r="Y86" t="n">
        <f t="shared" si="17"/>
        <v>0.888487047915689</v>
      </c>
      <c r="Z86" t="n">
        <f t="shared" si="18"/>
        <v>12905574.386777923</v>
      </c>
    </row>
    <row r="87">
      <c r="B87" s="52" t="n">
        <v>2026</v>
      </c>
      <c r="C87" t="str">
        <f>tbl_detail_2022!C87</f>
        <v>fugitives</v>
      </c>
      <c r="D87" t="str">
        <f>tbl_detail_2022!D87</f>
        <v>G&amp;B Stations</v>
      </c>
      <c r="E87" t="n">
        <f>tbl_detail_2022!E87</f>
        <v>0</v>
      </c>
      <c r="F87" t="n">
        <f>tbl_detail_2022!F87</f>
        <v>5245.9084969671703</v>
      </c>
      <c r="G87" t="n">
        <f>tbl_detail_2022!G87</f>
        <v>-69800.092670296901</v>
      </c>
      <c r="H87" t="n">
        <f>tbl_detail_2022!H87</f>
        <v>-19402.6600414698</v>
      </c>
      <c r="I87" t="n">
        <f>tbl_detail_2022!I87</f>
        <v>-730.98194403514503</v>
      </c>
      <c r="J87" t="n">
        <f>tbl_detail_2022!J87</f>
        <v>-1583039.4730269799</v>
      </c>
      <c r="K87" t="n">
        <f>tbl_detail_2022!K87</f>
        <v>70007447.950814202</v>
      </c>
      <c r="L87" t="n">
        <f>tbl_detail_2022!L87</f>
        <v>10666175.8800113</v>
      </c>
      <c r="M87" t="n">
        <f>tbl_detail_2022!M87</f>
        <v>59341272.0708028</v>
      </c>
      <c r="N87" t="n">
        <f>tbl_detail_2022!N87</f>
        <v>16194119.530137699</v>
      </c>
      <c r="O87" t="n">
        <f>tbl_detail_2022!O87</f>
        <v>67472875.087991804</v>
      </c>
      <c r="P87" t="n">
        <f t="shared" si="12"/>
        <v>5</v>
      </c>
      <c r="Q87" t="n">
        <f t="shared" si="13"/>
        <v>0.71298617948366838</v>
      </c>
      <c r="R87" t="n">
        <f t="shared" si="14"/>
        <v>49914342.849852785</v>
      </c>
      <c r="S87" t="n">
        <f t="shared" si="19"/>
        <v>7604835.9903901108</v>
      </c>
      <c r="T87" t="n">
        <f t="shared" si="20"/>
        <v>42309506.859462604</v>
      </c>
      <c r="U87" t="n">
        <f t="shared" si="21"/>
        <v>11546183.413894737</v>
      </c>
      <c r="V87" t="n">
        <f t="shared" si="22"/>
        <v>48107227.427766062</v>
      </c>
      <c r="W87" t="n">
        <f t="shared" si="15"/>
        <v>1583.6298172853496</v>
      </c>
      <c r="X87" t="n">
        <f t="shared" si="16"/>
        <v>110537508.00196275</v>
      </c>
      <c r="Y87" t="n">
        <f t="shared" si="17"/>
        <v>0.86260878438416411</v>
      </c>
      <c r="Z87" t="n">
        <f t="shared" si="18"/>
        <v>95350625.406427905</v>
      </c>
    </row>
    <row r="88">
      <c r="B88" s="52" t="n">
        <v>2026</v>
      </c>
      <c r="C88" t="str">
        <f>tbl_detail_2022!C88</f>
        <v>fugitives</v>
      </c>
      <c r="D88" t="str">
        <f>tbl_detail_2022!D88</f>
        <v>Processing Plants</v>
      </c>
      <c r="E88" t="str">
        <f>tbl_detail_2022!E88</f>
        <v>Large Plants</v>
      </c>
      <c r="F88" t="n">
        <f>tbl_detail_2022!F88</f>
        <v>228.23628415933101</v>
      </c>
      <c r="G88" t="n">
        <f>tbl_detail_2022!G88</f>
        <v>-5455.3346312417598</v>
      </c>
      <c r="H88" t="n">
        <f>tbl_detail_2022!H88</f>
        <v>-666.03817331159405</v>
      </c>
      <c r="I88" t="n">
        <f>tbl_detail_2022!I88</f>
        <v>-24.369017991461099</v>
      </c>
      <c r="J88" t="n">
        <f>tbl_detail_2022!J88</f>
        <v>-123724.90822640101</v>
      </c>
      <c r="K88" t="n">
        <f>tbl_detail_2022!K88</f>
        <v>1834427.6462838701</v>
      </c>
      <c r="L88" t="n">
        <f>tbl_detail_2022!L88</f>
        <v>794345.45478784898</v>
      </c>
      <c r="M88" t="n">
        <f>tbl_detail_2022!M88</f>
        <v>1040082.19149602</v>
      </c>
      <c r="N88" t="n">
        <f>tbl_detail_2022!N88</f>
        <v>-2849010.44286911</v>
      </c>
      <c r="O88" t="n">
        <f>tbl_detail_2022!O88</f>
        <v>2509752.3777697501</v>
      </c>
      <c r="P88" t="n">
        <f t="shared" si="12"/>
        <v>5</v>
      </c>
      <c r="Q88" t="n">
        <f t="shared" si="13"/>
        <v>0.71298617948366838</v>
      </c>
      <c r="R88" t="n">
        <f t="shared" si="14"/>
        <v>1307921.5590631547</v>
      </c>
      <c r="S88" t="n">
        <f t="shared" si="19"/>
        <v>566357.33099940547</v>
      </c>
      <c r="T88" t="n">
        <f t="shared" si="20"/>
        <v>741564.22806374845</v>
      </c>
      <c r="U88" t="n">
        <f t="shared" si="21"/>
        <v>-2031305.0709703208</v>
      </c>
      <c r="V88" t="n">
        <f t="shared" si="22"/>
        <v>1789418.7592761065</v>
      </c>
      <c r="W88" t="n">
        <f t="shared" si="15"/>
        <v>1583.6298172853496</v>
      </c>
      <c r="X88" t="n">
        <f t="shared" si="16"/>
        <v>8639230.5853038281</v>
      </c>
      <c r="Y88" t="n">
        <f t="shared" si="17"/>
        <v>0.86260878438416411</v>
      </c>
      <c r="Z88" t="n">
        <f t="shared" si="18"/>
        <v>7452276.193203426</v>
      </c>
    </row>
    <row r="89">
      <c r="B89" s="52" t="n">
        <v>2026</v>
      </c>
      <c r="C89" t="str">
        <f>tbl_detail_2022!C89</f>
        <v>fugitives</v>
      </c>
      <c r="D89" t="str">
        <f>tbl_detail_2022!D89</f>
        <v>Processing Plants</v>
      </c>
      <c r="E89" t="str">
        <f>tbl_detail_2022!E89</f>
        <v>Small Plants</v>
      </c>
      <c r="F89" t="n">
        <f>tbl_detail_2022!F89</f>
        <v>947.28156876748994</v>
      </c>
      <c r="G89" t="n">
        <f>tbl_detail_2022!G89</f>
        <v>-10875.5411536667</v>
      </c>
      <c r="H89" t="n">
        <f>tbl_detail_2022!H89</f>
        <v>-1337.6502915656099</v>
      </c>
      <c r="I89" t="n">
        <f>tbl_detail_2022!I89</f>
        <v>-48.961756512726197</v>
      </c>
      <c r="J89" t="n">
        <f>tbl_detail_2022!J89</f>
        <v>-246653.124346211</v>
      </c>
      <c r="K89" t="n">
        <f>tbl_detail_2022!K89</f>
        <v>4310417.1565495096</v>
      </c>
      <c r="L89" t="n">
        <f>tbl_detail_2022!L89</f>
        <v>1583575.94313273</v>
      </c>
      <c r="M89" t="n">
        <f>tbl_detail_2022!M89</f>
        <v>2726841.2134167799</v>
      </c>
      <c r="N89" t="n">
        <f>tbl_detail_2022!N89</f>
        <v>-5772845.0252597705</v>
      </c>
      <c r="O89" t="n">
        <f>tbl_detail_2022!O89</f>
        <v>5678802.8100141902</v>
      </c>
      <c r="P89" t="n">
        <f t="shared" si="12"/>
        <v>5</v>
      </c>
      <c r="Q89" t="n">
        <f t="shared" si="13"/>
        <v>0.71298617948366838</v>
      </c>
      <c r="R89" t="n">
        <f t="shared" si="14"/>
        <v>3073267.8604290923</v>
      </c>
      <c r="S89" t="n">
        <f t="shared" si="19"/>
        <v>1129067.7616164521</v>
      </c>
      <c r="T89" t="n">
        <f t="shared" si="20"/>
        <v>1944200.0988126402</v>
      </c>
      <c r="U89" t="n">
        <f t="shared" si="21"/>
        <v>-4115958.7193112648</v>
      </c>
      <c r="V89" t="n">
        <f t="shared" si="22"/>
        <v>4048907.9195531379</v>
      </c>
      <c r="W89" t="n">
        <f t="shared" si="15"/>
        <v>1583.6298172853496</v>
      </c>
      <c r="X89" t="n">
        <f t="shared" si="16"/>
        <v>17222831.250060495</v>
      </c>
      <c r="Y89" t="n">
        <f t="shared" si="17"/>
        <v>0.86260878438416411</v>
      </c>
      <c r="Z89" t="n">
        <f t="shared" si="18"/>
        <v>14856565.528268278</v>
      </c>
    </row>
    <row r="90">
      <c r="B90" s="52" t="n">
        <v>2026</v>
      </c>
      <c r="C90" t="str">
        <f>tbl_detail_2022!C90</f>
        <v>fugitives</v>
      </c>
      <c r="D90" t="str">
        <f>tbl_detail_2022!D90</f>
        <v>T&amp;S Compressor Stations</v>
      </c>
      <c r="E90" t="str">
        <f>tbl_detail_2022!E90</f>
        <v>Compressor Stations (Transmission)</v>
      </c>
      <c r="F90" t="n">
        <f>tbl_detail_2022!F90</f>
        <v>1613.0287093883301</v>
      </c>
      <c r="G90" t="n">
        <f>tbl_detail_2022!G90</f>
        <v>-52121.779788376298</v>
      </c>
      <c r="H90" t="n">
        <f>tbl_detail_2022!H90</f>
        <v>-1442.4540349802401</v>
      </c>
      <c r="I90" t="n">
        <f>tbl_detail_2022!I90</f>
        <v>-42.8433295726606</v>
      </c>
      <c r="J90" t="n">
        <f>tbl_detail_2022!J90</f>
        <v>-1182102.0811413899</v>
      </c>
      <c r="K90" t="n">
        <f>tbl_detail_2022!K90</f>
        <v>31725007.3077913</v>
      </c>
      <c r="L90" t="n">
        <f>tbl_detail_2022!L90</f>
        <v>7115059.4445051998</v>
      </c>
      <c r="M90" t="n">
        <f>tbl_detail_2022!M90</f>
        <v>24609947.8632861</v>
      </c>
      <c r="N90" t="n">
        <f>tbl_detail_2022!N90</f>
        <v>38523964.666321397</v>
      </c>
      <c r="O90" t="n">
        <f>tbl_detail_2022!O90</f>
        <v>25695547.3405561</v>
      </c>
      <c r="P90" t="n">
        <f t="shared" si="12"/>
        <v>5</v>
      </c>
      <c r="Q90" t="n">
        <f t="shared" si="13"/>
        <v>0.71298617948366838</v>
      </c>
      <c r="R90" t="n">
        <f t="shared" si="14"/>
        <v>22619491.754473578</v>
      </c>
      <c r="S90" t="n">
        <f t="shared" si="19"/>
        <v>5072939.0501369545</v>
      </c>
      <c r="T90" t="n">
        <f t="shared" si="20"/>
        <v>17546552.704336625</v>
      </c>
      <c r="U90" t="n">
        <f t="shared" si="21"/>
        <v>27467054.386004325</v>
      </c>
      <c r="V90" t="n">
        <f t="shared" si="22"/>
        <v>18320570.128084831</v>
      </c>
      <c r="W90" t="n">
        <f t="shared" si="15"/>
        <v>1583.6298172853496</v>
      </c>
      <c r="X90" t="n">
        <f t="shared" si="16"/>
        <v>82541604.602853581</v>
      </c>
      <c r="Y90" t="n">
        <f t="shared" si="17"/>
        <v>0.86260878438416411</v>
      </c>
      <c r="Z90" t="n">
        <f t="shared" si="18"/>
        <v>71201113.207585856</v>
      </c>
    </row>
    <row r="91">
      <c r="B91" s="52" t="n">
        <v>2026</v>
      </c>
      <c r="C91" t="str">
        <f>tbl_detail_2022!C91</f>
        <v>fugitives</v>
      </c>
      <c r="D91" t="str">
        <f>tbl_detail_2022!D91</f>
        <v>T&amp;S Compressor Stations</v>
      </c>
      <c r="E91" t="str">
        <f>tbl_detail_2022!E91</f>
        <v>Compressor Stations (Storage)</v>
      </c>
      <c r="F91" t="n">
        <f>tbl_detail_2022!F91</f>
        <v>295.59604880136402</v>
      </c>
      <c r="G91" t="n">
        <f>tbl_detail_2022!G91</f>
        <v>-33683.460867451497</v>
      </c>
      <c r="H91" t="n">
        <f>tbl_detail_2022!H91</f>
        <v>-932.17929697768795</v>
      </c>
      <c r="I91" t="n">
        <f>tbl_detail_2022!I91</f>
        <v>-27.687305018196401</v>
      </c>
      <c r="J91" t="n">
        <f>tbl_detail_2022!J91</f>
        <v>-763928.04223347898</v>
      </c>
      <c r="K91" t="n">
        <f>tbl_detail_2022!K91</f>
        <v>7024536.9263917804</v>
      </c>
      <c r="L91" t="n">
        <f>tbl_detail_2022!L91</f>
        <v>4598074.4967198698</v>
      </c>
      <c r="M91" t="n">
        <f>tbl_detail_2022!M91</f>
        <v>2426462.4296719101</v>
      </c>
      <c r="N91" t="n">
        <f>tbl_detail_2022!N91</f>
        <v>7059720.4335229797</v>
      </c>
      <c r="O91" t="n">
        <f>tbl_detail_2022!O91</f>
        <v>5919606.4732961198</v>
      </c>
      <c r="P91" t="n">
        <f t="shared" si="12"/>
        <v>5</v>
      </c>
      <c r="Q91" t="n">
        <f t="shared" si="13"/>
        <v>0.71298617948366838</v>
      </c>
      <c r="R91" t="n">
        <f t="shared" si="14"/>
        <v>5008397.7457900262</v>
      </c>
      <c r="S91" t="n">
        <f t="shared" si="19"/>
        <v>3278363.5683975914</v>
      </c>
      <c r="T91" t="n">
        <f t="shared" si="20"/>
        <v>1730034.1773924346</v>
      </c>
      <c r="U91" t="n">
        <f t="shared" si="21"/>
        <v>5033483.1001203367</v>
      </c>
      <c r="V91" t="n">
        <f t="shared" si="22"/>
        <v>4220597.6034421921</v>
      </c>
      <c r="W91" t="n">
        <f t="shared" si="15"/>
        <v>1583.6298172853496</v>
      </c>
      <c r="X91" t="n">
        <f t="shared" si="16"/>
        <v>53342132.979060441</v>
      </c>
      <c r="Y91" t="n">
        <f t="shared" si="17"/>
        <v>0.86260878438416411</v>
      </c>
      <c r="Z91" t="n">
        <f t="shared" si="18"/>
        <v>46013392.485525757</v>
      </c>
    </row>
    <row r="92">
      <c r="B92" s="52" t="n">
        <v>2026</v>
      </c>
      <c r="C92" t="str">
        <f>tbl_detail_2022!C92</f>
        <v>fugitives</v>
      </c>
      <c r="D92" t="str">
        <f>tbl_detail_2022!D92</f>
        <v>Wellpad Fugitives</v>
      </c>
      <c r="E92" t="str">
        <f>tbl_detail_2022!E92</f>
        <v>1: No equipment, no tanks</v>
      </c>
      <c r="F92" t="n">
        <f>tbl_detail_2022!F92</f>
        <v>216999.15439594301</v>
      </c>
      <c r="G92" t="n">
        <f>tbl_detail_2022!G92</f>
        <v>-48311.063299878799</v>
      </c>
      <c r="H92" t="n">
        <f>tbl_detail_2022!H92</f>
        <v>-13429.253472398001</v>
      </c>
      <c r="I92" t="n">
        <f>tbl_detail_2022!I92</f>
        <v>-505.87997830523301</v>
      </c>
      <c r="J92" t="n">
        <f>tbl_detail_2022!J92</f>
        <v>-1095676.4849706001</v>
      </c>
      <c r="K92" t="n">
        <f>tbl_detail_2022!K92</f>
        <v>147984369.144842</v>
      </c>
      <c r="L92" t="n">
        <f>tbl_detail_2022!L92</f>
        <v>7382429.9996402301</v>
      </c>
      <c r="M92" t="n">
        <f>tbl_detail_2022!M92</f>
        <v>140601939.14520201</v>
      </c>
      <c r="N92" t="n">
        <f>tbl_detail_2022!N92</f>
        <v>20386058.9176846</v>
      </c>
      <c r="O92" t="n">
        <f>tbl_detail_2022!O92</f>
        <v>144611334.27858701</v>
      </c>
      <c r="P92" t="n">
        <f t="shared" si="12"/>
        <v>5</v>
      </c>
      <c r="Q92" t="n">
        <f t="shared" si="13"/>
        <v>0.71298617948366838</v>
      </c>
      <c r="R92" t="n">
        <f t="shared" si="14"/>
        <v>105510809.97988175</v>
      </c>
      <c r="S92" t="n">
        <f t="shared" si="19"/>
        <v>5263570.560749107</v>
      </c>
      <c r="T92" t="n">
        <f t="shared" si="20"/>
        <v>100247239.41913281</v>
      </c>
      <c r="U92" t="n">
        <f t="shared" si="21"/>
        <v>14534978.262448911</v>
      </c>
      <c r="V92" t="n">
        <f t="shared" si="22"/>
        <v>103105882.7373254</v>
      </c>
      <c r="W92" t="n">
        <f t="shared" si="15"/>
        <v>1583.6298172853496</v>
      </c>
      <c r="X92" t="n">
        <f t="shared" si="16"/>
        <v>76506840.346448019</v>
      </c>
      <c r="Y92" t="n">
        <f t="shared" si="17"/>
        <v>0.86260878438416411</v>
      </c>
      <c r="Z92" t="n">
        <f t="shared" si="18"/>
        <v>65995472.548322849</v>
      </c>
    </row>
    <row r="93">
      <c r="B93" s="52" t="n">
        <v>2026</v>
      </c>
      <c r="C93" t="str">
        <f>tbl_detail_2022!C93</f>
        <v>fugitives</v>
      </c>
      <c r="D93" t="str">
        <f>tbl_detail_2022!D93</f>
        <v>Wellpad Fugitives</v>
      </c>
      <c r="E93" t="str">
        <f>tbl_detail_2022!E93</f>
        <v>2: Tanks, no equipment</v>
      </c>
      <c r="F93" t="n">
        <f>tbl_detail_2022!F93</f>
        <v>34582.607256448297</v>
      </c>
      <c r="G93" t="n">
        <f>tbl_detail_2022!G93</f>
        <v>-9945.8925984632206</v>
      </c>
      <c r="H93" t="n">
        <f>tbl_detail_2022!H93</f>
        <v>-2764.7065411277099</v>
      </c>
      <c r="I93" t="n">
        <f>tbl_detail_2022!I93</f>
        <v>-104.146495404281</v>
      </c>
      <c r="J93" t="n">
        <f>tbl_detail_2022!J93</f>
        <v>-225569.04977511999</v>
      </c>
      <c r="K93" t="n">
        <f>tbl_detail_2022!K93</f>
        <v>32765778.657010201</v>
      </c>
      <c r="L93" t="n">
        <f>tbl_detail_2022!L93</f>
        <v>1519835.2277267899</v>
      </c>
      <c r="M93" t="n">
        <f>tbl_detail_2022!M93</f>
        <v>31245943.429283399</v>
      </c>
      <c r="N93" t="n">
        <f>tbl_detail_2022!N93</f>
        <v>6943705.03176146</v>
      </c>
      <c r="O93" t="n">
        <f>tbl_detail_2022!O93</f>
        <v>31538719.557625901</v>
      </c>
      <c r="P93" t="n">
        <f t="shared" si="12"/>
        <v>5</v>
      </c>
      <c r="Q93" t="n">
        <f t="shared" si="13"/>
        <v>0.71298617948366838</v>
      </c>
      <c r="R93" t="n">
        <f t="shared" si="14"/>
        <v>23361547.342469227</v>
      </c>
      <c r="S93" t="n">
        <f t="shared" si="19"/>
        <v>1083621.512461615</v>
      </c>
      <c r="T93" t="n">
        <f t="shared" si="20"/>
        <v>22277925.830007602</v>
      </c>
      <c r="U93" t="n">
        <f t="shared" si="21"/>
        <v>4950765.7220571274</v>
      </c>
      <c r="V93" t="n">
        <f t="shared" si="22"/>
        <v>22486671.163198542</v>
      </c>
      <c r="W93" t="n">
        <f t="shared" si="15"/>
        <v>1583.6298172853496</v>
      </c>
      <c r="X93" t="n">
        <f t="shared" si="16"/>
        <v>15750612.078444021</v>
      </c>
      <c r="Y93" t="n">
        <f t="shared" si="17"/>
        <v>0.86260878438416411</v>
      </c>
      <c r="Z93" t="n">
        <f t="shared" si="18"/>
        <v>13586616.33829313</v>
      </c>
    </row>
    <row r="94">
      <c r="B94" s="52" t="n">
        <v>2026</v>
      </c>
      <c r="C94" t="str">
        <f>tbl_detail_2022!C94</f>
        <v>fugitives</v>
      </c>
      <c r="D94" t="str">
        <f>tbl_detail_2022!D94</f>
        <v>Wellpad Fugitives</v>
      </c>
      <c r="E94" t="str">
        <f>tbl_detail_2022!E94</f>
        <v>3: Equipment = 1, no tanks</v>
      </c>
      <c r="F94" t="n">
        <f>tbl_detail_2022!F94</f>
        <v>28361.113910045799</v>
      </c>
      <c r="G94" t="n">
        <f>tbl_detail_2022!G94</f>
        <v>-24901.433338410399</v>
      </c>
      <c r="H94" t="n">
        <f>tbl_detail_2022!H94</f>
        <v>-6921.9685365189198</v>
      </c>
      <c r="I94" t="n">
        <f>tbl_detail_2022!I94</f>
        <v>-260.75055477066797</v>
      </c>
      <c r="J94" t="n">
        <f>tbl_detail_2022!J94</f>
        <v>-564755.008218328</v>
      </c>
      <c r="K94" t="n">
        <f>tbl_detail_2022!K94</f>
        <v>16968357.5876908</v>
      </c>
      <c r="L94" t="n">
        <f>tbl_detail_2022!L94</f>
        <v>3805196.4903033599</v>
      </c>
      <c r="M94" t="n">
        <f>tbl_detail_2022!M94</f>
        <v>13163161.0973875</v>
      </c>
      <c r="N94" t="n">
        <f>tbl_detail_2022!N94</f>
        <v>1953099.3856899501</v>
      </c>
      <c r="O94" t="n">
        <f>tbl_detail_2022!O94</f>
        <v>16738705.304393999</v>
      </c>
      <c r="P94" t="n">
        <f t="shared" si="12"/>
        <v>5</v>
      </c>
      <c r="Q94" t="n">
        <f t="shared" si="13"/>
        <v>0.71298617948366838</v>
      </c>
      <c r="R94" t="n">
        <f t="shared" si="14"/>
        <v>12098204.448560379</v>
      </c>
      <c r="S94" t="n">
        <f t="shared" si="19"/>
        <v>2713052.5078060562</v>
      </c>
      <c r="T94" t="n">
        <f t="shared" si="20"/>
        <v>9385151.9407543652</v>
      </c>
      <c r="U94" t="n">
        <f t="shared" si="21"/>
        <v>1392532.8691549771</v>
      </c>
      <c r="V94" t="n">
        <f t="shared" si="22"/>
        <v>11934465.544482892</v>
      </c>
      <c r="W94" t="n">
        <f t="shared" si="15"/>
        <v>1583.6298172853496</v>
      </c>
      <c r="X94" t="n">
        <f t="shared" si="16"/>
        <v>39434652.327850178</v>
      </c>
      <c r="Y94" t="n">
        <f t="shared" si="17"/>
        <v>0.86260878438416411</v>
      </c>
      <c r="Z94" t="n">
        <f t="shared" si="18"/>
        <v>34016677.50713899</v>
      </c>
    </row>
    <row r="95">
      <c r="B95" s="52" t="n">
        <v>2026</v>
      </c>
      <c r="C95" t="str">
        <f>tbl_detail_2022!C95</f>
        <v>fugitives</v>
      </c>
      <c r="D95" t="str">
        <f>tbl_detail_2022!D95</f>
        <v>Wellpad Fugitives</v>
      </c>
      <c r="E95" t="str">
        <f>tbl_detail_2022!E95</f>
        <v>4: Equipment &gt; 1, no tanks</v>
      </c>
      <c r="F95" t="n">
        <f>tbl_detail_2022!F95</f>
        <v>34458.220737028198</v>
      </c>
      <c r="G95" t="n">
        <f>tbl_detail_2022!G95</f>
        <v>-65407.455555086497</v>
      </c>
      <c r="H95" t="n">
        <f>tbl_detail_2022!H95</f>
        <v>-18181.618031910901</v>
      </c>
      <c r="I95" t="n">
        <f>tbl_detail_2022!I95</f>
        <v>-684.90155126208299</v>
      </c>
      <c r="J95" t="n">
        <f>tbl_detail_2022!J95</f>
        <v>-1483416.1390450699</v>
      </c>
      <c r="K95" t="n">
        <f>tbl_detail_2022!K95</f>
        <v>126157066.408287</v>
      </c>
      <c r="L95" t="n">
        <f>tbl_detail_2022!L95</f>
        <v>9994935.5097555406</v>
      </c>
      <c r="M95" t="n">
        <f>tbl_detail_2022!M95</f>
        <v>116162130.898531</v>
      </c>
      <c r="N95" t="n">
        <f>tbl_detail_2022!N95</f>
        <v>28611950.924986798</v>
      </c>
      <c r="O95" t="n">
        <f>tbl_detail_2022!O95</f>
        <v>121673580.04932199</v>
      </c>
      <c r="P95" t="n">
        <f t="shared" si="12"/>
        <v>5</v>
      </c>
      <c r="Q95" t="n">
        <f t="shared" si="13"/>
        <v>0.71298617948366838</v>
      </c>
      <c r="R95" t="n">
        <f t="shared" si="14"/>
        <v>89948244.793311983</v>
      </c>
      <c r="S95" t="n">
        <f t="shared" si="19"/>
        <v>7126250.8832862545</v>
      </c>
      <c r="T95" t="n">
        <f t="shared" si="20"/>
        <v>82821993.910025403</v>
      </c>
      <c r="U95" t="n">
        <f t="shared" si="21"/>
        <v>20399925.577580549</v>
      </c>
      <c r="V95" t="n">
        <f t="shared" si="22"/>
        <v>86751580.983466387</v>
      </c>
      <c r="W95" t="n">
        <f t="shared" si="15"/>
        <v>1583.6298172853496</v>
      </c>
      <c r="X95" t="n">
        <f t="shared" si="16"/>
        <v>103581196.88980126</v>
      </c>
      <c r="Y95" t="n">
        <f t="shared" si="17"/>
        <v>0.86260878438416411</v>
      </c>
      <c r="Z95" t="n">
        <f t="shared" si="18"/>
        <v>89350050.334168226</v>
      </c>
    </row>
    <row r="96">
      <c r="B96" s="52" t="n">
        <v>2026</v>
      </c>
      <c r="C96" t="str">
        <f>tbl_detail_2022!C96</f>
        <v>fugitives</v>
      </c>
      <c r="D96" t="str">
        <f>tbl_detail_2022!D96</f>
        <v>Wellpad Fugitives</v>
      </c>
      <c r="E96" t="str">
        <f>tbl_detail_2022!E96</f>
        <v>5: Equipment = 1 and tanks</v>
      </c>
      <c r="F96" t="n">
        <f>tbl_detail_2022!F96</f>
        <v>62818.1592028378</v>
      </c>
      <c r="G96" t="n">
        <f>tbl_detail_2022!G96</f>
        <v>-76682.946833255904</v>
      </c>
      <c r="H96" t="n">
        <f>tbl_detail_2022!H96</f>
        <v>-21315.919371139102</v>
      </c>
      <c r="I96" t="n">
        <f>tbl_detail_2022!I96</f>
        <v>-802.97068271081002</v>
      </c>
      <c r="J96" t="n">
        <f>tbl_detail_2022!J96</f>
        <v>-1739139.97963403</v>
      </c>
      <c r="K96" t="n">
        <f>tbl_detail_2022!K96</f>
        <v>249490039.83254799</v>
      </c>
      <c r="L96" t="n">
        <f>tbl_detail_2022!L96</f>
        <v>11717947.1635447</v>
      </c>
      <c r="M96" t="n">
        <f>tbl_detail_2022!M96</f>
        <v>237772092.66900399</v>
      </c>
      <c r="N96" t="n">
        <f>tbl_detail_2022!N96</f>
        <v>60018835.2312629</v>
      </c>
      <c r="O96" t="n">
        <f>tbl_detail_2022!O96</f>
        <v>240092513.773873</v>
      </c>
      <c r="P96" t="n">
        <f t="shared" si="12"/>
        <v>5</v>
      </c>
      <c r="Q96" t="n">
        <f t="shared" si="13"/>
        <v>0.71298617948366838</v>
      </c>
      <c r="R96" t="n">
        <f t="shared" si="14"/>
        <v>177882950.31943664</v>
      </c>
      <c r="S96" t="n">
        <f t="shared" si="19"/>
        <v>8354734.3795272242</v>
      </c>
      <c r="T96" t="n">
        <f t="shared" si="20"/>
        <v>169528215.93990991</v>
      </c>
      <c r="U96" t="n">
        <f t="shared" si="21"/>
        <v>42792600.028597929</v>
      </c>
      <c r="V96" t="n">
        <f t="shared" si="22"/>
        <v>171182644.11826375</v>
      </c>
      <c r="W96" t="n">
        <f t="shared" si="15"/>
        <v>1583.6298172853496</v>
      </c>
      <c r="X96" t="n">
        <f t="shared" si="16"/>
        <v>121437401.08245122</v>
      </c>
      <c r="Y96" t="n">
        <f t="shared" si="17"/>
        <v>0.86260878438416411</v>
      </c>
      <c r="Z96" t="n">
        <f t="shared" si="18"/>
        <v>104752968.92650543</v>
      </c>
    </row>
    <row r="97">
      <c r="B97" s="52" t="n">
        <v>2026</v>
      </c>
      <c r="C97" t="str">
        <f>tbl_detail_2022!C97</f>
        <v>fugitives</v>
      </c>
      <c r="D97" t="str">
        <f>tbl_detail_2022!D97</f>
        <v>Wellpad Fugitives</v>
      </c>
      <c r="E97" t="str">
        <f>tbl_detail_2022!E97</f>
        <v>6: Equipment &gt; 1 and tanks</v>
      </c>
      <c r="F97" t="n">
        <f>tbl_detail_2022!F97</f>
        <v>145569.27531529701</v>
      </c>
      <c r="G97" t="n">
        <f>tbl_detail_2022!G97</f>
        <v>-186675.772528145</v>
      </c>
      <c r="H97" t="n">
        <f>tbl_detail_2022!H97</f>
        <v>-51891.1424258068</v>
      </c>
      <c r="I97" t="n">
        <f>tbl_detail_2022!I97</f>
        <v>-1954.73933518014</v>
      </c>
      <c r="J97" t="n">
        <f>tbl_detail_2022!J97</f>
        <v>-4233735.3041311204</v>
      </c>
      <c r="K97" t="n">
        <f>tbl_detail_2022!K97</f>
        <v>514816374.43359798</v>
      </c>
      <c r="L97" t="n">
        <f>tbl_detail_2022!L97</f>
        <v>28525988.235105801</v>
      </c>
      <c r="M97" t="n">
        <f>tbl_detail_2022!M97</f>
        <v>486290386.19849199</v>
      </c>
      <c r="N97" t="n">
        <f>tbl_detail_2022!N97</f>
        <v>113564163.824302</v>
      </c>
      <c r="O97" t="n">
        <f>tbl_detail_2022!O97</f>
        <v>497014069.54231501</v>
      </c>
      <c r="P97" t="n">
        <f t="shared" si="12"/>
        <v>5</v>
      </c>
      <c r="Q97" t="n">
        <f t="shared" si="13"/>
        <v>0.71298617948366838</v>
      </c>
      <c r="R97" t="n">
        <f t="shared" si="14"/>
        <v>367056959.94304472</v>
      </c>
      <c r="S97" t="n">
        <f t="shared" si="19"/>
        <v>20338635.367744159</v>
      </c>
      <c r="T97" t="n">
        <f t="shared" si="20"/>
        <v>346718324.5753004</v>
      </c>
      <c r="U97" t="n">
        <f t="shared" si="21"/>
        <v>80969679.291346505</v>
      </c>
      <c r="V97" t="n">
        <f t="shared" si="22"/>
        <v>354364162.59260547</v>
      </c>
      <c r="W97" t="n">
        <f t="shared" si="15"/>
        <v>1583.6298172853496</v>
      </c>
      <c r="X97" t="n">
        <f t="shared" si="16"/>
        <v>295625319.54034775</v>
      </c>
      <c r="Y97" t="n">
        <f t="shared" si="17"/>
        <v>0.86260878438416411</v>
      </c>
      <c r="Z97" t="n">
        <f t="shared" si="18"/>
        <v>255008997.52187946</v>
      </c>
    </row>
    <row r="98">
      <c r="B98" s="52" t="n">
        <v>2026</v>
      </c>
      <c r="C98" t="str">
        <f>tbl_detail_2022!C98</f>
        <v>compressors</v>
      </c>
      <c r="D98" t="str">
        <f>tbl_detail_2022!D98</f>
        <v>G&amp;B Station Recip Comp</v>
      </c>
      <c r="E98" t="n">
        <f>tbl_detail_2022!E98</f>
        <v>0</v>
      </c>
      <c r="F98" t="n">
        <f>tbl_detail_2022!F98</f>
        <v>23065.594156476702</v>
      </c>
      <c r="G98" t="n">
        <f>tbl_detail_2022!G98</f>
        <v>-167385.284478224</v>
      </c>
      <c r="H98" t="n">
        <f>tbl_detail_2022!H98</f>
        <v>-46528.874768353402</v>
      </c>
      <c r="I98" t="n">
        <f>tbl_detail_2022!I98</f>
        <v>-1752.9435272918499</v>
      </c>
      <c r="J98" t="n">
        <f>tbl_detail_2022!J98</f>
        <v>-3796234.3944800999</v>
      </c>
      <c r="K98" t="n">
        <f>tbl_detail_2022!K98</f>
        <v>30753435.459446099</v>
      </c>
      <c r="L98" t="n">
        <f>tbl_detail_2022!L98</f>
        <v>25578202.201015498</v>
      </c>
      <c r="M98" t="n">
        <f>tbl_detail_2022!M98</f>
        <v>5175233.2584305396</v>
      </c>
      <c r="N98" t="n">
        <f>tbl_detail_2022!N98</f>
        <v>58854602.5485911</v>
      </c>
      <c r="O98" t="n">
        <f>tbl_detail_2022!O98</f>
        <v>13770159.7114166</v>
      </c>
      <c r="P98" t="n">
        <f t="shared" si="12"/>
        <v>5</v>
      </c>
      <c r="Q98" t="n">
        <f t="shared" si="13"/>
        <v>0.71298617948366838</v>
      </c>
      <c r="R98" t="n">
        <f t="shared" si="14"/>
        <v>21926774.454228047</v>
      </c>
      <c r="S98" t="n">
        <f t="shared" si="19"/>
        <v>18236904.665362798</v>
      </c>
      <c r="T98" t="n">
        <f t="shared" si="20"/>
        <v>3689869.7888652068</v>
      </c>
      <c r="U98" t="n">
        <f t="shared" si="21"/>
        <v>41962518.21614974</v>
      </c>
      <c r="V98" t="n">
        <f t="shared" si="22"/>
        <v>9817933.5635228548</v>
      </c>
      <c r="W98" t="n">
        <f t="shared" si="15"/>
        <v>1583.6298172853496</v>
      </c>
      <c r="X98" t="n">
        <f t="shared" si="16"/>
        <v>265076327.47450614</v>
      </c>
      <c r="Y98" t="n">
        <f t="shared" si="17"/>
        <v>0.86260878438416411</v>
      </c>
      <c r="Z98" t="n">
        <f t="shared" si="18"/>
        <v>228657168.61180234</v>
      </c>
    </row>
    <row r="99">
      <c r="B99" s="52" t="n">
        <v>2026</v>
      </c>
      <c r="C99" t="str">
        <f>tbl_detail_2022!C99</f>
        <v>compressors</v>
      </c>
      <c r="D99" t="str">
        <f>tbl_detail_2022!D99</f>
        <v>Proc Recip Comp</v>
      </c>
      <c r="E99" t="n">
        <f>tbl_detail_2022!E99</f>
        <v>0</v>
      </c>
      <c r="F99" t="n">
        <f>tbl_detail_2022!F99</f>
        <v>4055.8785989841299</v>
      </c>
      <c r="G99" t="n">
        <f>tbl_detail_2022!G99</f>
        <v>-68329.034628314199</v>
      </c>
      <c r="H99" t="n">
        <f>tbl_detail_2022!H99</f>
        <v>-18993.7431188995</v>
      </c>
      <c r="I99" t="n">
        <f>tbl_detail_2022!I99</f>
        <v>-715.57627871036698</v>
      </c>
      <c r="J99" t="n">
        <f>tbl_detail_2022!J99</f>
        <v>-1549676.4378434501</v>
      </c>
      <c r="K99" t="n">
        <f>tbl_detail_2022!K99</f>
        <v>7208231.7481516702</v>
      </c>
      <c r="L99" t="n">
        <f>tbl_detail_2022!L99</f>
        <v>9949317.8248330802</v>
      </c>
      <c r="M99" t="n">
        <f>tbl_detail_2022!M99</f>
        <v>-2741086.0766814202</v>
      </c>
      <c r="N99" t="n">
        <f>tbl_detail_2022!N99</f>
        <v>14641760.829569301</v>
      </c>
      <c r="O99" t="n">
        <f>tbl_detail_2022!O99</f>
        <v>2421359.5235935198</v>
      </c>
      <c r="P99" t="n">
        <f t="shared" si="12"/>
        <v>5</v>
      </c>
      <c r="Q99" t="n">
        <f t="shared" si="13"/>
        <v>0.71298617948366838</v>
      </c>
      <c r="R99" t="n">
        <f t="shared" si="14"/>
        <v>5139369.6149475435</v>
      </c>
      <c r="S99" t="n">
        <f t="shared" si="19"/>
        <v>7093726.1043964997</v>
      </c>
      <c r="T99" t="n">
        <f t="shared" si="20"/>
        <v>-1954356.4894489634</v>
      </c>
      <c r="U99" t="n">
        <f t="shared" si="21"/>
        <v>10439373.114788244</v>
      </c>
      <c r="V99" t="n">
        <f t="shared" si="22"/>
        <v>1726395.875883339</v>
      </c>
      <c r="W99" t="n">
        <f t="shared" si="15"/>
        <v>1583.6298172853496</v>
      </c>
      <c r="X99" t="n">
        <f t="shared" si="16"/>
        <v>108207896.62372154</v>
      </c>
      <c r="Y99" t="n">
        <f t="shared" si="17"/>
        <v>0.86260878438416411</v>
      </c>
      <c r="Z99" t="n">
        <f t="shared" si="18"/>
        <v>93341082.167355731</v>
      </c>
    </row>
    <row r="100">
      <c r="B100" s="52" t="n">
        <v>2026</v>
      </c>
      <c r="C100" t="str">
        <f>tbl_detail_2022!C100</f>
        <v>compressors</v>
      </c>
      <c r="D100" t="str">
        <f>tbl_detail_2022!D100</f>
        <v>T&amp;S Recip Comp</v>
      </c>
      <c r="E100" t="str">
        <f>tbl_detail_2022!E100</f>
        <v>Reciprocating Compressors (Transmission)</v>
      </c>
      <c r="F100" t="n">
        <f>tbl_detail_2022!F100</f>
        <v>7905.1065984138804</v>
      </c>
      <c r="G100" t="n">
        <f>tbl_detail_2022!G100</f>
        <v>-103482.659533069</v>
      </c>
      <c r="H100" t="n">
        <f>tbl_detail_2022!H100</f>
        <v>-2863.85039804897</v>
      </c>
      <c r="I100" t="n">
        <f>tbl_detail_2022!I100</f>
        <v>-85.061210600092295</v>
      </c>
      <c r="J100" t="n">
        <f>tbl_detail_2022!J100</f>
        <v>-2346947.2395753898</v>
      </c>
      <c r="K100" t="n">
        <f>tbl_detail_2022!K100</f>
        <v>11266671.6424584</v>
      </c>
      <c r="L100" t="n">
        <f>tbl_detail_2022!L100</f>
        <v>14126249.660750801</v>
      </c>
      <c r="M100" t="n">
        <f>tbl_detail_2022!M100</f>
        <v>-2859578.0182924098</v>
      </c>
      <c r="N100" t="n">
        <f>tbl_detail_2022!N100</f>
        <v>22689385.653742701</v>
      </c>
      <c r="O100" t="n">
        <f>tbl_detail_2022!O100</f>
        <v>4719348.6392530799</v>
      </c>
      <c r="P100" t="n">
        <f t="shared" si="12"/>
        <v>5</v>
      </c>
      <c r="Q100" t="n">
        <f t="shared" si="13"/>
        <v>0.71298617948366838</v>
      </c>
      <c r="R100" t="n">
        <f t="shared" si="14"/>
        <v>8032981.1698534014</v>
      </c>
      <c r="S100" t="n">
        <f t="shared" si="19"/>
        <v>10071820.77605118</v>
      </c>
      <c r="T100" t="n">
        <f t="shared" si="20"/>
        <v>-2038839.6061977849</v>
      </c>
      <c r="U100" t="n">
        <f t="shared" si="21"/>
        <v>16177218.392093563</v>
      </c>
      <c r="V100" t="n">
        <f t="shared" si="22"/>
        <v>3364830.3559525027</v>
      </c>
      <c r="W100" t="n">
        <f t="shared" si="15"/>
        <v>1583.6298172853496</v>
      </c>
      <c r="X100" t="n">
        <f t="shared" si="16"/>
        <v>163878225.20855612</v>
      </c>
      <c r="Y100" t="n">
        <f t="shared" si="17"/>
        <v>0.86260878438416411</v>
      </c>
      <c r="Z100" t="n">
        <f t="shared" si="18"/>
        <v>141362796.63418686</v>
      </c>
    </row>
    <row r="101">
      <c r="B101" s="52" t="n">
        <v>2026</v>
      </c>
      <c r="C101" t="str">
        <f>tbl_detail_2022!C101</f>
        <v>compressors</v>
      </c>
      <c r="D101" t="str">
        <f>tbl_detail_2022!D101</f>
        <v>T&amp;S Recip Comp</v>
      </c>
      <c r="E101" t="str">
        <f>tbl_detail_2022!E101</f>
        <v>Reciprocating Compressors (Storage)</v>
      </c>
      <c r="F101" t="n">
        <f>tbl_detail_2022!F101</f>
        <v>1408.0886923450601</v>
      </c>
      <c r="G101" t="n">
        <f>tbl_detail_2022!G101</f>
        <v>-33374.971583321698</v>
      </c>
      <c r="H101" t="n">
        <f>tbl_detail_2022!H101</f>
        <v>-923.64195204342298</v>
      </c>
      <c r="I101" t="n">
        <f>tbl_detail_2022!I101</f>
        <v>-27.433731404185799</v>
      </c>
      <c r="J101" t="n">
        <f>tbl_detail_2022!J101</f>
        <v>-756931.622958077</v>
      </c>
      <c r="K101" t="n">
        <f>tbl_detail_2022!K101</f>
        <v>3611712.96192725</v>
      </c>
      <c r="L101" t="n">
        <f>tbl_detail_2022!L101</f>
        <v>4555963.1259361301</v>
      </c>
      <c r="M101" t="n">
        <f>tbl_detail_2022!M101</f>
        <v>-944250.16400888702</v>
      </c>
      <c r="N101" t="n">
        <f>tbl_detail_2022!N101</f>
        <v>10906104.0962395</v>
      </c>
      <c r="O101" t="n">
        <f>tbl_detail_2022!O101</f>
        <v>840628.94932999904</v>
      </c>
      <c r="P101" t="n">
        <f t="shared" si="12"/>
        <v>5</v>
      </c>
      <c r="Q101" t="n">
        <f t="shared" si="13"/>
        <v>0.71298617948366838</v>
      </c>
      <c r="R101" t="n">
        <f t="shared" si="14"/>
        <v>2575101.4261161541</v>
      </c>
      <c r="S101" t="n">
        <f t="shared" si="19"/>
        <v>3248338.7430296727</v>
      </c>
      <c r="T101" t="n">
        <f t="shared" si="20"/>
        <v>-673237.31691352359</v>
      </c>
      <c r="U101" t="n">
        <f t="shared" si="21"/>
        <v>7775901.4926289869</v>
      </c>
      <c r="V101" t="n">
        <f t="shared" si="22"/>
        <v>599356.82294616627</v>
      </c>
      <c r="W101" t="n">
        <f t="shared" si="15"/>
        <v>1583.6298172853496</v>
      </c>
      <c r="X101" t="n">
        <f t="shared" si="16"/>
        <v>52853600.150399476</v>
      </c>
      <c r="Y101" t="n">
        <f t="shared" si="17"/>
        <v>0.86260878438416411</v>
      </c>
      <c r="Z101" t="n">
        <f t="shared" si="18"/>
        <v>45591979.776062764</v>
      </c>
    </row>
    <row r="102">
      <c r="B102" s="52" t="n">
        <v>2026</v>
      </c>
      <c r="C102" t="str">
        <f>tbl_detail_2022!C102</f>
        <v>compressors</v>
      </c>
      <c r="D102" t="str">
        <f>tbl_detail_2022!D102</f>
        <v>Wet Seal Centrifugal Compr</v>
      </c>
      <c r="E102" t="str">
        <f>tbl_detail_2022!E102</f>
        <v>G&amp;B WS Centrifugal Comp</v>
      </c>
      <c r="F102" t="n">
        <f>tbl_detail_2022!F102</f>
        <v>307.00018657053403</v>
      </c>
      <c r="G102" t="n">
        <f>tbl_detail_2022!G102</f>
        <v>-68844.170680695897</v>
      </c>
      <c r="H102" t="n">
        <f>tbl_detail_2022!H102</f>
        <v>-19136.937910154</v>
      </c>
      <c r="I102" t="n">
        <f>tbl_detail_2022!I102</f>
        <v>-720.971044513778</v>
      </c>
      <c r="J102" t="n">
        <f>tbl_detail_2022!J102</f>
        <v>-1561359.52698707</v>
      </c>
      <c r="K102" t="n">
        <f>tbl_detail_2022!K102</f>
        <v>7675004.66426335</v>
      </c>
      <c r="L102" t="n">
        <f>tbl_detail_2022!L102</f>
        <v>10520101.115944499</v>
      </c>
      <c r="M102" t="n">
        <f>tbl_detail_2022!M102</f>
        <v>-2845096.4516811902</v>
      </c>
      <c r="N102" t="n">
        <f>tbl_detail_2022!N102</f>
        <v>0</v>
      </c>
      <c r="O102" t="n">
        <f>tbl_detail_2022!O102</f>
        <v>7675004.66426335</v>
      </c>
      <c r="P102" t="n">
        <f t="shared" si="12"/>
        <v>5</v>
      </c>
      <c r="Q102" t="n">
        <f t="shared" si="13"/>
        <v>0.71298617948366838</v>
      </c>
      <c r="R102" t="n">
        <f t="shared" si="14"/>
        <v>5472172.2530924613</v>
      </c>
      <c r="S102" t="n">
        <f t="shared" si="19"/>
        <v>7500686.7024391443</v>
      </c>
      <c r="T102" t="n">
        <f t="shared" si="20"/>
        <v>-2028514.449346713</v>
      </c>
      <c r="U102" t="n">
        <f t="shared" si="21"/>
        <v>0</v>
      </c>
      <c r="V102" t="n">
        <f t="shared" si="22"/>
        <v>5472172.2530924613</v>
      </c>
      <c r="W102" t="n">
        <f t="shared" si="15"/>
        <v>1583.6298172853496</v>
      </c>
      <c r="X102" t="n">
        <f t="shared" si="16"/>
        <v>109023681.43623187</v>
      </c>
      <c r="Y102" t="n">
        <f t="shared" si="17"/>
        <v>0.86260878438416411</v>
      </c>
      <c r="Z102" t="n">
        <f t="shared" si="18"/>
        <v>94044785.312794328</v>
      </c>
    </row>
    <row r="103">
      <c r="B103" s="52" t="n">
        <v>2026</v>
      </c>
      <c r="C103" t="str">
        <f>tbl_detail_2022!C103</f>
        <v>compressors</v>
      </c>
      <c r="D103" t="str">
        <f>tbl_detail_2022!D103</f>
        <v>Wet Seal Centrifugal Compr</v>
      </c>
      <c r="E103" t="str">
        <f>tbl_detail_2022!E103</f>
        <v>Proc WS Centrifugal Comp</v>
      </c>
      <c r="F103" t="n">
        <f>tbl_detail_2022!F103</f>
        <v>289.80550714089401</v>
      </c>
      <c r="G103" t="n">
        <f>tbl_detail_2022!G103</f>
        <v>-39483.102926924403</v>
      </c>
      <c r="H103" t="n">
        <f>tbl_detail_2022!H103</f>
        <v>-10975.3038164586</v>
      </c>
      <c r="I103" t="n">
        <f>tbl_detail_2022!I103</f>
        <v>-3050.8568206129798</v>
      </c>
      <c r="J103" t="n">
        <f>tbl_detail_2022!J103</f>
        <v>-895461.71157887904</v>
      </c>
      <c r="K103" t="n">
        <f>tbl_detail_2022!K103</f>
        <v>7245137.6785223503</v>
      </c>
      <c r="L103" t="n">
        <f>tbl_detail_2022!L103</f>
        <v>5749092.4885361604</v>
      </c>
      <c r="M103" t="n">
        <f>tbl_detail_2022!M103</f>
        <v>1496045.18998618</v>
      </c>
      <c r="N103" t="n">
        <f>tbl_detail_2022!N103</f>
        <v>0</v>
      </c>
      <c r="O103" t="n">
        <f>tbl_detail_2022!O103</f>
        <v>7245137.6785223503</v>
      </c>
      <c r="P103" t="n">
        <f t="shared" si="12"/>
        <v>5</v>
      </c>
      <c r="Q103" t="n">
        <f t="shared" si="13"/>
        <v>0.71298617948366838</v>
      </c>
      <c r="R103" t="n">
        <f t="shared" si="14"/>
        <v>5165683.0332428245</v>
      </c>
      <c r="S103" t="n">
        <f t="shared" si="19"/>
        <v>4099023.4888996524</v>
      </c>
      <c r="T103" t="n">
        <f t="shared" si="20"/>
        <v>1066659.5443431654</v>
      </c>
      <c r="U103" t="n">
        <f t="shared" si="21"/>
        <v>0</v>
      </c>
      <c r="V103" t="n">
        <f t="shared" si="22"/>
        <v>5165683.0332428245</v>
      </c>
      <c r="W103" t="n">
        <f t="shared" si="15"/>
        <v>1583.6298172853496</v>
      </c>
      <c r="X103" t="n">
        <f t="shared" si="16"/>
        <v>62526619.074023947</v>
      </c>
      <c r="Y103" t="n">
        <f t="shared" si="17"/>
        <v>0.86260878438416411</v>
      </c>
      <c r="Z103" t="n">
        <f t="shared" si="18"/>
        <v>53936010.871095486</v>
      </c>
    </row>
    <row r="104">
      <c r="B104" s="52" t="n">
        <v>2026</v>
      </c>
      <c r="C104" t="str">
        <f>tbl_detail_2022!C104</f>
        <v>compressors</v>
      </c>
      <c r="D104" t="str">
        <f>tbl_detail_2022!D104</f>
        <v>Wet Seal Centrifugal Compr</v>
      </c>
      <c r="E104" t="str">
        <f>tbl_detail_2022!E104</f>
        <v>T&amp;S WS Centrifugal Comp</v>
      </c>
      <c r="F104" t="n">
        <f>tbl_detail_2022!F104</f>
        <v>781.54828482145399</v>
      </c>
      <c r="G104" t="n">
        <f>tbl_detail_2022!G104</f>
        <v>-27499.462940527301</v>
      </c>
      <c r="H104" t="n">
        <f>tbl_detail_2022!H104</f>
        <v>-761.03907885354602</v>
      </c>
      <c r="I104" t="n">
        <f>tbl_detail_2022!I104</f>
        <v>-21.061519666578199</v>
      </c>
      <c r="J104" t="n">
        <f>tbl_detail_2022!J104</f>
        <v>-623677.32844604796</v>
      </c>
      <c r="K104" t="n">
        <f>tbl_detail_2022!K104</f>
        <v>19538707.120536301</v>
      </c>
      <c r="L104" t="n">
        <f>tbl_detail_2022!L104</f>
        <v>3753906.9906713702</v>
      </c>
      <c r="M104" t="n">
        <f>tbl_detail_2022!M104</f>
        <v>15784800.129865</v>
      </c>
      <c r="N104" t="n">
        <f>tbl_detail_2022!N104</f>
        <v>0</v>
      </c>
      <c r="O104" t="n">
        <f>tbl_detail_2022!O104</f>
        <v>19538707.120536301</v>
      </c>
      <c r="P104" t="n">
        <f t="shared" si="12"/>
        <v>5</v>
      </c>
      <c r="Q104" t="n">
        <f t="shared" si="13"/>
        <v>0.71298617948366838</v>
      </c>
      <c r="R104" t="n">
        <f t="shared" si="14"/>
        <v>13930828.141921524</v>
      </c>
      <c r="S104" t="n">
        <f t="shared" si="19"/>
        <v>2676483.8034158149</v>
      </c>
      <c r="T104" t="n">
        <f t="shared" si="20"/>
        <v>11254344.338505758</v>
      </c>
      <c r="U104" t="n">
        <f t="shared" si="21"/>
        <v>0</v>
      </c>
      <c r="V104" t="n">
        <f t="shared" si="22"/>
        <v>13930828.141921524</v>
      </c>
      <c r="W104" t="n">
        <f t="shared" si="15"/>
        <v>1583.6298172853496</v>
      </c>
      <c r="X104" t="n">
        <f t="shared" si="16"/>
        <v>43548969.471952491</v>
      </c>
      <c r="Y104" t="n">
        <f t="shared" si="17"/>
        <v>0.86260878438416411</v>
      </c>
      <c r="Z104" t="n">
        <f t="shared" si="18"/>
        <v>37565723.617384009</v>
      </c>
    </row>
    <row r="105">
      <c r="B105" s="52" t="n">
        <v>2026</v>
      </c>
      <c r="C105" t="str">
        <f>tbl_detail_2022!C105</f>
        <v>compressors</v>
      </c>
      <c r="D105" t="str">
        <f>tbl_detail_2022!D105</f>
        <v>Dry Seal Centrifugal Compr</v>
      </c>
      <c r="E105" t="str">
        <f>tbl_detail_2022!E105</f>
        <v>G&amp;B DS Centrifugal Comp</v>
      </c>
      <c r="F105" t="n">
        <f>tbl_detail_2022!F105</f>
        <v>477.350144957287</v>
      </c>
      <c r="G105" t="n">
        <f>tbl_detail_2022!G105</f>
        <v>-7697.9090308424102</v>
      </c>
      <c r="H105" t="n">
        <f>tbl_detail_2022!H105</f>
        <v>-2139.8239779007499</v>
      </c>
      <c r="I105" t="n">
        <f>tbl_detail_2022!I105</f>
        <v>-80.616404550497705</v>
      </c>
      <c r="J105" t="n">
        <f>tbl_detail_2022!J105</f>
        <v>-174585.640067211</v>
      </c>
      <c r="K105" t="n">
        <f>tbl_detail_2022!K105</f>
        <v>7160252.1743593104</v>
      </c>
      <c r="L105" t="n">
        <f>tbl_detail_2022!L105</f>
        <v>1176320.0948619</v>
      </c>
      <c r="M105" t="n">
        <f>tbl_detail_2022!M105</f>
        <v>5983932.07949741</v>
      </c>
      <c r="N105" t="n">
        <f>tbl_detail_2022!N105</f>
        <v>0</v>
      </c>
      <c r="O105" t="n">
        <f>tbl_detail_2022!O105</f>
        <v>7160252.1743593104</v>
      </c>
      <c r="P105" t="n">
        <f t="shared" si="12"/>
        <v>5</v>
      </c>
      <c r="Q105" t="n">
        <f t="shared" si="13"/>
        <v>0.71298617948366838</v>
      </c>
      <c r="R105" t="n">
        <f t="shared" si="14"/>
        <v>5105160.8419360742</v>
      </c>
      <c r="S105" t="n">
        <f t="shared" si="19"/>
        <v>838699.97028545244</v>
      </c>
      <c r="T105" t="n">
        <f t="shared" si="20"/>
        <v>4266460.8716506213</v>
      </c>
      <c r="U105" t="n">
        <f t="shared" si="21"/>
        <v>0</v>
      </c>
      <c r="V105" t="n">
        <f t="shared" si="22"/>
        <v>5105160.8419360742</v>
      </c>
      <c r="W105" t="n">
        <f t="shared" si="15"/>
        <v>1583.6298172853496</v>
      </c>
      <c r="X105" t="n">
        <f t="shared" si="16"/>
        <v>12190638.271992208</v>
      </c>
      <c r="Y105" t="n">
        <f t="shared" si="17"/>
        <v>0.86260878438416411</v>
      </c>
      <c r="Z105" t="n">
        <f t="shared" si="18"/>
        <v>10515751.660670266</v>
      </c>
    </row>
    <row r="106">
      <c r="B106" s="52" t="n">
        <v>2026</v>
      </c>
      <c r="C106" t="str">
        <f>tbl_detail_2022!C106</f>
        <v>compressors</v>
      </c>
      <c r="D106" t="str">
        <f>tbl_detail_2022!D106</f>
        <v>Dry Seal Centrifugal Compr</v>
      </c>
      <c r="E106" t="str">
        <f>tbl_detail_2022!E106</f>
        <v>Proc DS Centrifugal Comp</v>
      </c>
      <c r="F106" t="n">
        <f>tbl_detail_2022!F106</f>
        <v>396.85359991419398</v>
      </c>
      <c r="G106" t="n">
        <f>tbl_detail_2022!G106</f>
        <v>-3088.43663921179</v>
      </c>
      <c r="H106" t="n">
        <f>tbl_detail_2022!H106</f>
        <v>-858.507258053344</v>
      </c>
      <c r="I106" t="n">
        <f>tbl_detail_2022!I106</f>
        <v>-238.643300229197</v>
      </c>
      <c r="J106" t="n">
        <f>tbl_detail_2022!J106</f>
        <v>-70044.564738745496</v>
      </c>
      <c r="K106" t="n">
        <f>tbl_detail_2022!K106</f>
        <v>5952803.9987129103</v>
      </c>
      <c r="L106" t="n">
        <f>tbl_detail_2022!L106</f>
        <v>449703.96365946101</v>
      </c>
      <c r="M106" t="n">
        <f>tbl_detail_2022!M106</f>
        <v>5503100.0350534497</v>
      </c>
      <c r="N106" t="n">
        <f>tbl_detail_2022!N106</f>
        <v>0</v>
      </c>
      <c r="O106" t="n">
        <f>tbl_detail_2022!O106</f>
        <v>5952803.9987129103</v>
      </c>
      <c r="P106" t="n">
        <f t="shared" si="12"/>
        <v>5</v>
      </c>
      <c r="Q106" t="n">
        <f t="shared" si="13"/>
        <v>0.71298617948366838</v>
      </c>
      <c r="R106" t="n">
        <f t="shared" si="14"/>
        <v>4244266.9802574217</v>
      </c>
      <c r="S106" t="n">
        <f t="shared" si="19"/>
        <v>320632.71094822156</v>
      </c>
      <c r="T106" t="n">
        <f t="shared" si="20"/>
        <v>3923634.2693092008</v>
      </c>
      <c r="U106" t="n">
        <f t="shared" si="21"/>
        <v>0</v>
      </c>
      <c r="V106" t="n">
        <f t="shared" si="22"/>
        <v>4244266.9802574217</v>
      </c>
      <c r="W106" t="n">
        <f t="shared" si="15"/>
        <v>1583.6298172853496</v>
      </c>
      <c r="X106" t="n">
        <f t="shared" si="16"/>
        <v>4890940.3506523464</v>
      </c>
      <c r="Y106" t="n">
        <f t="shared" si="17"/>
        <v>0.86260878438416411</v>
      </c>
      <c r="Z106" t="n">
        <f t="shared" si="18"/>
        <v>4218968.1103716781</v>
      </c>
    </row>
    <row r="107">
      <c r="B107" s="52" t="n">
        <v>2026</v>
      </c>
      <c r="C107" t="str">
        <f>tbl_detail_2022!C107</f>
        <v>compressors</v>
      </c>
      <c r="D107" t="str">
        <f>tbl_detail_2022!D107</f>
        <v>Dry Seal Centrifugal Compr</v>
      </c>
      <c r="E107" t="str">
        <f>tbl_detail_2022!E107</f>
        <v>T&amp;S DS Centrifugal Comp</v>
      </c>
      <c r="F107" t="n">
        <f>tbl_detail_2022!F107</f>
        <v>2544.8884616544601</v>
      </c>
      <c r="G107" t="n">
        <f>tbl_detail_2022!G107</f>
        <v>-45940.732352991203</v>
      </c>
      <c r="H107" t="n">
        <f>tbl_detail_2022!H107</f>
        <v>-1271.3954707912301</v>
      </c>
      <c r="I107" t="n">
        <f>tbl_detail_2022!I107</f>
        <v>-35.185473986968603</v>
      </c>
      <c r="J107" t="n">
        <f>tbl_detail_2022!J107</f>
        <v>-1041918.28337645</v>
      </c>
      <c r="K107" t="n">
        <f>tbl_detail_2022!K107</f>
        <v>38173326.924816802</v>
      </c>
      <c r="L107" t="n">
        <f>tbl_detail_2022!L107</f>
        <v>6271294.7052612295</v>
      </c>
      <c r="M107" t="n">
        <f>tbl_detail_2022!M107</f>
        <v>31902032.219555601</v>
      </c>
      <c r="N107" t="n">
        <f>tbl_detail_2022!N107</f>
        <v>0</v>
      </c>
      <c r="O107" t="n">
        <f>tbl_detail_2022!O107</f>
        <v>38173326.924816802</v>
      </c>
      <c r="P107" t="n">
        <f t="shared" si="12"/>
        <v>5</v>
      </c>
      <c r="Q107" t="n">
        <f t="shared" si="13"/>
        <v>0.71298617948366838</v>
      </c>
      <c r="R107" t="n">
        <f t="shared" si="14"/>
        <v>27217054.522306181</v>
      </c>
      <c r="S107" t="n">
        <f t="shared" si="19"/>
        <v>4471346.4523203624</v>
      </c>
      <c r="T107" t="n">
        <f t="shared" si="20"/>
        <v>22745708.06998584</v>
      </c>
      <c r="U107" t="n">
        <f t="shared" si="21"/>
        <v>0</v>
      </c>
      <c r="V107" t="n">
        <f t="shared" si="22"/>
        <v>27217054.522306181</v>
      </c>
      <c r="W107" t="n">
        <f t="shared" si="15"/>
        <v>1583.6298172853496</v>
      </c>
      <c r="X107" t="n">
        <f t="shared" si="16"/>
        <v>72753113.582122609</v>
      </c>
      <c r="Y107" t="n">
        <f t="shared" si="17"/>
        <v>0.86260878438416411</v>
      </c>
      <c r="Z107" t="n">
        <f t="shared" si="18"/>
        <v>62757474.867237806</v>
      </c>
    </row>
    <row r="108">
      <c r="B108" s="52" t="n">
        <v>2026</v>
      </c>
      <c r="C108" t="str">
        <f>tbl_detail_2022!C108</f>
        <v>liquids_unloading</v>
      </c>
      <c r="D108" t="n">
        <f>tbl_detail_2022!D108</f>
        <v>0</v>
      </c>
      <c r="E108" t="n">
        <f>tbl_detail_2022!E108</f>
        <v>0</v>
      </c>
      <c r="F108" t="n">
        <f>tbl_detail_2022!F108</f>
        <v>262041.57943175401</v>
      </c>
      <c r="G108" t="n">
        <f>tbl_detail_2022!G108</f>
        <v>-25933.570899292899</v>
      </c>
      <c r="H108" t="n">
        <f>tbl_detail_2022!H108</f>
        <v>-7208.8766729454601</v>
      </c>
      <c r="I108" t="n">
        <f>tbl_detail_2022!I108</f>
        <v>-271.58949718422701</v>
      </c>
      <c r="J108" t="n">
        <f>tbl_detail_2022!J108</f>
        <v>-588163.49433866504</v>
      </c>
      <c r="K108" t="n">
        <f>tbl_detail_2022!K108</f>
        <v>17032702.663063999</v>
      </c>
      <c r="L108" t="n">
        <f>tbl_detail_2022!L108</f>
        <v>3962917.7817168199</v>
      </c>
      <c r="M108" t="n">
        <f>tbl_detail_2022!M108</f>
        <v>13069784.8813472</v>
      </c>
      <c r="N108" t="n">
        <f>tbl_detail_2022!N108</f>
        <v>0</v>
      </c>
      <c r="O108" t="n">
        <f>tbl_detail_2022!O108</f>
        <v>17032702.663063999</v>
      </c>
      <c r="P108" t="n">
        <f t="shared" si="12"/>
        <v>5</v>
      </c>
      <c r="Q108" t="n">
        <f t="shared" si="13"/>
        <v>0.71298617948366838</v>
      </c>
      <c r="R108" t="n">
        <f t="shared" si="14"/>
        <v>12144081.598019306</v>
      </c>
      <c r="S108" t="n">
        <f t="shared" si="19"/>
        <v>2825505.6087941695</v>
      </c>
      <c r="T108" t="n">
        <f t="shared" si="20"/>
        <v>9318575.989225151</v>
      </c>
      <c r="U108" t="n">
        <f t="shared" si="21"/>
        <v>0</v>
      </c>
      <c r="V108" t="n">
        <f t="shared" si="22"/>
        <v>12144081.598019306</v>
      </c>
      <c r="W108" t="n">
        <f t="shared" si="15"/>
        <v>1583.6298172853496</v>
      </c>
      <c r="X108" t="n">
        <f t="shared" si="16"/>
        <v>41069176.144803874</v>
      </c>
      <c r="Y108" t="n">
        <f t="shared" si="17"/>
        <v>0.86260878438416411</v>
      </c>
      <c r="Z108" t="n">
        <f t="shared" si="18"/>
        <v>35426632.109928384</v>
      </c>
    </row>
    <row r="109">
      <c r="B109" s="52" t="n">
        <v>2026</v>
      </c>
      <c r="C109" t="str">
        <f>tbl_detail_2022!C109</f>
        <v>pneucontr</v>
      </c>
      <c r="D109" t="str">
        <f>tbl_detail_2022!D109</f>
        <v>G&amp;B Pneumatic Controllers</v>
      </c>
      <c r="E109" t="n">
        <f>tbl_detail_2022!E109</f>
        <v>0</v>
      </c>
      <c r="F109" t="n">
        <f>tbl_detail_2022!F109</f>
        <v>3870.5623775232798</v>
      </c>
      <c r="G109" t="n">
        <f>tbl_detail_2022!G109</f>
        <v>-285506.13311317499</v>
      </c>
      <c r="H109" t="n">
        <f>tbl_detail_2022!H109</f>
        <v>-79363.482556813193</v>
      </c>
      <c r="I109" t="n">
        <f>tbl_detail_2022!I109</f>
        <v>-2989.6223879151498</v>
      </c>
      <c r="J109" t="n">
        <f>tbl_detail_2022!J109</f>
        <v>-6475170.1784170195</v>
      </c>
      <c r="K109" t="n">
        <f>tbl_detail_2022!K109</f>
        <v>67802243.163010702</v>
      </c>
      <c r="L109" t="n">
        <f>tbl_detail_2022!L109</f>
        <v>43628289.220064998</v>
      </c>
      <c r="M109" t="n">
        <f>tbl_detail_2022!M109</f>
        <v>24173953.942945801</v>
      </c>
      <c r="N109" t="n">
        <f>tbl_detail_2022!N109</f>
        <v>631162161.192505</v>
      </c>
      <c r="O109" t="n">
        <f>tbl_detail_2022!O109</f>
        <v>-11514616.2098059</v>
      </c>
      <c r="P109" t="n">
        <f t="shared" si="12"/>
        <v>5</v>
      </c>
      <c r="Q109" t="n">
        <f t="shared" si="13"/>
        <v>0.71298617948366838</v>
      </c>
      <c r="R109" t="n">
        <f t="shared" si="14"/>
        <v>48342062.313217677</v>
      </c>
      <c r="S109" t="n">
        <f t="shared" si="19"/>
        <v>31106367.248422656</v>
      </c>
      <c r="T109" t="n">
        <f t="shared" si="20"/>
        <v>17235695.064795088</v>
      </c>
      <c r="U109" t="n">
        <f t="shared" si="21"/>
        <v>450009897.94329941</v>
      </c>
      <c r="V109" t="n">
        <f t="shared" si="22"/>
        <v>-8209762.2196502266</v>
      </c>
      <c r="W109" t="n">
        <f t="shared" si="15"/>
        <v>1583.6298172853496</v>
      </c>
      <c r="X109" t="n">
        <f t="shared" si="16"/>
        <v>452136025.41586405</v>
      </c>
      <c r="Y109" t="n">
        <f t="shared" si="17"/>
        <v>0.86260878438416411</v>
      </c>
      <c r="Z109" t="n">
        <f t="shared" si="18"/>
        <v>390016507.26026601</v>
      </c>
    </row>
    <row r="110">
      <c r="B110" s="52" t="n">
        <v>2026</v>
      </c>
      <c r="C110" t="str">
        <f>tbl_detail_2022!C110</f>
        <v>pneucontr</v>
      </c>
      <c r="D110" t="str">
        <f>tbl_detail_2022!D110</f>
        <v>T&amp;S Pneumatic Controllers</v>
      </c>
      <c r="E110" t="n">
        <f>tbl_detail_2022!E110</f>
        <v>0</v>
      </c>
      <c r="F110" t="n">
        <f>tbl_detail_2022!F110</f>
        <v>37263.495552066997</v>
      </c>
      <c r="G110" t="n">
        <f>tbl_detail_2022!G110</f>
        <v>-70046.183800394399</v>
      </c>
      <c r="H110" t="n">
        <f>tbl_detail_2022!H110</f>
        <v>-1938.5063378127199</v>
      </c>
      <c r="I110" t="n">
        <f>tbl_detail_2022!I110</f>
        <v>-57.576923697772799</v>
      </c>
      <c r="J110" t="n">
        <f>tbl_detail_2022!J110</f>
        <v>-1588620.7259738201</v>
      </c>
      <c r="K110" t="n">
        <f>tbl_detail_2022!K110</f>
        <v>27002677.728684299</v>
      </c>
      <c r="L110" t="n">
        <f>tbl_detail_2022!L110</f>
        <v>9561890.7033502292</v>
      </c>
      <c r="M110" t="n">
        <f>tbl_detail_2022!M110</f>
        <v>17440787.025334101</v>
      </c>
      <c r="N110" t="n">
        <f>tbl_detail_2022!N110</f>
        <v>355380730.69355297</v>
      </c>
      <c r="O110" t="n">
        <f>tbl_detail_2022!O110</f>
        <v>-14101963.9347094</v>
      </c>
      <c r="P110" t="n">
        <f t="shared" si="12"/>
        <v>5</v>
      </c>
      <c r="Q110" t="n">
        <f t="shared" si="13"/>
        <v>0.71298617948366838</v>
      </c>
      <c r="R110" t="n">
        <f t="shared" si="14"/>
        <v>19252536.029603358</v>
      </c>
      <c r="S110" t="n">
        <f t="shared" si="19"/>
        <v>6817495.921222087</v>
      </c>
      <c r="T110" t="n">
        <f t="shared" si="20"/>
        <v>12435040.108381294</v>
      </c>
      <c r="U110" t="n">
        <f t="shared" si="21"/>
        <v>253381549.43931079</v>
      </c>
      <c r="V110" t="n">
        <f t="shared" si="22"/>
        <v>-10054505.389024934</v>
      </c>
      <c r="W110" t="n">
        <f t="shared" si="15"/>
        <v>1583.6298172853496</v>
      </c>
      <c r="X110" t="n">
        <f t="shared" si="16"/>
        <v>110927225.25335459</v>
      </c>
      <c r="Y110" t="n">
        <f t="shared" si="17"/>
        <v>0.86260878438416411</v>
      </c>
      <c r="Z110" t="n">
        <f t="shared" si="18"/>
        <v>95686798.930904552</v>
      </c>
    </row>
    <row r="111">
      <c r="B111" s="52" t="n">
        <v>2026</v>
      </c>
      <c r="C111" t="str">
        <f>tbl_detail_2022!C111</f>
        <v>pneucontr</v>
      </c>
      <c r="D111" t="str">
        <f>tbl_detail_2022!D111</f>
        <v>Well Pad Pneumatic Controllers</v>
      </c>
      <c r="E111" t="n">
        <f>tbl_detail_2022!E111</f>
        <v>0</v>
      </c>
      <c r="F111" t="n">
        <f>tbl_detail_2022!F111</f>
        <v>1307863.9611482299</v>
      </c>
      <c r="G111" t="n">
        <f>tbl_detail_2022!G111</f>
        <v>-1721595.1196975601</v>
      </c>
      <c r="H111" t="n">
        <f>tbl_detail_2022!H111</f>
        <v>-478559.89208417898</v>
      </c>
      <c r="I111" t="n">
        <f>tbl_detail_2022!I111</f>
        <v>-18027.351134811001</v>
      </c>
      <c r="J111" t="n">
        <f>tbl_detail_2022!J111</f>
        <v>-39045120.5262025</v>
      </c>
      <c r="K111" t="n">
        <f>tbl_detail_2022!K111</f>
        <v>958189154.92674506</v>
      </c>
      <c r="L111" t="n">
        <f>tbl_detail_2022!L111</f>
        <v>263077535.263468</v>
      </c>
      <c r="M111" t="n">
        <f>tbl_detail_2022!M111</f>
        <v>695111619.66327798</v>
      </c>
      <c r="N111" t="n">
        <f>tbl_detail_2022!N111</f>
        <v>8604500413.8937607</v>
      </c>
      <c r="O111" t="n">
        <f>tbl_detail_2022!O111</f>
        <v>-78471837.668893695</v>
      </c>
      <c r="P111" t="n">
        <f t="shared" si="12"/>
        <v>5</v>
      </c>
      <c r="Q111" t="n">
        <f t="shared" si="13"/>
        <v>0.71298617948366838</v>
      </c>
      <c r="R111" t="n">
        <f t="shared" si="14"/>
        <v>683175624.79390478</v>
      </c>
      <c r="S111" t="n">
        <f t="shared" si="19"/>
        <v>187570646.77548009</v>
      </c>
      <c r="T111" t="n">
        <f t="shared" si="20"/>
        <v>495604978.01842535</v>
      </c>
      <c r="U111" t="n">
        <f t="shared" si="21"/>
        <v>6134889876.4677553</v>
      </c>
      <c r="V111" t="n">
        <f t="shared" si="22"/>
        <v>-55949335.736607127</v>
      </c>
      <c r="W111" t="n">
        <f t="shared" si="15"/>
        <v>1583.6298172853496</v>
      </c>
      <c r="X111" t="n">
        <f t="shared" si="16"/>
        <v>2726369364.8459969</v>
      </c>
      <c r="Y111" t="n">
        <f t="shared" si="17"/>
        <v>0.86260878438416411</v>
      </c>
      <c r="Z111" t="n">
        <f t="shared" si="18"/>
        <v>2351790163.592031</v>
      </c>
    </row>
    <row r="112">
      <c r="B112" s="52" t="n">
        <v>2026</v>
      </c>
      <c r="C112" t="str">
        <f>tbl_detail_2022!C112</f>
        <v>pumps</v>
      </c>
      <c r="D112" t="str">
        <f>tbl_detail_2022!D112</f>
        <v>G&amp;B Pneumatic Pumps</v>
      </c>
      <c r="E112" t="n">
        <f>tbl_detail_2022!E112</f>
        <v>0</v>
      </c>
      <c r="F112" t="n">
        <f>tbl_detail_2022!F112</f>
        <v>414.602702974892</v>
      </c>
      <c r="G112" t="n">
        <f>tbl_detail_2022!G112</f>
        <v>-38582.809171166598</v>
      </c>
      <c r="H112" t="n">
        <f>tbl_detail_2022!H112</f>
        <v>-10725.0449202607</v>
      </c>
      <c r="I112" t="n">
        <f>tbl_detail_2022!I112</f>
        <v>-404.01244214622102</v>
      </c>
      <c r="J112" t="n">
        <f>tbl_detail_2022!J112</f>
        <v>-875043.39266035904</v>
      </c>
      <c r="K112" t="n">
        <f>tbl_detail_2022!K112</f>
        <v>24809063.079657301</v>
      </c>
      <c r="L112" t="n">
        <f>tbl_detail_2022!L112</f>
        <v>5895852.1804327397</v>
      </c>
      <c r="M112" t="n">
        <f>tbl_detail_2022!M112</f>
        <v>18913210.899224602</v>
      </c>
      <c r="N112" t="n">
        <f>tbl_detail_2022!N112</f>
        <v>199254830.22468799</v>
      </c>
      <c r="O112" t="n">
        <f>tbl_detail_2022!O112</f>
        <v>-1233410.1710973701</v>
      </c>
      <c r="P112" t="n">
        <f t="shared" si="12"/>
        <v>5</v>
      </c>
      <c r="Q112" t="n">
        <f t="shared" si="13"/>
        <v>0.71298617948366838</v>
      </c>
      <c r="R112" t="n">
        <f t="shared" si="14"/>
        <v>17688519.101734191</v>
      </c>
      <c r="S112" t="n">
        <f t="shared" si="19"/>
        <v>4203661.1209271951</v>
      </c>
      <c r="T112" t="n">
        <f t="shared" si="20"/>
        <v>13484857.980807025</v>
      </c>
      <c r="U112" t="n">
        <f t="shared" si="21"/>
        <v>142065940.14556727</v>
      </c>
      <c r="V112" t="n">
        <f t="shared" si="22"/>
        <v>-879404.40562701167</v>
      </c>
      <c r="W112" t="n">
        <f t="shared" si="15"/>
        <v>1583.6298172853496</v>
      </c>
      <c r="X112" t="n">
        <f t="shared" si="16"/>
        <v>61100887.038090073</v>
      </c>
      <c r="Y112" t="n">
        <f t="shared" si="17"/>
        <v>0.86260878438416411</v>
      </c>
      <c r="Z112" t="n">
        <f t="shared" si="18"/>
        <v>52706161.892721005</v>
      </c>
    </row>
    <row r="113">
      <c r="B113" s="52" t="n">
        <v>2026</v>
      </c>
      <c r="C113" t="str">
        <f>tbl_detail_2022!C113</f>
        <v>pumps</v>
      </c>
      <c r="D113" t="str">
        <f>tbl_detail_2022!D113</f>
        <v>Well Pad Pumps</v>
      </c>
      <c r="E113" t="n">
        <f>tbl_detail_2022!E113</f>
        <v>0</v>
      </c>
      <c r="F113" t="n">
        <f>tbl_detail_2022!F113</f>
        <v>102780.948563408</v>
      </c>
      <c r="G113" t="n">
        <f>tbl_detail_2022!G113</f>
        <v>-172342.25582435701</v>
      </c>
      <c r="H113" t="n">
        <f>tbl_detail_2022!H113</f>
        <v>-47906.787377125598</v>
      </c>
      <c r="I113" t="n">
        <f>tbl_detail_2022!I113</f>
        <v>-1804.6486804963199</v>
      </c>
      <c r="J113" t="n">
        <f>tbl_detail_2022!J113</f>
        <v>-3908656.61352582</v>
      </c>
      <c r="K113" t="n">
        <f>tbl_detail_2022!K113</f>
        <v>148348633.435754</v>
      </c>
      <c r="L113" t="n">
        <f>tbl_detail_2022!L113</f>
        <v>26335678.676867299</v>
      </c>
      <c r="M113" t="n">
        <f>tbl_detail_2022!M113</f>
        <v>122012954.75888599</v>
      </c>
      <c r="N113" t="n">
        <f>tbl_detail_2022!N113</f>
        <v>1273392460.4652901</v>
      </c>
      <c r="O113" t="n">
        <f>tbl_detail_2022!O113</f>
        <v>-6166856.9138044901</v>
      </c>
      <c r="P113" t="n">
        <f t="shared" si="12"/>
        <v>5</v>
      </c>
      <c r="Q113" t="n">
        <f t="shared" si="13"/>
        <v>0.71298617948366838</v>
      </c>
      <c r="R113" t="n">
        <f t="shared" si="14"/>
        <v>105770525.38498142</v>
      </c>
      <c r="S113" t="n">
        <f t="shared" si="19"/>
        <v>18776974.923929125</v>
      </c>
      <c r="T113" t="n">
        <f t="shared" si="20"/>
        <v>86993550.461051807</v>
      </c>
      <c r="U113" t="n">
        <f t="shared" si="21"/>
        <v>907911225.37045538</v>
      </c>
      <c r="V113" t="n">
        <f t="shared" si="22"/>
        <v>-4396883.7503959099</v>
      </c>
      <c r="W113" t="n">
        <f t="shared" si="15"/>
        <v>1583.6298172853496</v>
      </c>
      <c r="X113" t="n">
        <f t="shared" si="16"/>
        <v>272926335.10167146</v>
      </c>
      <c r="Y113" t="n">
        <f t="shared" si="17"/>
        <v>0.86260878438416411</v>
      </c>
      <c r="Z113" t="n">
        <f t="shared" si="18"/>
        <v>235428654.14847782</v>
      </c>
    </row>
    <row r="114">
      <c r="B114" s="52" t="n">
        <v>2026</v>
      </c>
      <c r="C114" t="str">
        <f>tbl_detail_2022!C114</f>
        <v>Storage vessels</v>
      </c>
      <c r="D114" t="n">
        <f>tbl_detail_2022!D114</f>
        <v>0</v>
      </c>
      <c r="E114" t="n">
        <f>tbl_detail_2022!E114</f>
        <v>0</v>
      </c>
      <c r="F114" t="n">
        <f>tbl_detail_2022!F114</f>
        <v>5767.0937995410504</v>
      </c>
      <c r="G114" t="n">
        <f>tbl_detail_2022!G114</f>
        <v>-11052.4407983984</v>
      </c>
      <c r="H114" t="n">
        <f>tbl_detail_2022!H114</f>
        <v>-52544.857444775902</v>
      </c>
      <c r="I114" t="n">
        <f>tbl_detail_2022!I114</f>
        <v>-1979.3647799447101</v>
      </c>
      <c r="J114" t="n">
        <f>tbl_detail_2022!J114</f>
        <v>-250665.14080151101</v>
      </c>
      <c r="K114" t="n">
        <f>tbl_detail_2022!K114</f>
        <v>178679406.282289</v>
      </c>
      <c r="L114" t="n">
        <f>tbl_detail_2022!L114</f>
        <v>0</v>
      </c>
      <c r="M114" t="n">
        <f>tbl_detail_2022!M114</f>
        <v>178679406.282289</v>
      </c>
      <c r="N114" t="n">
        <f>tbl_detail_2022!N114</f>
        <v>102549014.14100701</v>
      </c>
      <c r="O114" t="n">
        <f>tbl_detail_2022!O114</f>
        <v>131720422.38151801</v>
      </c>
      <c r="P114" t="n">
        <f t="shared" si="12"/>
        <v>5</v>
      </c>
      <c r="Q114" t="n">
        <f t="shared" si="13"/>
        <v>0.71298617948366838</v>
      </c>
      <c r="R114" t="n">
        <f t="shared" si="14"/>
        <v>127395947.2376194</v>
      </c>
      <c r="S114" t="n">
        <f t="shared" si="19"/>
        <v>0</v>
      </c>
      <c r="T114" t="n">
        <f t="shared" si="20"/>
        <v>127395947.2376194</v>
      </c>
      <c r="U114" t="n">
        <f t="shared" si="21"/>
        <v>73116029.802213266</v>
      </c>
      <c r="V114" t="n">
        <f t="shared" si="22"/>
        <v>93914840.713773608</v>
      </c>
      <c r="W114" t="n">
        <f t="shared" si="15"/>
        <v>1583.6298172853496</v>
      </c>
      <c r="X114" t="n">
        <f t="shared" si="16"/>
        <v>17502974.802124802</v>
      </c>
      <c r="Y114" t="n">
        <f t="shared" si="17"/>
        <v>0.86260878438416411</v>
      </c>
      <c r="Z114" t="n">
        <f t="shared" si="18"/>
        <v>15098219.817167532</v>
      </c>
    </row>
    <row r="115">
      <c r="B115" s="52" t="n">
        <v>2027</v>
      </c>
      <c r="C115" t="str">
        <f>tbl_detail_2022!C115</f>
        <v>fugitives</v>
      </c>
      <c r="D115" t="str">
        <f>tbl_detail_2022!D115</f>
        <v>G&amp;B Stations</v>
      </c>
      <c r="E115" t="n">
        <f>tbl_detail_2022!E115</f>
        <v>0</v>
      </c>
      <c r="F115" t="n">
        <f>tbl_detail_2022!F115</f>
        <v>5205.2294633003403</v>
      </c>
      <c r="G115" t="n">
        <f>tbl_detail_2022!G115</f>
        <v>-69258.832691910997</v>
      </c>
      <c r="H115" t="n">
        <f>tbl_detail_2022!H115</f>
        <v>-19252.2034596386</v>
      </c>
      <c r="I115" t="n">
        <f>tbl_detail_2022!I115</f>
        <v>-725.31359523942399</v>
      </c>
      <c r="J115" t="n">
        <f>tbl_detail_2022!J115</f>
        <v>-1570763.90320787</v>
      </c>
      <c r="K115" t="n">
        <f>tbl_detail_2022!K115</f>
        <v>69464580.050284401</v>
      </c>
      <c r="L115" t="n">
        <f>tbl_detail_2022!L115</f>
        <v>10929626.889424499</v>
      </c>
      <c r="M115" t="n">
        <f>tbl_detail_2022!M115</f>
        <v>58534953.160859898</v>
      </c>
      <c r="N115" t="n">
        <f>tbl_detail_2022!N115</f>
        <v>0</v>
      </c>
      <c r="O115" t="n">
        <f>tbl_detail_2022!O115</f>
        <v>66949661.356968999</v>
      </c>
      <c r="P115" t="n">
        <f t="shared" si="12"/>
        <v>6</v>
      </c>
      <c r="Q115" t="n">
        <f t="shared" si="13"/>
        <v>0.66634222381651254</v>
      </c>
      <c r="R115" t="n">
        <f t="shared" si="14"/>
        <v>46287182.747186661</v>
      </c>
      <c r="S115" t="n">
        <f t="shared" si="19"/>
        <v>7282871.8869838733</v>
      </c>
      <c r="T115" t="n">
        <f t="shared" si="20"/>
        <v>39004310.860202782</v>
      </c>
      <c r="U115" t="n">
        <f t="shared" si="21"/>
        <v>0</v>
      </c>
      <c r="V115" t="n">
        <f t="shared" si="22"/>
        <v>44611386.232365154</v>
      </c>
      <c r="W115" t="n">
        <f t="shared" si="15"/>
        <v>1625.7039522769182</v>
      </c>
      <c r="X115" t="n">
        <f t="shared" si="16"/>
        <v>112594358.03732555</v>
      </c>
      <c r="Y115" t="n">
        <f t="shared" si="17"/>
        <v>0.83748425668365445</v>
      </c>
      <c r="Z115" t="n">
        <f t="shared" si="18"/>
        <v>94296002.247662842</v>
      </c>
    </row>
    <row r="116">
      <c r="B116" s="52" t="n">
        <v>2027</v>
      </c>
      <c r="C116" t="str">
        <f>tbl_detail_2022!C116</f>
        <v>fugitives</v>
      </c>
      <c r="D116" t="str">
        <f>tbl_detail_2022!D116</f>
        <v>Processing Plants</v>
      </c>
      <c r="E116" t="str">
        <f>tbl_detail_2022!E116</f>
        <v>Large Plants</v>
      </c>
      <c r="F116" t="n">
        <f>tbl_detail_2022!F116</f>
        <v>228.672114680428</v>
      </c>
      <c r="G116" t="n">
        <f>tbl_detail_2022!G116</f>
        <v>-5443.7052624197204</v>
      </c>
      <c r="H116" t="n">
        <f>tbl_detail_2022!H116</f>
        <v>-661.187705257689</v>
      </c>
      <c r="I116" t="n">
        <f>tbl_detail_2022!I116</f>
        <v>-24.1846683732984</v>
      </c>
      <c r="J116" t="n">
        <f>tbl_detail_2022!J116</f>
        <v>-123461.15857812201</v>
      </c>
      <c r="K116" t="n">
        <f>tbl_detail_2022!K116</f>
        <v>1737616.89419922</v>
      </c>
      <c r="L116" t="n">
        <f>tbl_detail_2022!L116</f>
        <v>818577.96541833796</v>
      </c>
      <c r="M116" t="n">
        <f>tbl_detail_2022!M116</f>
        <v>919038.92878088495</v>
      </c>
      <c r="N116" t="n">
        <f>tbl_detail_2022!N116</f>
        <v>-28445.4552185518</v>
      </c>
      <c r="O116" t="n">
        <f>tbl_detail_2022!O116</f>
        <v>2414231.1977210101</v>
      </c>
      <c r="P116" t="n">
        <f t="shared" si="12"/>
        <v>6</v>
      </c>
      <c r="Q116" t="n">
        <f t="shared" si="13"/>
        <v>0.66634222381651254</v>
      </c>
      <c r="R116" t="n">
        <f t="shared" si="14"/>
        <v>1157847.5054218501</v>
      </c>
      <c r="S116" t="n">
        <f t="shared" si="19"/>
        <v>545453.06184405158</v>
      </c>
      <c r="T116" t="n">
        <f t="shared" si="20"/>
        <v>612394.44357780041</v>
      </c>
      <c r="U116" t="n">
        <f t="shared" si="21"/>
        <v>-18954.407887802827</v>
      </c>
      <c r="V116" t="n">
        <f t="shared" si="22"/>
        <v>1608704.1850966203</v>
      </c>
      <c r="W116" t="n">
        <f t="shared" si="15"/>
        <v>1625.7039522769182</v>
      </c>
      <c r="X116" t="n">
        <f t="shared" si="16"/>
        <v>8849853.1601463985</v>
      </c>
      <c r="Y116" t="n">
        <f t="shared" si="17"/>
        <v>0.83748425668365445</v>
      </c>
      <c r="Z116" t="n">
        <f t="shared" si="18"/>
        <v>7411612.6955846967</v>
      </c>
    </row>
    <row r="117">
      <c r="B117" s="52" t="n">
        <v>2027</v>
      </c>
      <c r="C117" t="str">
        <f>tbl_detail_2022!C117</f>
        <v>fugitives</v>
      </c>
      <c r="D117" t="str">
        <f>tbl_detail_2022!D117</f>
        <v>Processing Plants</v>
      </c>
      <c r="E117" t="str">
        <f>tbl_detail_2022!E117</f>
        <v>Small Plants</v>
      </c>
      <c r="F117" t="n">
        <f>tbl_detail_2022!F117</f>
        <v>949.09045827540297</v>
      </c>
      <c r="G117" t="n">
        <f>tbl_detail_2022!G117</f>
        <v>-10852.2604230092</v>
      </c>
      <c r="H117" t="n">
        <f>tbl_detail_2022!H117</f>
        <v>-1327.9725195615299</v>
      </c>
      <c r="I117" t="n">
        <f>tbl_detail_2022!I117</f>
        <v>-48.593956648973403</v>
      </c>
      <c r="J117" t="n">
        <f>tbl_detail_2022!J117</f>
        <v>-246125.12625649801</v>
      </c>
      <c r="K117" t="n">
        <f>tbl_detail_2022!K117</f>
        <v>4116232.9687871998</v>
      </c>
      <c r="L117" t="n">
        <f>tbl_detail_2022!L117</f>
        <v>1631870.3583353399</v>
      </c>
      <c r="M117" t="n">
        <f>tbl_detail_2022!M117</f>
        <v>2484362.6104518599</v>
      </c>
      <c r="N117" t="n">
        <f>tbl_detail_2022!N117</f>
        <v>-57637.979201050701</v>
      </c>
      <c r="O117" t="n">
        <f>tbl_detail_2022!O117</f>
        <v>5487231.6346158199</v>
      </c>
      <c r="P117" t="n">
        <f t="shared" si="12"/>
        <v>6</v>
      </c>
      <c r="Q117" t="n">
        <f t="shared" si="13"/>
        <v>0.66634222381651254</v>
      </c>
      <c r="R117" t="n">
        <f t="shared" si="14"/>
        <v>2742819.830168508</v>
      </c>
      <c r="S117" t="n">
        <f t="shared" si="19"/>
        <v>1087384.1235534195</v>
      </c>
      <c r="T117" t="n">
        <f t="shared" si="20"/>
        <v>1655435.7066150885</v>
      </c>
      <c r="U117" t="n">
        <f t="shared" si="21"/>
        <v>-38406.619237118022</v>
      </c>
      <c r="V117" t="n">
        <f t="shared" si="22"/>
        <v>3656374.1300062225</v>
      </c>
      <c r="W117" t="n">
        <f t="shared" si="15"/>
        <v>1625.7039522769182</v>
      </c>
      <c r="X117" t="n">
        <f t="shared" si="16"/>
        <v>17642562.660824437</v>
      </c>
      <c r="Y117" t="n">
        <f t="shared" si="17"/>
        <v>0.83748425668365445</v>
      </c>
      <c r="Z117" t="n">
        <f t="shared" si="18"/>
        <v>14775368.475995351</v>
      </c>
    </row>
    <row r="118">
      <c r="B118" s="52" t="n">
        <v>2027</v>
      </c>
      <c r="C118" t="str">
        <f>tbl_detail_2022!C118</f>
        <v>fugitives</v>
      </c>
      <c r="D118" t="str">
        <f>tbl_detail_2022!D118</f>
        <v>T&amp;S Compressor Stations</v>
      </c>
      <c r="E118" t="str">
        <f>tbl_detail_2022!E118</f>
        <v>Compressor Stations (Transmission)</v>
      </c>
      <c r="F118" t="n">
        <f>tbl_detail_2022!F118</f>
        <v>1600.9032213984499</v>
      </c>
      <c r="G118" t="n">
        <f>tbl_detail_2022!G118</f>
        <v>-51729.9690219861</v>
      </c>
      <c r="H118" t="n">
        <f>tbl_detail_2022!H118</f>
        <v>-1431.61079395465</v>
      </c>
      <c r="I118" t="n">
        <f>tbl_detail_2022!I118</f>
        <v>-42.521266936604697</v>
      </c>
      <c r="J118" t="n">
        <f>tbl_detail_2022!J118</f>
        <v>-1173215.96243546</v>
      </c>
      <c r="K118" t="n">
        <f>tbl_detail_2022!K118</f>
        <v>31486523.520831801</v>
      </c>
      <c r="L118" t="n">
        <f>tbl_detail_2022!L118</f>
        <v>7292542.0425778003</v>
      </c>
      <c r="M118" t="n">
        <f>tbl_detail_2022!M118</f>
        <v>24193981.478254002</v>
      </c>
      <c r="N118" t="n">
        <f>tbl_detail_2022!N118</f>
        <v>0</v>
      </c>
      <c r="O118" t="n">
        <f>tbl_detail_2022!O118</f>
        <v>25502388.316877399</v>
      </c>
      <c r="P118" t="n">
        <f t="shared" si="12"/>
        <v>6</v>
      </c>
      <c r="Q118" t="n">
        <f t="shared" si="13"/>
        <v>0.66634222381651254</v>
      </c>
      <c r="R118" t="n">
        <f t="shared" si="14"/>
        <v>20980800.103121988</v>
      </c>
      <c r="S118" t="n">
        <f t="shared" si="19"/>
        <v>4859328.681926704</v>
      </c>
      <c r="T118" t="n">
        <f t="shared" si="20"/>
        <v>16121471.421195287</v>
      </c>
      <c r="U118" t="n">
        <f t="shared" si="21"/>
        <v>0</v>
      </c>
      <c r="V118" t="n">
        <f t="shared" si="22"/>
        <v>16993318.143700335</v>
      </c>
      <c r="W118" t="n">
        <f t="shared" si="15"/>
        <v>1625.7039522769182</v>
      </c>
      <c r="X118" t="n">
        <f t="shared" si="16"/>
        <v>84097615.090205356</v>
      </c>
      <c r="Y118" t="n">
        <f t="shared" si="17"/>
        <v>0.83748425668365445</v>
      </c>
      <c r="Z118" t="n">
        <f t="shared" si="18"/>
        <v>70430428.662688717</v>
      </c>
    </row>
    <row r="119">
      <c r="B119" s="52" t="n">
        <v>2027</v>
      </c>
      <c r="C119" t="str">
        <f>tbl_detail_2022!C119</f>
        <v>fugitives</v>
      </c>
      <c r="D119" t="str">
        <f>tbl_detail_2022!D119</f>
        <v>T&amp;S Compressor Stations</v>
      </c>
      <c r="E119" t="str">
        <f>tbl_detail_2022!E119</f>
        <v>Compressor Stations (Storage)</v>
      </c>
      <c r="F119" t="n">
        <f>tbl_detail_2022!F119</f>
        <v>292.72140387058897</v>
      </c>
      <c r="G119" t="n">
        <f>tbl_detail_2022!G119</f>
        <v>-33355.892246604897</v>
      </c>
      <c r="H119" t="n">
        <f>tbl_detail_2022!H119</f>
        <v>-923.11393733740795</v>
      </c>
      <c r="I119" t="n">
        <f>tbl_detail_2022!I119</f>
        <v>-27.418048472514901</v>
      </c>
      <c r="J119" t="n">
        <f>tbl_detail_2022!J119</f>
        <v>-756498.91088010604</v>
      </c>
      <c r="K119" t="n">
        <f>tbl_detail_2022!K119</f>
        <v>6956223.9379456397</v>
      </c>
      <c r="L119" t="n">
        <f>tbl_detail_2022!L119</f>
        <v>4702288.6573288999</v>
      </c>
      <c r="M119" t="n">
        <f>tbl_detail_2022!M119</f>
        <v>2253935.28061673</v>
      </c>
      <c r="N119" t="n">
        <f>tbl_detail_2022!N119</f>
        <v>0</v>
      </c>
      <c r="O119" t="n">
        <f>tbl_detail_2022!O119</f>
        <v>5862038.8339124201</v>
      </c>
      <c r="P119" t="n">
        <f t="shared" si="12"/>
        <v>6</v>
      </c>
      <c r="Q119" t="n">
        <f t="shared" si="13"/>
        <v>0.66634222381651254</v>
      </c>
      <c r="R119" t="n">
        <f t="shared" si="14"/>
        <v>4635225.7281763554</v>
      </c>
      <c r="S119" t="n">
        <f t="shared" si="19"/>
        <v>3133333.4809517022</v>
      </c>
      <c r="T119" t="n">
        <f t="shared" si="20"/>
        <v>1501892.2472246471</v>
      </c>
      <c r="U119" t="n">
        <f t="shared" si="21"/>
        <v>0</v>
      </c>
      <c r="V119" t="n">
        <f t="shared" si="22"/>
        <v>3906123.9926879578</v>
      </c>
      <c r="W119" t="n">
        <f t="shared" si="15"/>
        <v>1625.7039522769182</v>
      </c>
      <c r="X119" t="n">
        <f t="shared" si="16"/>
        <v>54226805.857028596</v>
      </c>
      <c r="Y119" t="n">
        <f t="shared" si="17"/>
        <v>0.83748425668365445</v>
      </c>
      <c r="Z119" t="n">
        <f t="shared" si="18"/>
        <v>45414096.19550243</v>
      </c>
    </row>
    <row r="120">
      <c r="B120" s="52" t="n">
        <v>2027</v>
      </c>
      <c r="C120" t="str">
        <f>tbl_detail_2022!C120</f>
        <v>fugitives</v>
      </c>
      <c r="D120" t="str">
        <f>tbl_detail_2022!D120</f>
        <v>Wellpad Fugitives</v>
      </c>
      <c r="E120" t="str">
        <f>tbl_detail_2022!E120</f>
        <v>1: No equipment, no tanks</v>
      </c>
      <c r="F120" t="n">
        <f>tbl_detail_2022!F120</f>
        <v>210232.05698513699</v>
      </c>
      <c r="G120" t="n">
        <f>tbl_detail_2022!G120</f>
        <v>-46913.010666920403</v>
      </c>
      <c r="H120" t="n">
        <f>tbl_detail_2022!H120</f>
        <v>-13040.630206973001</v>
      </c>
      <c r="I120" t="n">
        <f>tbl_detail_2022!I120</f>
        <v>-491.24053989667402</v>
      </c>
      <c r="J120" t="n">
        <f>tbl_detail_2022!J120</f>
        <v>-1063969.1846121899</v>
      </c>
      <c r="K120" t="n">
        <f>tbl_detail_2022!K120</f>
        <v>143652343.90135199</v>
      </c>
      <c r="L120" t="n">
        <f>tbl_detail_2022!L120</f>
        <v>7403268.04423483</v>
      </c>
      <c r="M120" t="n">
        <f>tbl_detail_2022!M120</f>
        <v>136249075.857117</v>
      </c>
      <c r="N120" t="n">
        <f>tbl_detail_2022!N120</f>
        <v>332129.80996495101</v>
      </c>
      <c r="O120" t="n">
        <f>tbl_detail_2022!O120</f>
        <v>140363256.16354799</v>
      </c>
      <c r="P120" t="n">
        <f t="shared" si="12"/>
        <v>6</v>
      </c>
      <c r="Q120" t="n">
        <f t="shared" si="13"/>
        <v>0.66634222381651254</v>
      </c>
      <c r="R120" t="n">
        <f t="shared" si="14"/>
        <v>95721622.291681319</v>
      </c>
      <c r="S120" t="n">
        <f t="shared" si="19"/>
        <v>4933110.0921051605</v>
      </c>
      <c r="T120" t="n">
        <f t="shared" si="20"/>
        <v>90788512.19957605</v>
      </c>
      <c r="U120" t="n">
        <f t="shared" si="21"/>
        <v>221312.11616780117</v>
      </c>
      <c r="V120" t="n">
        <f t="shared" si="22"/>
        <v>93529964.254145384</v>
      </c>
      <c r="W120" t="n">
        <f t="shared" si="15"/>
        <v>1625.7039522769182</v>
      </c>
      <c r="X120" t="n">
        <f t="shared" si="16"/>
        <v>76266666.85442172</v>
      </c>
      <c r="Y120" t="n">
        <f t="shared" si="17"/>
        <v>0.83748425668365445</v>
      </c>
      <c r="Z120" t="n">
        <f t="shared" si="18"/>
        <v>63872132.800315283</v>
      </c>
    </row>
    <row r="121">
      <c r="B121" s="52" t="n">
        <v>2027</v>
      </c>
      <c r="C121" t="str">
        <f>tbl_detail_2022!C121</f>
        <v>fugitives</v>
      </c>
      <c r="D121" t="str">
        <f>tbl_detail_2022!D121</f>
        <v>Wellpad Fugitives</v>
      </c>
      <c r="E121" t="str">
        <f>tbl_detail_2022!E121</f>
        <v>2: Tanks, no equipment</v>
      </c>
      <c r="F121" t="n">
        <f>tbl_detail_2022!F121</f>
        <v>33511.694521037403</v>
      </c>
      <c r="G121" t="n">
        <f>tbl_detail_2022!G121</f>
        <v>-9781.5291166167408</v>
      </c>
      <c r="H121" t="n">
        <f>tbl_detail_2022!H121</f>
        <v>-2719.0176510773899</v>
      </c>
      <c r="I121" t="n">
        <f>tbl_detail_2022!I121</f>
        <v>-102.425394916085</v>
      </c>
      <c r="J121" t="n">
        <f>tbl_detail_2022!J121</f>
        <v>-221841.34871151001</v>
      </c>
      <c r="K121" t="n">
        <f>tbl_detail_2022!K121</f>
        <v>32230445.494539499</v>
      </c>
      <c r="L121" t="n">
        <f>tbl_detail_2022!L121</f>
        <v>1543607.6453704</v>
      </c>
      <c r="M121" t="n">
        <f>tbl_detail_2022!M121</f>
        <v>30686837.849169102</v>
      </c>
      <c r="N121" t="n">
        <f>tbl_detail_2022!N121</f>
        <v>255482.90429098299</v>
      </c>
      <c r="O121" t="n">
        <f>tbl_detail_2022!O121</f>
        <v>31005390.428983301</v>
      </c>
      <c r="P121" t="n">
        <f t="shared" si="12"/>
        <v>6</v>
      </c>
      <c r="Q121" t="n">
        <f t="shared" si="13"/>
        <v>0.66634222381651254</v>
      </c>
      <c r="R121" t="n">
        <f t="shared" si="14"/>
        <v>21476506.725428347</v>
      </c>
      <c r="S121" t="n">
        <f t="shared" si="19"/>
        <v>1028570.9511162831</v>
      </c>
      <c r="T121" t="n">
        <f t="shared" si="20"/>
        <v>20447935.774312064</v>
      </c>
      <c r="U121" t="n">
        <f t="shared" si="21"/>
        <v>170239.04659235483</v>
      </c>
      <c r="V121" t="n">
        <f t="shared" si="22"/>
        <v>20660200.808747947</v>
      </c>
      <c r="W121" t="n">
        <f t="shared" si="15"/>
        <v>1625.7039522769182</v>
      </c>
      <c r="X121" t="n">
        <f t="shared" si="16"/>
        <v>15901870.544195589</v>
      </c>
      <c r="Y121" t="n">
        <f t="shared" si="17"/>
        <v>0.83748425668365445</v>
      </c>
      <c r="Z121" t="n">
        <f t="shared" si="18"/>
        <v>13317566.232585343</v>
      </c>
    </row>
    <row r="122">
      <c r="B122" s="52" t="n">
        <v>2027</v>
      </c>
      <c r="C122" t="str">
        <f>tbl_detail_2022!C122</f>
        <v>fugitives</v>
      </c>
      <c r="D122" t="str">
        <f>tbl_detail_2022!D122</f>
        <v>Wellpad Fugitives</v>
      </c>
      <c r="E122" t="str">
        <f>tbl_detail_2022!E122</f>
        <v>3: Equipment = 1, no tanks</v>
      </c>
      <c r="F122" t="n">
        <f>tbl_detail_2022!F122</f>
        <v>27552.587077000499</v>
      </c>
      <c r="G122" t="n">
        <f>tbl_detail_2022!G122</f>
        <v>-23987.819837312501</v>
      </c>
      <c r="H122" t="n">
        <f>tbl_detail_2022!H122</f>
        <v>-6668.0070948944604</v>
      </c>
      <c r="I122" t="n">
        <f>tbl_detail_2022!I122</f>
        <v>-251.18382726467399</v>
      </c>
      <c r="J122" t="n">
        <f>tbl_detail_2022!J122</f>
        <v>-544034.60255698103</v>
      </c>
      <c r="K122" t="n">
        <f>tbl_detail_2022!K122</f>
        <v>16122540.317238601</v>
      </c>
      <c r="L122" t="n">
        <f>tbl_detail_2022!L122</f>
        <v>3785479.9239661801</v>
      </c>
      <c r="M122" t="n">
        <f>tbl_detail_2022!M122</f>
        <v>12337060.3932724</v>
      </c>
      <c r="N122" t="n">
        <f>tbl_detail_2022!N122</f>
        <v>-138464.11361685299</v>
      </c>
      <c r="O122" t="n">
        <f>tbl_detail_2022!O122</f>
        <v>15926869.767987501</v>
      </c>
      <c r="P122" t="n">
        <f t="shared" si="12"/>
        <v>6</v>
      </c>
      <c r="Q122" t="n">
        <f t="shared" si="13"/>
        <v>0.66634222381651254</v>
      </c>
      <c r="R122" t="n">
        <f t="shared" si="14"/>
        <v>10743129.36856015</v>
      </c>
      <c r="S122" t="n">
        <f t="shared" si="19"/>
        <v>2522425.1107483874</v>
      </c>
      <c r="T122" t="n">
        <f t="shared" si="20"/>
        <v>8220704.2578117494</v>
      </c>
      <c r="U122" t="n">
        <f t="shared" si="21"/>
        <v>-92264.485386236076</v>
      </c>
      <c r="V122" t="n">
        <f t="shared" si="22"/>
        <v>10612745.819636775</v>
      </c>
      <c r="W122" t="n">
        <f t="shared" si="15"/>
        <v>1625.7039522769182</v>
      </c>
      <c r="X122" t="n">
        <f t="shared" si="16"/>
        <v>38997093.516025595</v>
      </c>
      <c r="Y122" t="n">
        <f t="shared" si="17"/>
        <v>0.83748425668365445</v>
      </c>
      <c r="Z122" t="n">
        <f t="shared" si="18"/>
        <v>32659451.876091655</v>
      </c>
    </row>
    <row r="123">
      <c r="B123" s="52" t="n">
        <v>2027</v>
      </c>
      <c r="C123" t="str">
        <f>tbl_detail_2022!C123</f>
        <v>fugitives</v>
      </c>
      <c r="D123" t="str">
        <f>tbl_detail_2022!D123</f>
        <v>Wellpad Fugitives</v>
      </c>
      <c r="E123" t="str">
        <f>tbl_detail_2022!E123</f>
        <v>4: Equipment &gt; 1, no tanks</v>
      </c>
      <c r="F123" t="n">
        <f>tbl_detail_2022!F123</f>
        <v>34312.881017362401</v>
      </c>
      <c r="G123" t="n">
        <f>tbl_detail_2022!G123</f>
        <v>-63451.286324405402</v>
      </c>
      <c r="H123" t="n">
        <f>tbl_detail_2022!H123</f>
        <v>-17637.8524709946</v>
      </c>
      <c r="I123" t="n">
        <f>tbl_detail_2022!I123</f>
        <v>-664.41790258236495</v>
      </c>
      <c r="J123" t="n">
        <f>tbl_detail_2022!J123</f>
        <v>-1439050.9671717801</v>
      </c>
      <c r="K123" t="n">
        <f>tbl_detail_2022!K123</f>
        <v>123512232.935463</v>
      </c>
      <c r="L123" t="n">
        <f>tbl_detail_2022!L123</f>
        <v>10013147.178854899</v>
      </c>
      <c r="M123" t="n">
        <f>tbl_detail_2022!M123</f>
        <v>113499085.75660799</v>
      </c>
      <c r="N123" t="n">
        <f>tbl_detail_2022!N123</f>
        <v>9788.2691773027109</v>
      </c>
      <c r="O123" t="n">
        <f>tbl_detail_2022!O123</f>
        <v>119180255.369654</v>
      </c>
      <c r="P123" t="n">
        <f t="shared" si="12"/>
        <v>6</v>
      </c>
      <c r="Q123" t="n">
        <f t="shared" si="13"/>
        <v>0.66634222381651254</v>
      </c>
      <c r="R123" t="n">
        <f t="shared" si="14"/>
        <v>82301415.96275951</v>
      </c>
      <c r="S123" t="n">
        <f t="shared" si="19"/>
        <v>6672182.7585602123</v>
      </c>
      <c r="T123" t="n">
        <f t="shared" si="20"/>
        <v>75629233.20419924</v>
      </c>
      <c r="U123" t="n">
        <f t="shared" si="21"/>
        <v>6522.3370509185143</v>
      </c>
      <c r="V123" t="n">
        <f t="shared" si="22"/>
        <v>79414836.398035109</v>
      </c>
      <c r="W123" t="n">
        <f t="shared" si="15"/>
        <v>1625.7039522769182</v>
      </c>
      <c r="X123" t="n">
        <f t="shared" si="16"/>
        <v>103153006.95464024</v>
      </c>
      <c r="Y123" t="n">
        <f t="shared" si="17"/>
        <v>0.83748425668365445</v>
      </c>
      <c r="Z123" t="n">
        <f t="shared" si="18"/>
        <v>86389019.35409072</v>
      </c>
    </row>
    <row r="124">
      <c r="B124" s="52" t="n">
        <v>2027</v>
      </c>
      <c r="C124" t="str">
        <f>tbl_detail_2022!C124</f>
        <v>fugitives</v>
      </c>
      <c r="D124" t="str">
        <f>tbl_detail_2022!D124</f>
        <v>Wellpad Fugitives</v>
      </c>
      <c r="E124" t="str">
        <f>tbl_detail_2022!E124</f>
        <v>5: Equipment = 1 and tanks</v>
      </c>
      <c r="F124" t="n">
        <f>tbl_detail_2022!F124</f>
        <v>61098.463802681101</v>
      </c>
      <c r="G124" t="n">
        <f>tbl_detail_2022!G124</f>
        <v>-74160.330201987905</v>
      </c>
      <c r="H124" t="n">
        <f>tbl_detail_2022!H124</f>
        <v>-20614.695762279502</v>
      </c>
      <c r="I124" t="n">
        <f>tbl_detail_2022!I124</f>
        <v>-776.55558936506998</v>
      </c>
      <c r="J124" t="n">
        <f>tbl_detail_2022!J124</f>
        <v>-1681927.9968151101</v>
      </c>
      <c r="K124" t="n">
        <f>tbl_detail_2022!K124</f>
        <v>240952189.46268699</v>
      </c>
      <c r="L124" t="n">
        <f>tbl_detail_2022!L124</f>
        <v>11703124.4622596</v>
      </c>
      <c r="M124" t="n">
        <f>tbl_detail_2022!M124</f>
        <v>229249065.00042701</v>
      </c>
      <c r="N124" t="n">
        <f>tbl_detail_2022!N124</f>
        <v>7034.1380893329197</v>
      </c>
      <c r="O124" t="n">
        <f>tbl_detail_2022!O124</f>
        <v>231919116.74148101</v>
      </c>
      <c r="P124" t="n">
        <f t="shared" si="12"/>
        <v>6</v>
      </c>
      <c r="Q124" t="n">
        <f t="shared" si="13"/>
        <v>0.66634222381651254</v>
      </c>
      <c r="R124" t="n">
        <f t="shared" si="14"/>
        <v>160556617.76002452</v>
      </c>
      <c r="S124" t="n">
        <f t="shared" si="19"/>
        <v>7798285.9797834894</v>
      </c>
      <c r="T124" t="n">
        <f t="shared" si="20"/>
        <v>152758331.78024077</v>
      </c>
      <c r="U124" t="n">
        <f t="shared" si="21"/>
        <v>4687.143217078532</v>
      </c>
      <c r="V124" t="n">
        <f t="shared" si="22"/>
        <v>154537499.99507985</v>
      </c>
      <c r="W124" t="n">
        <f t="shared" si="15"/>
        <v>1625.7039522769182</v>
      </c>
      <c r="X124" t="n">
        <f t="shared" si="16"/>
        <v>120562741.91153304</v>
      </c>
      <c r="Y124" t="n">
        <f t="shared" si="17"/>
        <v>0.83748425668365445</v>
      </c>
      <c r="Z124" t="n">
        <f t="shared" si="18"/>
        <v>100969398.29352352</v>
      </c>
    </row>
    <row r="125">
      <c r="B125" s="52" t="n">
        <v>2027</v>
      </c>
      <c r="C125" t="str">
        <f>tbl_detail_2022!C125</f>
        <v>fugitives</v>
      </c>
      <c r="D125" t="str">
        <f>tbl_detail_2022!D125</f>
        <v>Wellpad Fugitives</v>
      </c>
      <c r="E125" t="str">
        <f>tbl_detail_2022!E125</f>
        <v>6: Equipment &gt; 1 and tanks</v>
      </c>
      <c r="F125" t="n">
        <f>tbl_detail_2022!F125</f>
        <v>145579.66634233299</v>
      </c>
      <c r="G125" t="n">
        <f>tbl_detail_2022!G125</f>
        <v>-182920.19335346401</v>
      </c>
      <c r="H125" t="n">
        <f>tbl_detail_2022!H125</f>
        <v>-50847.186420131598</v>
      </c>
      <c r="I125" t="n">
        <f>tbl_detail_2022!I125</f>
        <v>-1915.4135124463601</v>
      </c>
      <c r="J125" t="n">
        <f>tbl_detail_2022!J125</f>
        <v>-4148560.2012027898</v>
      </c>
      <c r="K125" t="n">
        <f>tbl_detail_2022!K125</f>
        <v>504333568.901752</v>
      </c>
      <c r="L125" t="n">
        <f>tbl_detail_2022!L125</f>
        <v>28866346.517680202</v>
      </c>
      <c r="M125" t="n">
        <f>tbl_detail_2022!M125</f>
        <v>475467222.38407201</v>
      </c>
      <c r="N125" t="n">
        <f>tbl_detail_2022!N125</f>
        <v>51281.284165078898</v>
      </c>
      <c r="O125" t="n">
        <f>tbl_detail_2022!O125</f>
        <v>487190218.91628098</v>
      </c>
      <c r="P125" t="n">
        <f t="shared" si="12"/>
        <v>6</v>
      </c>
      <c r="Q125" t="n">
        <f t="shared" si="13"/>
        <v>0.66634222381651254</v>
      </c>
      <c r="R125" t="n">
        <f t="shared" si="14"/>
        <v>336058751.84731179</v>
      </c>
      <c r="S125" t="n">
        <f t="shared" si="19"/>
        <v>19234865.532049067</v>
      </c>
      <c r="T125" t="n">
        <f t="shared" si="20"/>
        <v>316823886.31526285</v>
      </c>
      <c r="U125" t="n">
        <f t="shared" si="21"/>
        <v>34170.88493072518</v>
      </c>
      <c r="V125" t="n">
        <f t="shared" si="22"/>
        <v>324635413.89432824</v>
      </c>
      <c r="W125" t="n">
        <f t="shared" si="15"/>
        <v>1625.7039522769182</v>
      </c>
      <c r="X125" t="n">
        <f t="shared" si="16"/>
        <v>297374081.28598452</v>
      </c>
      <c r="Y125" t="n">
        <f t="shared" si="17"/>
        <v>0.83748425668365445</v>
      </c>
      <c r="Z125" t="n">
        <f t="shared" si="18"/>
        <v>249046111.42277738</v>
      </c>
    </row>
    <row r="126">
      <c r="B126" s="52" t="n">
        <v>2027</v>
      </c>
      <c r="C126" t="str">
        <f>tbl_detail_2022!C126</f>
        <v>compressors</v>
      </c>
      <c r="D126" t="str">
        <f>tbl_detail_2022!D126</f>
        <v>G&amp;B Station Recip Comp</v>
      </c>
      <c r="E126" t="n">
        <f>tbl_detail_2022!E126</f>
        <v>0</v>
      </c>
      <c r="F126" t="n">
        <f>tbl_detail_2022!F126</f>
        <v>23974.011973250799</v>
      </c>
      <c r="G126" t="n">
        <f>tbl_detail_2022!G126</f>
        <v>-170839.912690878</v>
      </c>
      <c r="H126" t="n">
        <f>tbl_detail_2022!H126</f>
        <v>-47489.174020338702</v>
      </c>
      <c r="I126" t="n">
        <f>tbl_detail_2022!I126</f>
        <v>-1789.12214468614</v>
      </c>
      <c r="J126" t="n">
        <f>tbl_detail_2022!J126</f>
        <v>-3874584.0444024298</v>
      </c>
      <c r="K126" t="n">
        <f>tbl_detail_2022!K126</f>
        <v>31125928.138579901</v>
      </c>
      <c r="L126" t="n">
        <f>tbl_detail_2022!L126</f>
        <v>26959976.5251492</v>
      </c>
      <c r="M126" t="n">
        <f>tbl_detail_2022!M126</f>
        <v>4165951.6134307301</v>
      </c>
      <c r="N126" t="n">
        <f>tbl_detail_2022!N126</f>
        <v>0</v>
      </c>
      <c r="O126" t="n">
        <f>tbl_detail_2022!O126</f>
        <v>14312485.1480307</v>
      </c>
      <c r="P126" t="n">
        <f t="shared" si="12"/>
        <v>6</v>
      </c>
      <c r="Q126" t="n">
        <f t="shared" si="13"/>
        <v>0.66634222381651254</v>
      </c>
      <c r="R126" t="n">
        <f t="shared" si="14"/>
        <v>20740520.174214292</v>
      </c>
      <c r="S126" t="n">
        <f t="shared" si="19"/>
        <v>17964570.711808894</v>
      </c>
      <c r="T126" t="n">
        <f t="shared" si="20"/>
        <v>2775949.4624054208</v>
      </c>
      <c r="U126" t="n">
        <f t="shared" si="21"/>
        <v>0</v>
      </c>
      <c r="V126" t="n">
        <f t="shared" si="22"/>
        <v>9537013.1818795837</v>
      </c>
      <c r="W126" t="n">
        <f t="shared" si="15"/>
        <v>1625.7039522769182</v>
      </c>
      <c r="X126" t="n">
        <f t="shared" si="16"/>
        <v>277735121.26820403</v>
      </c>
      <c r="Y126" t="n">
        <f t="shared" si="17"/>
        <v>0.83748425668365445</v>
      </c>
      <c r="Z126" t="n">
        <f t="shared" si="18"/>
        <v>232598791.59024647</v>
      </c>
    </row>
    <row r="127">
      <c r="B127" s="52" t="n">
        <v>2027</v>
      </c>
      <c r="C127" t="str">
        <f>tbl_detail_2022!C127</f>
        <v>compressors</v>
      </c>
      <c r="D127" t="str">
        <f>tbl_detail_2022!D127</f>
        <v>Proc Recip Comp</v>
      </c>
      <c r="E127" t="n">
        <f>tbl_detail_2022!E127</f>
        <v>0</v>
      </c>
      <c r="F127" t="n">
        <f>tbl_detail_2022!F127</f>
        <v>4067.4254790457398</v>
      </c>
      <c r="G127" t="n">
        <f>tbl_detail_2022!G127</f>
        <v>-67795.501652516003</v>
      </c>
      <c r="H127" t="n">
        <f>tbl_detail_2022!H127</f>
        <v>-18845.434448319</v>
      </c>
      <c r="I127" t="n">
        <f>tbl_detail_2022!I127</f>
        <v>-709.98885100166797</v>
      </c>
      <c r="J127" t="n">
        <f>tbl_detail_2022!J127</f>
        <v>-1537576.1134951799</v>
      </c>
      <c r="K127" t="n">
        <f>tbl_detail_2022!K127</f>
        <v>7167256.5133028599</v>
      </c>
      <c r="L127" t="n">
        <f>tbl_detail_2022!L127</f>
        <v>10194509.2785138</v>
      </c>
      <c r="M127" t="n">
        <f>tbl_detail_2022!M127</f>
        <v>-3027252.7652109098</v>
      </c>
      <c r="N127" t="n">
        <f>tbl_detail_2022!N127</f>
        <v>0</v>
      </c>
      <c r="O127" t="n">
        <f>tbl_detail_2022!O127</f>
        <v>2428253.0109903002</v>
      </c>
      <c r="P127" t="n">
        <f t="shared" si="12"/>
        <v>6</v>
      </c>
      <c r="Q127" t="n">
        <f t="shared" si="13"/>
        <v>0.66634222381651254</v>
      </c>
      <c r="R127" t="n">
        <f t="shared" si="14"/>
        <v>4775845.6437376114</v>
      </c>
      <c r="S127" t="n">
        <f t="shared" si="19"/>
        <v>6793031.9833629569</v>
      </c>
      <c r="T127" t="n">
        <f t="shared" si="20"/>
        <v>-2017186.3396253246</v>
      </c>
      <c r="U127" t="n">
        <f t="shared" si="21"/>
        <v>0</v>
      </c>
      <c r="V127" t="n">
        <f t="shared" si="22"/>
        <v>1618047.511332419</v>
      </c>
      <c r="W127" t="n">
        <f t="shared" si="15"/>
        <v>1625.7039522769182</v>
      </c>
      <c r="X127" t="n">
        <f t="shared" si="16"/>
        <v>110215414.98309161</v>
      </c>
      <c r="Y127" t="n">
        <f t="shared" si="17"/>
        <v>0.83748425668365445</v>
      </c>
      <c r="Z127" t="n">
        <f t="shared" si="18"/>
        <v>92303674.892194986</v>
      </c>
    </row>
    <row r="128">
      <c r="B128" s="52" t="n">
        <v>2027</v>
      </c>
      <c r="C128" t="str">
        <f>tbl_detail_2022!C128</f>
        <v>compressors</v>
      </c>
      <c r="D128" t="str">
        <f>tbl_detail_2022!D128</f>
        <v>T&amp;S Recip Comp</v>
      </c>
      <c r="E128" t="str">
        <f>tbl_detail_2022!E128</f>
        <v>Reciprocating Compressors (Transmission)</v>
      </c>
      <c r="F128" t="n">
        <f>tbl_detail_2022!F128</f>
        <v>8155.5728825088499</v>
      </c>
      <c r="G128" t="n">
        <f>tbl_detail_2022!G128</f>
        <v>-103527.051945217</v>
      </c>
      <c r="H128" t="n">
        <f>tbl_detail_2022!H128</f>
        <v>-2865.07894423993</v>
      </c>
      <c r="I128" t="n">
        <f>tbl_detail_2022!I128</f>
        <v>-85.097700504157402</v>
      </c>
      <c r="J128" t="n">
        <f>tbl_detail_2022!J128</f>
        <v>-2347954.0425471999</v>
      </c>
      <c r="K128" t="n">
        <f>tbl_detail_2022!K128</f>
        <v>11350726.784031101</v>
      </c>
      <c r="L128" t="n">
        <f>tbl_detail_2022!L128</f>
        <v>14594545.3501771</v>
      </c>
      <c r="M128" t="n">
        <f>tbl_detail_2022!M128</f>
        <v>-3243818.5661460198</v>
      </c>
      <c r="N128" t="n">
        <f>tbl_detail_2022!N128</f>
        <v>0</v>
      </c>
      <c r="O128" t="n">
        <f>tbl_detail_2022!O128</f>
        <v>4868877.0108577898</v>
      </c>
      <c r="P128" t="n">
        <f t="shared" si="12"/>
        <v>6</v>
      </c>
      <c r="Q128" t="n">
        <f t="shared" si="13"/>
        <v>0.66634222381651254</v>
      </c>
      <c r="R128" t="n">
        <f t="shared" si="14"/>
        <v>7563468.5272049354</v>
      </c>
      <c r="S128" t="n">
        <f t="shared" si="19"/>
        <v>9724961.8042279519</v>
      </c>
      <c r="T128" t="n">
        <f t="shared" si="20"/>
        <v>-2161493.27702303</v>
      </c>
      <c r="U128" t="n">
        <f t="shared" si="21"/>
        <v>0</v>
      </c>
      <c r="V128" t="n">
        <f t="shared" si="22"/>
        <v>3244338.3349040737</v>
      </c>
      <c r="W128" t="n">
        <f t="shared" si="15"/>
        <v>1625.7039522769182</v>
      </c>
      <c r="X128" t="n">
        <f t="shared" si="16"/>
        <v>168304337.51491708</v>
      </c>
      <c r="Y128" t="n">
        <f t="shared" si="17"/>
        <v>0.83748425668365445</v>
      </c>
      <c r="Z128" t="n">
        <f t="shared" si="18"/>
        <v>140952233.00031522</v>
      </c>
    </row>
    <row r="129">
      <c r="B129" s="52" t="n">
        <v>2027</v>
      </c>
      <c r="C129" t="str">
        <f>tbl_detail_2022!C129</f>
        <v>compressors</v>
      </c>
      <c r="D129" t="str">
        <f>tbl_detail_2022!D129</f>
        <v>T&amp;S Recip Comp</v>
      </c>
      <c r="E129" t="str">
        <f>tbl_detail_2022!E129</f>
        <v>Reciprocating Compressors (Storage)</v>
      </c>
      <c r="F129" t="n">
        <f>tbl_detail_2022!F129</f>
        <v>1405.6701901807401</v>
      </c>
      <c r="G129" t="n">
        <f>tbl_detail_2022!G129</f>
        <v>-33090.074457735202</v>
      </c>
      <c r="H129" t="n">
        <f>tbl_detail_2022!H129</f>
        <v>-915.75751275480002</v>
      </c>
      <c r="I129" t="n">
        <f>tbl_detail_2022!I129</f>
        <v>-27.199550194423502</v>
      </c>
      <c r="J129" t="n">
        <f>tbl_detail_2022!J129</f>
        <v>-750470.26483802998</v>
      </c>
      <c r="K129" t="n">
        <f>tbl_detail_2022!K129</f>
        <v>3582558.2760091801</v>
      </c>
      <c r="L129" t="n">
        <f>tbl_detail_2022!L129</f>
        <v>4664815.4587624604</v>
      </c>
      <c r="M129" t="n">
        <f>tbl_detail_2022!M129</f>
        <v>-1082257.18275329</v>
      </c>
      <c r="N129" t="n">
        <f>tbl_detail_2022!N129</f>
        <v>0</v>
      </c>
      <c r="O129" t="n">
        <f>tbl_detail_2022!O129</f>
        <v>839185.10353790096</v>
      </c>
      <c r="P129" t="n">
        <f t="shared" si="12"/>
        <v>6</v>
      </c>
      <c r="Q129" t="n">
        <f t="shared" si="13"/>
        <v>0.66634222381651254</v>
      </c>
      <c r="R129" t="n">
        <f t="shared" si="14"/>
        <v>2387209.8485882082</v>
      </c>
      <c r="S129" t="n">
        <f t="shared" si="19"/>
        <v>3108363.5064854231</v>
      </c>
      <c r="T129" t="n">
        <f t="shared" si="20"/>
        <v>-721153.65789722116</v>
      </c>
      <c r="U129" t="n">
        <f t="shared" si="21"/>
        <v>0</v>
      </c>
      <c r="V129" t="n">
        <f t="shared" si="22"/>
        <v>559184.46808513522</v>
      </c>
      <c r="W129" t="n">
        <f t="shared" si="15"/>
        <v>1625.7039522769182</v>
      </c>
      <c r="X129" t="n">
        <f t="shared" si="16"/>
        <v>53794664.82707762</v>
      </c>
      <c r="Y129" t="n">
        <f t="shared" si="17"/>
        <v>0.83748425668365445</v>
      </c>
      <c r="Z129" t="n">
        <f t="shared" si="18"/>
        <v>45052184.886251427</v>
      </c>
    </row>
    <row r="130">
      <c r="B130" s="52" t="n">
        <v>2027</v>
      </c>
      <c r="C130" t="str">
        <f>tbl_detail_2022!C130</f>
        <v>compressors</v>
      </c>
      <c r="D130" t="str">
        <f>tbl_detail_2022!D130</f>
        <v>Wet Seal Centrifugal Compr</v>
      </c>
      <c r="E130" t="str">
        <f>tbl_detail_2022!E130</f>
        <v>G&amp;B WS Centrifugal Comp</v>
      </c>
      <c r="F130" t="n">
        <f>tbl_detail_2022!F130</f>
        <v>319.09111461434202</v>
      </c>
      <c r="G130" t="n">
        <f>tbl_detail_2022!G130</f>
        <v>-71555.536830777099</v>
      </c>
      <c r="H130" t="n">
        <f>tbl_detail_2022!H130</f>
        <v>-19890.629110916001</v>
      </c>
      <c r="I130" t="n">
        <f>tbl_detail_2022!I130</f>
        <v>-749.36584491525196</v>
      </c>
      <c r="J130" t="n">
        <f>tbl_detail_2022!J130</f>
        <v>-1622852.27688472</v>
      </c>
      <c r="K130" t="n">
        <f>tbl_detail_2022!K130</f>
        <v>7977277.8653585603</v>
      </c>
      <c r="L130" t="n">
        <f>tbl_detail_2022!L130</f>
        <v>11292066.1385072</v>
      </c>
      <c r="M130" t="n">
        <f>tbl_detail_2022!M130</f>
        <v>-3314788.2731486801</v>
      </c>
      <c r="N130" t="n">
        <f>tbl_detail_2022!N130</f>
        <v>0</v>
      </c>
      <c r="O130" t="n">
        <f>tbl_detail_2022!O130</f>
        <v>7977277.8653585603</v>
      </c>
      <c r="P130" t="n">
        <f t="shared" si="12"/>
        <v>6</v>
      </c>
      <c r="Q130" t="n">
        <f t="shared" si="13"/>
        <v>0.66634222381651254</v>
      </c>
      <c r="R130" t="n">
        <f t="shared" si="14"/>
        <v>5315597.072805265</v>
      </c>
      <c r="S130" t="n">
        <f t="shared" si="19"/>
        <v>7524380.4622160271</v>
      </c>
      <c r="T130" t="n">
        <f t="shared" si="20"/>
        <v>-2208783.3894107887</v>
      </c>
      <c r="U130" t="n">
        <f t="shared" si="21"/>
        <v>0</v>
      </c>
      <c r="V130" t="n">
        <f t="shared" si="22"/>
        <v>5315597.072805265</v>
      </c>
      <c r="W130" t="n">
        <f t="shared" si="15"/>
        <v>1625.7039522769182</v>
      </c>
      <c r="X130" t="n">
        <f t="shared" si="16"/>
        <v>116328119.03309092</v>
      </c>
      <c r="Y130" t="n">
        <f t="shared" si="17"/>
        <v>0.83748425668365445</v>
      </c>
      <c r="Z130" t="n">
        <f t="shared" si="18"/>
        <v>97422968.299835831</v>
      </c>
    </row>
    <row r="131">
      <c r="B131" s="52" t="n">
        <v>2027</v>
      </c>
      <c r="C131" t="str">
        <f>tbl_detail_2022!C131</f>
        <v>compressors</v>
      </c>
      <c r="D131" t="str">
        <f>tbl_detail_2022!D131</f>
        <v>Wet Seal Centrifugal Compr</v>
      </c>
      <c r="E131" t="str">
        <f>tbl_detail_2022!E131</f>
        <v>Proc WS Centrifugal Comp</v>
      </c>
      <c r="F131" t="n">
        <f>tbl_detail_2022!F131</f>
        <v>286.90745206948498</v>
      </c>
      <c r="G131" t="n">
        <f>tbl_detail_2022!G131</f>
        <v>-39088.271897655199</v>
      </c>
      <c r="H131" t="n">
        <f>tbl_detail_2022!H131</f>
        <v>-10865.5507782941</v>
      </c>
      <c r="I131" t="n">
        <f>tbl_detail_2022!I131</f>
        <v>-3020.34825240685</v>
      </c>
      <c r="J131" t="n">
        <f>tbl_detail_2022!J131</f>
        <v>-886507.09446308995</v>
      </c>
      <c r="K131" t="n">
        <f>tbl_detail_2022!K131</f>
        <v>7172686.3017371204</v>
      </c>
      <c r="L131" t="n">
        <f>tbl_detail_2022!L131</f>
        <v>5877760.9255573098</v>
      </c>
      <c r="M131" t="n">
        <f>tbl_detail_2022!M131</f>
        <v>1294925.3761798099</v>
      </c>
      <c r="N131" t="n">
        <f>tbl_detail_2022!N131</f>
        <v>0</v>
      </c>
      <c r="O131" t="n">
        <f>tbl_detail_2022!O131</f>
        <v>7172686.3017371204</v>
      </c>
      <c r="P131" t="n">
        <f t="shared" si="12"/>
        <v>6</v>
      </c>
      <c r="Q131" t="n">
        <f t="shared" si="13"/>
        <v>0.66634222381651254</v>
      </c>
      <c r="R131" t="n">
        <f t="shared" si="14"/>
        <v>4779463.7410377497</v>
      </c>
      <c r="S131" t="n">
        <f t="shared" si="19"/>
        <v>3916600.286197661</v>
      </c>
      <c r="T131" t="n">
        <f t="shared" si="20"/>
        <v>862863.45484008861</v>
      </c>
      <c r="U131" t="n">
        <f t="shared" si="21"/>
        <v>0</v>
      </c>
      <c r="V131" t="n">
        <f t="shared" si="22"/>
        <v>4779463.7410377497</v>
      </c>
      <c r="W131" t="n">
        <f t="shared" si="15"/>
        <v>1625.7039522769182</v>
      </c>
      <c r="X131" t="n">
        <f t="shared" si="16"/>
        <v>63545958.111692853</v>
      </c>
      <c r="Y131" t="n">
        <f t="shared" si="17"/>
        <v>0.83748425668365445</v>
      </c>
      <c r="Z131" t="n">
        <f t="shared" si="18"/>
        <v>53218739.494421728</v>
      </c>
    </row>
    <row r="132">
      <c r="B132" s="52" t="n">
        <v>2027</v>
      </c>
      <c r="C132" t="str">
        <f>tbl_detail_2022!C132</f>
        <v>compressors</v>
      </c>
      <c r="D132" t="str">
        <f>tbl_detail_2022!D132</f>
        <v>Wet Seal Centrifugal Compr</v>
      </c>
      <c r="E132" t="str">
        <f>tbl_detail_2022!E132</f>
        <v>T&amp;S WS Centrifugal Comp</v>
      </c>
      <c r="F132" t="n">
        <f>tbl_detail_2022!F132</f>
        <v>775.67321620924997</v>
      </c>
      <c r="G132" t="n">
        <f>tbl_detail_2022!G132</f>
        <v>-27292.743490543198</v>
      </c>
      <c r="H132" t="n">
        <f>tbl_detail_2022!H132</f>
        <v>-755.31818240777602</v>
      </c>
      <c r="I132" t="n">
        <f>tbl_detail_2022!I132</f>
        <v>-20.903195637824599</v>
      </c>
      <c r="J132" t="n">
        <f>tbl_detail_2022!J132</f>
        <v>-618989.01018387696</v>
      </c>
      <c r="K132" t="n">
        <f>tbl_detail_2022!K132</f>
        <v>19391830.405231301</v>
      </c>
      <c r="L132" t="n">
        <f>tbl_detail_2022!L132</f>
        <v>3847546.8500181199</v>
      </c>
      <c r="M132" t="n">
        <f>tbl_detail_2022!M132</f>
        <v>15544283.555213099</v>
      </c>
      <c r="N132" t="n">
        <f>tbl_detail_2022!N132</f>
        <v>0</v>
      </c>
      <c r="O132" t="n">
        <f>tbl_detail_2022!O132</f>
        <v>19391830.405231301</v>
      </c>
      <c r="P132" t="n">
        <f t="shared" ref="P132:P195" si="23">B132-2021</f>
        <v>6</v>
      </c>
      <c r="Q132" t="n">
        <f t="shared" ref="Q132:Q195" si="24" xml:space="preserve"> 1/(1+0.07)^P132</f>
        <v>0.66634222381651254</v>
      </c>
      <c r="R132" t="n">
        <f t="shared" ref="R132:R195" si="25">K132*$Q132</f>
        <v>12921595.396094488</v>
      </c>
      <c r="S132" t="n">
        <f t="shared" si="19"/>
        <v>2563782.9242792916</v>
      </c>
      <c r="T132" t="n">
        <f t="shared" si="20"/>
        <v>10357812.471815143</v>
      </c>
      <c r="U132" t="n">
        <f t="shared" si="21"/>
        <v>0</v>
      </c>
      <c r="V132" t="n">
        <f t="shared" si="22"/>
        <v>12921595.396094488</v>
      </c>
      <c r="W132" t="n">
        <f t="shared" ref="W132:W195" si="26">VLOOKUP(B132, $AD$3:$AE$15, 2)</f>
        <v>1625.7039522769182</v>
      </c>
      <c r="X132" t="n">
        <f t="shared" ref="X132:X195" si="27" xml:space="preserve"> -W132*G132</f>
        <v>44369920.96105621</v>
      </c>
      <c r="Y132" t="n">
        <f t="shared" ref="Y132:Y195" si="28">1/(1+0.03)^P132</f>
        <v>0.83748425668365445</v>
      </c>
      <c r="Z132" t="n">
        <f t="shared" ref="Z132:Z195" si="29">X132*Y132</f>
        <v>37159110.275182657</v>
      </c>
    </row>
    <row r="133">
      <c r="B133" s="52" t="n">
        <v>2027</v>
      </c>
      <c r="C133" t="str">
        <f>tbl_detail_2022!C133</f>
        <v>compressors</v>
      </c>
      <c r="D133" t="str">
        <f>tbl_detail_2022!D133</f>
        <v>Dry Seal Centrifugal Compr</v>
      </c>
      <c r="E133" t="str">
        <f>tbl_detail_2022!E133</f>
        <v>G&amp;B DS Centrifugal Comp</v>
      </c>
      <c r="F133" t="n">
        <f>tbl_detail_2022!F133</f>
        <v>495.83065001358301</v>
      </c>
      <c r="G133" t="n">
        <f>tbl_detail_2022!G133</f>
        <v>-7995.9318727127502</v>
      </c>
      <c r="H133" t="n">
        <f>tbl_detail_2022!H133</f>
        <v>-2222.6667889084201</v>
      </c>
      <c r="I133" t="n">
        <f>tbl_detail_2022!I133</f>
        <v>-83.737450783864205</v>
      </c>
      <c r="J133" t="n">
        <f>tbl_detail_2022!J133</f>
        <v>-181344.68442511599</v>
      </c>
      <c r="K133" t="n">
        <f>tbl_detail_2022!K133</f>
        <v>7437459.7502037501</v>
      </c>
      <c r="L133" t="n">
        <f>tbl_detail_2022!L133</f>
        <v>1261825.3673255199</v>
      </c>
      <c r="M133" t="n">
        <f>tbl_detail_2022!M133</f>
        <v>6175634.3828782197</v>
      </c>
      <c r="N133" t="n">
        <f>tbl_detail_2022!N133</f>
        <v>0</v>
      </c>
      <c r="O133" t="n">
        <f>tbl_detail_2022!O133</f>
        <v>7437459.7502037501</v>
      </c>
      <c r="P133" t="n">
        <f t="shared" si="23"/>
        <v>6</v>
      </c>
      <c r="Q133" t="n">
        <f t="shared" si="24"/>
        <v>0.66634222381651254</v>
      </c>
      <c r="R133" t="n">
        <f t="shared" si="25"/>
        <v>4955893.4694965705</v>
      </c>
      <c r="S133" t="n">
        <f t="shared" si="19"/>
        <v>840807.52133177477</v>
      </c>
      <c r="T133" t="n">
        <f t="shared" si="20"/>
        <v>4115085.948164789</v>
      </c>
      <c r="U133" t="n">
        <f t="shared" si="21"/>
        <v>0</v>
      </c>
      <c r="V133" t="n">
        <f t="shared" si="22"/>
        <v>4955893.4694965705</v>
      </c>
      <c r="W133" t="n">
        <f t="shared" si="26"/>
        <v>1625.7039522769182</v>
      </c>
      <c r="X133" t="n">
        <f t="shared" si="27"/>
        <v>12999018.047606098</v>
      </c>
      <c r="Y133" t="n">
        <f t="shared" si="28"/>
        <v>0.83748425668365445</v>
      </c>
      <c r="Z133" t="n">
        <f t="shared" si="29"/>
        <v>10886472.967216801</v>
      </c>
    </row>
    <row r="134">
      <c r="B134" s="52" t="n">
        <v>2027</v>
      </c>
      <c r="C134" t="str">
        <f>tbl_detail_2022!C134</f>
        <v>compressors</v>
      </c>
      <c r="D134" t="str">
        <f>tbl_detail_2022!D134</f>
        <v>Dry Seal Centrifugal Compr</v>
      </c>
      <c r="E134" t="str">
        <f>tbl_detail_2022!E134</f>
        <v>Proc DS Centrifugal Comp</v>
      </c>
      <c r="F134" t="n">
        <f>tbl_detail_2022!F134</f>
        <v>401.59067058858602</v>
      </c>
      <c r="G134" t="n">
        <f>tbl_detail_2022!G134</f>
        <v>-3125.3019785623501</v>
      </c>
      <c r="H134" t="n">
        <f>tbl_detail_2022!H134</f>
        <v>-868.75488981668695</v>
      </c>
      <c r="I134" t="n">
        <f>tbl_detail_2022!I134</f>
        <v>-241.49188262683799</v>
      </c>
      <c r="J134" t="n">
        <f>tbl_detail_2022!J134</f>
        <v>-70880.656571089305</v>
      </c>
      <c r="K134" t="n">
        <f>tbl_detail_2022!K134</f>
        <v>6023860.0588287897</v>
      </c>
      <c r="L134" t="n">
        <f>tbl_detail_2022!L134</f>
        <v>469956.25435318198</v>
      </c>
      <c r="M134" t="n">
        <f>tbl_detail_2022!M134</f>
        <v>5553903.8044756101</v>
      </c>
      <c r="N134" t="n">
        <f>tbl_detail_2022!N134</f>
        <v>0</v>
      </c>
      <c r="O134" t="n">
        <f>tbl_detail_2022!O134</f>
        <v>6023860.0588287897</v>
      </c>
      <c r="P134" t="n">
        <f t="shared" si="23"/>
        <v>6</v>
      </c>
      <c r="Q134" t="n">
        <f t="shared" si="24"/>
        <v>0.66634222381651254</v>
      </c>
      <c r="R134" t="n">
        <f t="shared" si="25"/>
        <v>4013952.3075594436</v>
      </c>
      <c r="S134" t="n">
        <f t="shared" si="19"/>
        <v>313151.69562217791</v>
      </c>
      <c r="T134" t="n">
        <f t="shared" si="20"/>
        <v>3700800.6119372677</v>
      </c>
      <c r="U134" t="n">
        <f t="shared" si="21"/>
        <v>0</v>
      </c>
      <c r="V134" t="n">
        <f t="shared" si="22"/>
        <v>4013952.3075594436</v>
      </c>
      <c r="W134" t="n">
        <f t="shared" si="26"/>
        <v>1625.7039522769182</v>
      </c>
      <c r="X134" t="n">
        <f t="shared" si="27"/>
        <v>5080815.7786076851</v>
      </c>
      <c r="Y134" t="n">
        <f t="shared" si="28"/>
        <v>0.83748425668365445</v>
      </c>
      <c r="Z134" t="n">
        <f t="shared" si="29"/>
        <v>4255103.2256938405</v>
      </c>
    </row>
    <row r="135">
      <c r="B135" s="52" t="n">
        <v>2027</v>
      </c>
      <c r="C135" t="str">
        <f>tbl_detail_2022!C135</f>
        <v>compressors</v>
      </c>
      <c r="D135" t="str">
        <f>tbl_detail_2022!D135</f>
        <v>Dry Seal Centrifugal Compr</v>
      </c>
      <c r="E135" t="str">
        <f>tbl_detail_2022!E135</f>
        <v>T&amp;S DS Centrifugal Comp</v>
      </c>
      <c r="F135" t="n">
        <f>tbl_detail_2022!F135</f>
        <v>2656.6109426810099</v>
      </c>
      <c r="G135" t="n">
        <f>tbl_detail_2022!G135</f>
        <v>-47957.564397298796</v>
      </c>
      <c r="H135" t="n">
        <f>tbl_detail_2022!H135</f>
        <v>-1327.2106699651799</v>
      </c>
      <c r="I135" t="n">
        <f>tbl_detail_2022!I135</f>
        <v>-36.730142254026497</v>
      </c>
      <c r="J135" t="n">
        <f>tbl_detail_2022!J135</f>
        <v>-1087659.26471992</v>
      </c>
      <c r="K135" t="n">
        <f>tbl_detail_2022!K135</f>
        <v>39849164.140215203</v>
      </c>
      <c r="L135" t="n">
        <f>tbl_detail_2022!L135</f>
        <v>6760733.88867277</v>
      </c>
      <c r="M135" t="n">
        <f>tbl_detail_2022!M135</f>
        <v>33088430.251542401</v>
      </c>
      <c r="N135" t="n">
        <f>tbl_detail_2022!N135</f>
        <v>0</v>
      </c>
      <c r="O135" t="n">
        <f>tbl_detail_2022!O135</f>
        <v>39849164.140215203</v>
      </c>
      <c r="P135" t="n">
        <f t="shared" si="23"/>
        <v>6</v>
      </c>
      <c r="Q135" t="n">
        <f t="shared" si="24"/>
        <v>0.66634222381651254</v>
      </c>
      <c r="R135" t="n">
        <f t="shared" si="25"/>
        <v>26553180.650420222</v>
      </c>
      <c r="S135" t="n">
        <f t="shared" si="19"/>
        <v>4504962.4540098719</v>
      </c>
      <c r="T135" t="n">
        <f t="shared" si="20"/>
        <v>22048218.196410332</v>
      </c>
      <c r="U135" t="n">
        <f t="shared" si="21"/>
        <v>0</v>
      </c>
      <c r="V135" t="n">
        <f t="shared" si="22"/>
        <v>26553180.650420222</v>
      </c>
      <c r="W135" t="n">
        <f t="shared" si="26"/>
        <v>1625.7039522769182</v>
      </c>
      <c r="X135" t="n">
        <f t="shared" si="27"/>
        <v>77964801.982263476</v>
      </c>
      <c r="Y135" t="n">
        <f t="shared" si="28"/>
        <v>0.83748425668365445</v>
      </c>
      <c r="Z135" t="n">
        <f t="shared" si="29"/>
        <v>65294294.235604234</v>
      </c>
    </row>
    <row r="136">
      <c r="B136" s="52" t="n">
        <v>2027</v>
      </c>
      <c r="C136" t="str">
        <f>tbl_detail_2022!C136</f>
        <v>liquids_unloading</v>
      </c>
      <c r="D136" t="n">
        <f>tbl_detail_2022!D136</f>
        <v>0</v>
      </c>
      <c r="E136" t="n">
        <f>tbl_detail_2022!E136</f>
        <v>0</v>
      </c>
      <c r="F136" t="n">
        <f>tbl_detail_2022!F136</f>
        <v>259482.74391989</v>
      </c>
      <c r="G136" t="n">
        <f>tbl_detail_2022!G136</f>
        <v>-25680.329630061999</v>
      </c>
      <c r="H136" t="n">
        <f>tbl_detail_2022!H136</f>
        <v>-7138.4820062998597</v>
      </c>
      <c r="I136" t="n">
        <f>tbl_detail_2022!I136</f>
        <v>-268.937426274139</v>
      </c>
      <c r="J136" t="n">
        <f>tbl_detail_2022!J136</f>
        <v>-582420.07896405202</v>
      </c>
      <c r="K136" t="n">
        <f>tbl_detail_2022!K136</f>
        <v>16866378.3547928</v>
      </c>
      <c r="L136" t="n">
        <f>tbl_detail_2022!L136</f>
        <v>4052572.2185149002</v>
      </c>
      <c r="M136" t="n">
        <f>tbl_detail_2022!M136</f>
        <v>12813806.136277899</v>
      </c>
      <c r="N136" t="n">
        <f>tbl_detail_2022!N136</f>
        <v>0</v>
      </c>
      <c r="O136" t="n">
        <f>tbl_detail_2022!O136</f>
        <v>16866378.3547928</v>
      </c>
      <c r="P136" t="n">
        <f t="shared" si="23"/>
        <v>6</v>
      </c>
      <c r="Q136" t="n">
        <f t="shared" si="24"/>
        <v>0.66634222381651254</v>
      </c>
      <c r="R136" t="n">
        <f t="shared" si="25"/>
        <v>11238780.060663326</v>
      </c>
      <c r="S136" t="n">
        <f t="shared" si="19"/>
        <v>2700399.9842622364</v>
      </c>
      <c r="T136" t="n">
        <f t="shared" si="20"/>
        <v>8538380.0764010902</v>
      </c>
      <c r="U136" t="n">
        <f t="shared" si="21"/>
        <v>0</v>
      </c>
      <c r="V136" t="n">
        <f t="shared" si="22"/>
        <v>11238780.060663326</v>
      </c>
      <c r="W136" t="n">
        <f t="shared" si="26"/>
        <v>1625.7039522769182</v>
      </c>
      <c r="X136" t="n">
        <f t="shared" si="27"/>
        <v>41748613.375365838</v>
      </c>
      <c r="Y136" t="n">
        <f t="shared" si="28"/>
        <v>0.83748425668365445</v>
      </c>
      <c r="Z136" t="n">
        <f t="shared" si="29"/>
        <v>34963806.440241531</v>
      </c>
    </row>
    <row r="137">
      <c r="B137" s="52" t="n">
        <v>2027</v>
      </c>
      <c r="C137" t="str">
        <f>tbl_detail_2022!C137</f>
        <v>pneucontr</v>
      </c>
      <c r="D137" t="str">
        <f>tbl_detail_2022!D137</f>
        <v>G&amp;B Pneumatic Controllers</v>
      </c>
      <c r="E137" t="n">
        <f>tbl_detail_2022!E137</f>
        <v>0</v>
      </c>
      <c r="F137" t="n">
        <f>tbl_detail_2022!F137</f>
        <v>4257.61861527561</v>
      </c>
      <c r="G137" t="n">
        <f>tbl_detail_2022!G137</f>
        <v>-295704.19546987797</v>
      </c>
      <c r="H137" t="n">
        <f>tbl_detail_2022!H137</f>
        <v>-82198.285911593397</v>
      </c>
      <c r="I137" t="n">
        <f>tbl_detail_2022!I137</f>
        <v>-3096.4094302897201</v>
      </c>
      <c r="J137" t="n">
        <f>tbl_detail_2022!J137</f>
        <v>-6706458.3421062697</v>
      </c>
      <c r="K137" t="n">
        <f>tbl_detail_2022!K137</f>
        <v>69026734.060516</v>
      </c>
      <c r="L137" t="n">
        <f>tbl_detail_2022!L137</f>
        <v>46664611.5810249</v>
      </c>
      <c r="M137" t="n">
        <f>tbl_detail_2022!M137</f>
        <v>22362122.4794911</v>
      </c>
      <c r="N137" t="n">
        <f>tbl_detail_2022!N137</f>
        <v>21174381.575905599</v>
      </c>
      <c r="O137" t="n">
        <f>tbl_detail_2022!O137</f>
        <v>-11960402.0241282</v>
      </c>
      <c r="P137" t="n">
        <f t="shared" si="23"/>
        <v>6</v>
      </c>
      <c r="Q137" t="n">
        <f t="shared" si="24"/>
        <v>0.66634222381651254</v>
      </c>
      <c r="R137" t="n">
        <f t="shared" si="25"/>
        <v>45995427.476675242</v>
      </c>
      <c r="S137" t="n">
        <f t="shared" si="19"/>
        <v>31094601.054433916</v>
      </c>
      <c r="T137" t="n">
        <f t="shared" si="20"/>
        <v>14900826.422241325</v>
      </c>
      <c r="U137" t="n">
        <f t="shared" si="21"/>
        <v>14109384.507228328</v>
      </c>
      <c r="V137" t="n">
        <f t="shared" si="22"/>
        <v>-7969720.882497103</v>
      </c>
      <c r="W137" t="n">
        <f t="shared" si="26"/>
        <v>1625.7039522769182</v>
      </c>
      <c r="X137" t="n">
        <f t="shared" si="27"/>
        <v>480727479.28024703</v>
      </c>
      <c r="Y137" t="n">
        <f t="shared" si="28"/>
        <v>0.83748425668365445</v>
      </c>
      <c r="Z137" t="n">
        <f t="shared" si="29"/>
        <v>402601695.65242457</v>
      </c>
    </row>
    <row r="138">
      <c r="B138" s="52" t="n">
        <v>2027</v>
      </c>
      <c r="C138" t="str">
        <f>tbl_detail_2022!C138</f>
        <v>pneucontr</v>
      </c>
      <c r="D138" t="str">
        <f>tbl_detail_2022!D138</f>
        <v>T&amp;S Pneumatic Controllers</v>
      </c>
      <c r="E138" t="n">
        <f>tbl_detail_2022!E138</f>
        <v>0</v>
      </c>
      <c r="F138" t="n">
        <f>tbl_detail_2022!F138</f>
        <v>40989.845107273701</v>
      </c>
      <c r="G138" t="n">
        <f>tbl_detail_2022!G138</f>
        <v>-70960.694105160204</v>
      </c>
      <c r="H138" t="n">
        <f>tbl_detail_2022!H138</f>
        <v>-1963.8151258951</v>
      </c>
      <c r="I138" t="n">
        <f>tbl_detail_2022!I138</f>
        <v>-58.328637598252698</v>
      </c>
      <c r="J138" t="n">
        <f>tbl_detail_2022!J138</f>
        <v>-1609361.47080023</v>
      </c>
      <c r="K138" t="n">
        <f>tbl_detail_2022!K138</f>
        <v>20658230.5751612</v>
      </c>
      <c r="L138" t="n">
        <f>tbl_detail_2022!L138</f>
        <v>10003559.926982399</v>
      </c>
      <c r="M138" t="n">
        <f>tbl_detail_2022!M138</f>
        <v>10654670.648178799</v>
      </c>
      <c r="N138" t="n">
        <f>tbl_detail_2022!N138</f>
        <v>7280482.2424421003</v>
      </c>
      <c r="O138" t="n">
        <f>tbl_detail_2022!O138</f>
        <v>-14492725.059009399</v>
      </c>
      <c r="P138" t="n">
        <f t="shared" si="23"/>
        <v>6</v>
      </c>
      <c r="Q138" t="n">
        <f t="shared" si="24"/>
        <v>0.66634222381651254</v>
      </c>
      <c r="R138" t="n">
        <f t="shared" si="25"/>
        <v>13765451.301567188</v>
      </c>
      <c r="S138" t="n">
        <f t="shared" si="19"/>
        <v>6665794.3678272013</v>
      </c>
      <c r="T138" t="n">
        <f t="shared" si="20"/>
        <v>7099656.9337399844</v>
      </c>
      <c r="U138" t="n">
        <f t="shared" si="21"/>
        <v>4851292.7278854987</v>
      </c>
      <c r="V138" t="n">
        <f t="shared" si="22"/>
        <v>-9657114.6449816208</v>
      </c>
      <c r="W138" t="n">
        <f t="shared" si="26"/>
        <v>1625.7039522769182</v>
      </c>
      <c r="X138" t="n">
        <f t="shared" si="27"/>
        <v>115361080.86307237</v>
      </c>
      <c r="Y138" t="n">
        <f t="shared" si="28"/>
        <v>0.83748425668365445</v>
      </c>
      <c r="Z138" t="n">
        <f t="shared" si="29"/>
        <v>96613089.056833118</v>
      </c>
    </row>
    <row r="139">
      <c r="B139" s="52" t="n">
        <v>2027</v>
      </c>
      <c r="C139" t="str">
        <f>tbl_detail_2022!C139</f>
        <v>pneucontr</v>
      </c>
      <c r="D139" t="str">
        <f>tbl_detail_2022!D139</f>
        <v>Well Pad Pneumatic Controllers</v>
      </c>
      <c r="E139" t="n">
        <f>tbl_detail_2022!E139</f>
        <v>0</v>
      </c>
      <c r="F139" t="n">
        <f>tbl_detail_2022!F139</f>
        <v>1309158.06089255</v>
      </c>
      <c r="G139" t="n">
        <f>tbl_detail_2022!G139</f>
        <v>-1718502.4701678699</v>
      </c>
      <c r="H139" t="n">
        <f>tbl_detail_2022!H139</f>
        <v>-477700.21374968102</v>
      </c>
      <c r="I139" t="n">
        <f>tbl_detail_2022!I139</f>
        <v>-17994.967051950502</v>
      </c>
      <c r="J139" t="n">
        <f>tbl_detail_2022!J139</f>
        <v>-38974980.414714999</v>
      </c>
      <c r="K139" t="n">
        <f>tbl_detail_2022!K139</f>
        <v>937004789.88888299</v>
      </c>
      <c r="L139" t="n">
        <f>tbl_detail_2022!L139</f>
        <v>271194157.8779</v>
      </c>
      <c r="M139" t="n">
        <f>tbl_detail_2022!M139</f>
        <v>665810632.01098299</v>
      </c>
      <c r="N139" t="n">
        <f>tbl_detail_2022!N139</f>
        <v>150154077.587403</v>
      </c>
      <c r="O139" t="n">
        <f>tbl_detail_2022!O139</f>
        <v>-78549483.653553203</v>
      </c>
      <c r="P139" t="n">
        <f t="shared" si="23"/>
        <v>6</v>
      </c>
      <c r="Q139" t="n">
        <f t="shared" si="24"/>
        <v>0.66634222381651254</v>
      </c>
      <c r="R139" t="n">
        <f t="shared" si="25"/>
        <v>624365855.42128241</v>
      </c>
      <c r="S139" t="n">
        <f t="shared" si="19"/>
        <v>180708118.24640629</v>
      </c>
      <c r="T139" t="n">
        <f t="shared" si="20"/>
        <v>443657737.17487609</v>
      </c>
      <c r="U139" t="n">
        <f t="shared" si="21"/>
        <v>100054001.97470728</v>
      </c>
      <c r="V139" t="n">
        <f t="shared" si="22"/>
        <v>-52340837.617347442</v>
      </c>
      <c r="W139" t="n">
        <f t="shared" si="26"/>
        <v>1625.7039522769182</v>
      </c>
      <c r="X139" t="n">
        <f t="shared" si="27"/>
        <v>2793776257.7495527</v>
      </c>
      <c r="Y139" t="n">
        <f t="shared" si="28"/>
        <v>0.83748425668365445</v>
      </c>
      <c r="Z139" t="n">
        <f t="shared" si="29"/>
        <v>2339743632.5618258</v>
      </c>
    </row>
    <row r="140">
      <c r="B140" s="52" t="n">
        <v>2027</v>
      </c>
      <c r="C140" t="str">
        <f>tbl_detail_2022!C140</f>
        <v>pumps</v>
      </c>
      <c r="D140" t="str">
        <f>tbl_detail_2022!D140</f>
        <v>G&amp;B Pneumatic Pumps</v>
      </c>
      <c r="E140" t="n">
        <f>tbl_detail_2022!E140</f>
        <v>0</v>
      </c>
      <c r="F140" t="n">
        <f>tbl_detail_2022!F140</f>
        <v>456.06297327238099</v>
      </c>
      <c r="G140" t="n">
        <f>tbl_detail_2022!G140</f>
        <v>-40076.534076262498</v>
      </c>
      <c r="H140" t="n">
        <f>tbl_detail_2022!H140</f>
        <v>-11140.262657118399</v>
      </c>
      <c r="I140" t="n">
        <f>tbl_detail_2022!I140</f>
        <v>-419.65369429365199</v>
      </c>
      <c r="J140" t="n">
        <f>tbl_detail_2022!J140</f>
        <v>-908920.50365188299</v>
      </c>
      <c r="K140" t="n">
        <f>tbl_detail_2022!K140</f>
        <v>25280239.166962702</v>
      </c>
      <c r="L140" t="n">
        <f>tbl_detail_2022!L140</f>
        <v>6324414.4818804301</v>
      </c>
      <c r="M140" t="n">
        <f>tbl_detail_2022!M140</f>
        <v>18955824.685082301</v>
      </c>
      <c r="N140" t="n">
        <f>tbl_detail_2022!N140</f>
        <v>6872525.3656733101</v>
      </c>
      <c r="O140" t="n">
        <f>tbl_detail_2022!O140</f>
        <v>-1281161.37248329</v>
      </c>
      <c r="P140" t="n">
        <f t="shared" si="23"/>
        <v>6</v>
      </c>
      <c r="Q140" t="n">
        <f t="shared" si="24"/>
        <v>0.66634222381651254</v>
      </c>
      <c r="R140" t="n">
        <f t="shared" si="25"/>
        <v>16845290.785127226</v>
      </c>
      <c r="S140" t="n">
        <f t="shared" si="19"/>
        <v>4214224.4101935625</v>
      </c>
      <c r="T140" t="n">
        <f t="shared" si="20"/>
        <v>12631066.374933684</v>
      </c>
      <c r="U140" t="n">
        <f t="shared" si="21"/>
        <v>4579453.8353981441</v>
      </c>
      <c r="V140" t="n">
        <f t="shared" si="22"/>
        <v>-853691.91800833086</v>
      </c>
      <c r="W140" t="n">
        <f t="shared" si="26"/>
        <v>1625.7039522769182</v>
      </c>
      <c r="X140" t="n">
        <f t="shared" si="27"/>
        <v>65152579.841340534</v>
      </c>
      <c r="Y140" t="n">
        <f t="shared" si="28"/>
        <v>0.83748425668365445</v>
      </c>
      <c r="Z140" t="n">
        <f t="shared" si="29"/>
        <v>54564259.899447523</v>
      </c>
    </row>
    <row r="141">
      <c r="B141" s="52" t="n">
        <v>2027</v>
      </c>
      <c r="C141" t="str">
        <f>tbl_detail_2022!C141</f>
        <v>pumps</v>
      </c>
      <c r="D141" t="str">
        <f>tbl_detail_2022!D141</f>
        <v>Well Pad Pumps</v>
      </c>
      <c r="E141" t="n">
        <f>tbl_detail_2022!E141</f>
        <v>0</v>
      </c>
      <c r="F141" t="n">
        <f>tbl_detail_2022!F141</f>
        <v>101690.098879379</v>
      </c>
      <c r="G141" t="n">
        <f>tbl_detail_2022!G141</f>
        <v>-170513.12797587301</v>
      </c>
      <c r="H141" t="n">
        <f>tbl_detail_2022!H141</f>
        <v>-47398.336106694303</v>
      </c>
      <c r="I141" t="n">
        <f>tbl_detail_2022!I141</f>
        <v>-1785.4953211391701</v>
      </c>
      <c r="J141" t="n">
        <f>tbl_detail_2022!J141</f>
        <v>-3867172.6917344802</v>
      </c>
      <c r="K141" t="n">
        <f>tbl_detail_2022!K141</f>
        <v>145139208.26904199</v>
      </c>
      <c r="L141" t="n">
        <f>tbl_detail_2022!L141</f>
        <v>26908407.145918299</v>
      </c>
      <c r="M141" t="n">
        <f>tbl_detail_2022!M141</f>
        <v>118230801.123124</v>
      </c>
      <c r="N141" t="n">
        <f>tbl_detail_2022!N141</f>
        <v>17829069.828845799</v>
      </c>
      <c r="O141" t="n">
        <f>tbl_detail_2022!O141</f>
        <v>-6101405.9327627197</v>
      </c>
      <c r="P141" t="n">
        <f t="shared" si="23"/>
        <v>6</v>
      </c>
      <c r="Q141" t="n">
        <f t="shared" si="24"/>
        <v>0.66634222381651254</v>
      </c>
      <c r="R141" t="n">
        <f t="shared" si="25"/>
        <v>96712382.800961405</v>
      </c>
      <c r="S141" t="n">
        <f t="shared" si="19"/>
        <v>17930207.856971335</v>
      </c>
      <c r="T141" t="n">
        <f t="shared" si="20"/>
        <v>78782174.943990275</v>
      </c>
      <c r="U141" t="n">
        <f t="shared" si="21"/>
        <v>11880262.038332999</v>
      </c>
      <c r="V141" t="n">
        <f t="shared" si="22"/>
        <v>-4065624.3976443736</v>
      </c>
      <c r="W141" t="n">
        <f t="shared" si="26"/>
        <v>1625.7039522769182</v>
      </c>
      <c r="X141" t="n">
        <f t="shared" si="27"/>
        <v>277203866.06547672</v>
      </c>
      <c r="Y141" t="n">
        <f t="shared" si="28"/>
        <v>0.83748425668365445</v>
      </c>
      <c r="Z141" t="n">
        <f t="shared" si="29"/>
        <v>232153873.72168106</v>
      </c>
    </row>
    <row r="142">
      <c r="B142" s="52" t="n">
        <v>2027</v>
      </c>
      <c r="C142" t="str">
        <f>tbl_detail_2022!C142</f>
        <v>Storage vessels</v>
      </c>
      <c r="D142" t="n">
        <f>tbl_detail_2022!D142</f>
        <v>0</v>
      </c>
      <c r="E142" t="n">
        <f>tbl_detail_2022!E142</f>
        <v>0</v>
      </c>
      <c r="F142" t="n">
        <f>tbl_detail_2022!F142</f>
        <v>7028.6037374153102</v>
      </c>
      <c r="G142" t="n">
        <f>tbl_detail_2022!G142</f>
        <v>-12333.2679604695</v>
      </c>
      <c r="H142" t="n">
        <f>tbl_detail_2022!H142</f>
        <v>-58665.736817673504</v>
      </c>
      <c r="I142" t="n">
        <f>tbl_detail_2022!I142</f>
        <v>-2209.9383059217598</v>
      </c>
      <c r="J142" t="n">
        <f>tbl_detail_2022!J142</f>
        <v>-279713.812201722</v>
      </c>
      <c r="K142" t="n">
        <f>tbl_detail_2022!K142</f>
        <v>217764076.69533601</v>
      </c>
      <c r="L142" t="n">
        <f>tbl_detail_2022!L142</f>
        <v>0</v>
      </c>
      <c r="M142" t="n">
        <f>tbl_detail_2022!M142</f>
        <v>217764076.69533601</v>
      </c>
      <c r="N142" t="n">
        <f>tbl_detail_2022!N142</f>
        <v>102346810.94929001</v>
      </c>
      <c r="O142" t="n">
        <f>tbl_detail_2022!O142</f>
        <v>160533309.36256599</v>
      </c>
      <c r="P142" t="n">
        <f t="shared" si="23"/>
        <v>6</v>
      </c>
      <c r="Q142" t="n">
        <f t="shared" si="24"/>
        <v>0.66634222381651254</v>
      </c>
      <c r="R142" t="n">
        <f t="shared" si="25"/>
        <v>145105399.13251978</v>
      </c>
      <c r="S142" t="n">
        <f t="shared" si="19"/>
        <v>0</v>
      </c>
      <c r="T142" t="n">
        <f t="shared" si="20"/>
        <v>145105399.13251978</v>
      </c>
      <c r="U142" t="n">
        <f t="shared" si="21"/>
        <v>68198001.608478099</v>
      </c>
      <c r="V142" t="n">
        <f t="shared" si="22"/>
        <v>106970122.35727639</v>
      </c>
      <c r="W142" t="n">
        <f t="shared" si="26"/>
        <v>1625.7039522769182</v>
      </c>
      <c r="X142" t="n">
        <f t="shared" si="27"/>
        <v>20050242.467825554</v>
      </c>
      <c r="Y142" t="n">
        <f t="shared" si="28"/>
        <v>0.83748425668365445</v>
      </c>
      <c r="Z142" t="n">
        <f t="shared" si="29"/>
        <v>16791762.409493927</v>
      </c>
    </row>
    <row r="143">
      <c r="B143" s="52" t="n">
        <v>2028</v>
      </c>
      <c r="C143" t="str">
        <f>tbl_detail_2022!C143</f>
        <v>fugitives</v>
      </c>
      <c r="D143" t="str">
        <f>tbl_detail_2022!D143</f>
        <v>G&amp;B Stations</v>
      </c>
      <c r="E143" t="n">
        <f>tbl_detail_2022!E143</f>
        <v>0</v>
      </c>
      <c r="F143" t="n">
        <f>tbl_detail_2022!F143</f>
        <v>5164.9572199701797</v>
      </c>
      <c r="G143" t="n">
        <f>tbl_detail_2022!G143</f>
        <v>-68722.985313308993</v>
      </c>
      <c r="H143" t="n">
        <f>tbl_detail_2022!H143</f>
        <v>-19103.251443625701</v>
      </c>
      <c r="I143" t="n">
        <f>tbl_detail_2022!I143</f>
        <v>-719.70192993165904</v>
      </c>
      <c r="J143" t="n">
        <f>tbl_detail_2022!J143</f>
        <v>-1558611.0890869501</v>
      </c>
      <c r="K143" t="n">
        <f>tbl_detail_2022!K143</f>
        <v>68927140.828759894</v>
      </c>
      <c r="L143" t="n">
        <f>tbl_detail_2022!L143</f>
        <v>11448942.971785899</v>
      </c>
      <c r="M143" t="n">
        <f>tbl_detail_2022!M143</f>
        <v>57478197.856974103</v>
      </c>
      <c r="N143" t="n">
        <f>tbl_detail_2022!N143</f>
        <v>0</v>
      </c>
      <c r="O143" t="n">
        <f>tbl_detail_2022!O143</f>
        <v>66431679.763256498</v>
      </c>
      <c r="P143" t="n">
        <f t="shared" si="23"/>
        <v>7</v>
      </c>
      <c r="Q143" t="n">
        <f t="shared" si="24"/>
        <v>0.62274974188459109</v>
      </c>
      <c r="R143" t="n">
        <f t="shared" si="25"/>
        <v>42924359.159953088</v>
      </c>
      <c r="S143" t="n">
        <f t="shared" si="19"/>
        <v>7129826.2805310721</v>
      </c>
      <c r="T143" t="n">
        <f t="shared" si="20"/>
        <v>35794532.879422076</v>
      </c>
      <c r="U143" t="n">
        <f t="shared" si="21"/>
        <v>0</v>
      </c>
      <c r="V143" t="n">
        <f t="shared" si="22"/>
        <v>41370311.425527796</v>
      </c>
      <c r="W143" t="n">
        <f t="shared" si="26"/>
        <v>1667.7771908916714</v>
      </c>
      <c r="X143" t="n">
        <f t="shared" si="27"/>
        <v>114614627.39552006</v>
      </c>
      <c r="Y143" t="n">
        <f t="shared" si="28"/>
        <v>0.81309151134335378</v>
      </c>
      <c r="Z143" t="n">
        <f t="shared" si="29"/>
        <v>93192180.611078769</v>
      </c>
    </row>
    <row r="144">
      <c r="B144" s="52" t="n">
        <v>2028</v>
      </c>
      <c r="C144" t="str">
        <f>tbl_detail_2022!C144</f>
        <v>fugitives</v>
      </c>
      <c r="D144" t="str">
        <f>tbl_detail_2022!D144</f>
        <v>Processing Plants</v>
      </c>
      <c r="E144" t="str">
        <f>tbl_detail_2022!E144</f>
        <v>Large Plants</v>
      </c>
      <c r="F144" t="n">
        <f>tbl_detail_2022!F144</f>
        <v>229.12549962060299</v>
      </c>
      <c r="G144" t="n">
        <f>tbl_detail_2022!G144</f>
        <v>-5432.5382190646096</v>
      </c>
      <c r="H144" t="n">
        <f>tbl_detail_2022!H144</f>
        <v>-656.40033250910506</v>
      </c>
      <c r="I144" t="n">
        <f>tbl_detail_2022!I144</f>
        <v>-24.002640625441401</v>
      </c>
      <c r="J144" t="n">
        <f>tbl_detail_2022!J144</f>
        <v>-123207.894295055</v>
      </c>
      <c r="K144" t="n">
        <f>tbl_detail_2022!K144</f>
        <v>1641141.6918969301</v>
      </c>
      <c r="L144" t="n">
        <f>tbl_detail_2022!L144</f>
        <v>862385.49553435296</v>
      </c>
      <c r="M144" t="n">
        <f>tbl_detail_2022!M144</f>
        <v>778756.19636257703</v>
      </c>
      <c r="N144" t="n">
        <f>tbl_detail_2022!N144</f>
        <v>-85336.365655655405</v>
      </c>
      <c r="O144" t="n">
        <f>tbl_detail_2022!O144</f>
        <v>2319097.5089476099</v>
      </c>
      <c r="P144" t="n">
        <f t="shared" si="23"/>
        <v>7</v>
      </c>
      <c r="Q144" t="n">
        <f t="shared" si="24"/>
        <v>0.62274974188459109</v>
      </c>
      <c r="R144" t="n">
        <f t="shared" si="25"/>
        <v>1022020.5650248544</v>
      </c>
      <c r="S144" t="n">
        <f t="shared" si="19"/>
        <v>537050.34474903345</v>
      </c>
      <c r="T144" t="n">
        <f t="shared" si="20"/>
        <v>484970.22027582076</v>
      </c>
      <c r="U144" t="n">
        <f t="shared" si="21"/>
        <v>-53143.199685428488</v>
      </c>
      <c r="V144" t="n">
        <f t="shared" si="22"/>
        <v>1444217.3751023223</v>
      </c>
      <c r="W144" t="n">
        <f t="shared" si="26"/>
        <v>1667.7771908916714</v>
      </c>
      <c r="X144" t="n">
        <f t="shared" si="27"/>
        <v>9060263.330403218</v>
      </c>
      <c r="Y144" t="n">
        <f t="shared" si="28"/>
        <v>0.81309151134335378</v>
      </c>
      <c r="Z144" t="n">
        <f t="shared" si="29"/>
        <v>7366823.2044863207</v>
      </c>
    </row>
    <row r="145">
      <c r="B145" s="52" t="n">
        <v>2028</v>
      </c>
      <c r="C145" t="str">
        <f>tbl_detail_2022!C145</f>
        <v>fugitives</v>
      </c>
      <c r="D145" t="str">
        <f>tbl_detail_2022!D145</f>
        <v>Processing Plants</v>
      </c>
      <c r="E145" t="str">
        <f>tbl_detail_2022!E145</f>
        <v>Small Plants</v>
      </c>
      <c r="F145" t="n">
        <f>tbl_detail_2022!F145</f>
        <v>950.97220638993497</v>
      </c>
      <c r="G145" t="n">
        <f>tbl_detail_2022!G145</f>
        <v>-10829.9015540654</v>
      </c>
      <c r="H145" t="n">
        <f>tbl_detail_2022!H145</f>
        <v>-1318.4213426082999</v>
      </c>
      <c r="I145" t="n">
        <f>tbl_detail_2022!I145</f>
        <v>-48.230816817638498</v>
      </c>
      <c r="J145" t="n">
        <f>tbl_detail_2022!J145</f>
        <v>-245618.03563875999</v>
      </c>
      <c r="K145" t="n">
        <f>tbl_detail_2022!K145</f>
        <v>3922772.69087969</v>
      </c>
      <c r="L145" t="n">
        <f>tbl_detail_2022!L145</f>
        <v>1719187.1721243199</v>
      </c>
      <c r="M145" t="n">
        <f>tbl_detail_2022!M145</f>
        <v>2203585.5187553801</v>
      </c>
      <c r="N145" t="n">
        <f>tbl_detail_2022!N145</f>
        <v>-172913.93760315201</v>
      </c>
      <c r="O145" t="n">
        <f>tbl_detail_2022!O145</f>
        <v>5296489.6162081901</v>
      </c>
      <c r="P145" t="n">
        <f t="shared" si="23"/>
        <v>7</v>
      </c>
      <c r="Q145" t="n">
        <f t="shared" si="24"/>
        <v>0.62274974188459109</v>
      </c>
      <c r="R145" t="n">
        <f t="shared" si="25"/>
        <v>2442905.6807172499</v>
      </c>
      <c r="S145" t="n">
        <f t="shared" si="19"/>
        <v>1070623.3676917204</v>
      </c>
      <c r="T145" t="n">
        <f t="shared" si="20"/>
        <v>1372282.3130255358</v>
      </c>
      <c r="U145" t="n">
        <f t="shared" si="21"/>
        <v>-107682.1100106112</v>
      </c>
      <c r="V145" t="n">
        <f t="shared" si="22"/>
        <v>3298387.5413880674</v>
      </c>
      <c r="W145" t="n">
        <f t="shared" si="26"/>
        <v>1667.7771908916714</v>
      </c>
      <c r="X145" t="n">
        <f t="shared" si="27"/>
        <v>18061862.791472539</v>
      </c>
      <c r="Y145" t="n">
        <f t="shared" si="28"/>
        <v>0.81309151134335378</v>
      </c>
      <c r="Z145" t="n">
        <f t="shared" si="29"/>
        <v>14685947.314794693</v>
      </c>
    </row>
    <row r="146">
      <c r="B146" s="52" t="n">
        <v>2028</v>
      </c>
      <c r="C146" t="str">
        <f>tbl_detail_2022!C146</f>
        <v>fugitives</v>
      </c>
      <c r="D146" t="str">
        <f>tbl_detail_2022!D146</f>
        <v>T&amp;S Compressor Stations</v>
      </c>
      <c r="E146" t="str">
        <f>tbl_detail_2022!E146</f>
        <v>Compressor Stations (Transmission)</v>
      </c>
      <c r="F146" t="n">
        <f>tbl_detail_2022!F146</f>
        <v>1588.89898828848</v>
      </c>
      <c r="G146" t="n">
        <f>tbl_detail_2022!G146</f>
        <v>-51342.076363259701</v>
      </c>
      <c r="H146" t="n">
        <f>tbl_detail_2022!H146</f>
        <v>-1420.8759853393101</v>
      </c>
      <c r="I146" t="n">
        <f>tbl_detail_2022!I146</f>
        <v>-42.202424926909202</v>
      </c>
      <c r="J146" t="n">
        <f>tbl_detail_2022!J146</f>
        <v>-1164418.7049165999</v>
      </c>
      <c r="K146" t="n">
        <f>tbl_detail_2022!K146</f>
        <v>31250424.571741901</v>
      </c>
      <c r="L146" t="n">
        <f>tbl_detail_2022!L146</f>
        <v>7640879.6256101197</v>
      </c>
      <c r="M146" t="n">
        <f>tbl_detail_2022!M146</f>
        <v>23609544.946131799</v>
      </c>
      <c r="N146" t="n">
        <f>tbl_detail_2022!N146</f>
        <v>0</v>
      </c>
      <c r="O146" t="n">
        <f>tbl_detail_2022!O146</f>
        <v>25311160.883435398</v>
      </c>
      <c r="P146" t="n">
        <f t="shared" si="23"/>
        <v>7</v>
      </c>
      <c r="Q146" t="n">
        <f t="shared" si="24"/>
        <v>0.62274974188459109</v>
      </c>
      <c r="R146" t="n">
        <f t="shared" si="25"/>
        <v>19461193.835836153</v>
      </c>
      <c r="S146" t="n">
        <f t="shared" si="19"/>
        <v>4758355.8146199333</v>
      </c>
      <c r="T146" t="n">
        <f t="shared" si="20"/>
        <v>14702838.02121623</v>
      </c>
      <c r="U146" t="n">
        <f t="shared" si="21"/>
        <v>0</v>
      </c>
      <c r="V146" t="n">
        <f t="shared" si="22"/>
        <v>15762518.906958753</v>
      </c>
      <c r="W146" t="n">
        <f t="shared" si="26"/>
        <v>1667.7771908916714</v>
      </c>
      <c r="X146" t="n">
        <f t="shared" si="27"/>
        <v>85627143.89166294</v>
      </c>
      <c r="Y146" t="n">
        <f t="shared" si="28"/>
        <v>0.81309151134335378</v>
      </c>
      <c r="Z146" t="n">
        <f t="shared" si="29"/>
        <v>69622703.838887051</v>
      </c>
    </row>
    <row r="147">
      <c r="B147" s="52" t="n">
        <v>2028</v>
      </c>
      <c r="C147" t="str">
        <f>tbl_detail_2022!C147</f>
        <v>fugitives</v>
      </c>
      <c r="D147" t="str">
        <f>tbl_detail_2022!D147</f>
        <v>T&amp;S Compressor Stations</v>
      </c>
      <c r="E147" t="str">
        <f>tbl_detail_2022!E147</f>
        <v>Compressor Stations (Storage)</v>
      </c>
      <c r="F147" t="n">
        <f>tbl_detail_2022!F147</f>
        <v>289.875505389122</v>
      </c>
      <c r="G147" t="n">
        <f>tbl_detail_2022!G147</f>
        <v>-33031.599311966696</v>
      </c>
      <c r="H147" t="n">
        <f>tbl_detail_2022!H147</f>
        <v>-914.13923129352997</v>
      </c>
      <c r="I147" t="n">
        <f>tbl_detail_2022!I147</f>
        <v>-27.151484492290098</v>
      </c>
      <c r="J147" t="n">
        <f>tbl_detail_2022!J147</f>
        <v>-749144.070840267</v>
      </c>
      <c r="K147" t="n">
        <f>tbl_detail_2022!K147</f>
        <v>6888594.0793839497</v>
      </c>
      <c r="L147" t="n">
        <f>tbl_detail_2022!L147</f>
        <v>4915860.2857895698</v>
      </c>
      <c r="M147" t="n">
        <f>tbl_detail_2022!M147</f>
        <v>1972733.7935943899</v>
      </c>
      <c r="N147" t="n">
        <f>tbl_detail_2022!N147</f>
        <v>0</v>
      </c>
      <c r="O147" t="n">
        <f>tbl_detail_2022!O147</f>
        <v>5805046.8709225599</v>
      </c>
      <c r="P147" t="n">
        <f t="shared" si="23"/>
        <v>7</v>
      </c>
      <c r="Q147" t="n">
        <f t="shared" si="24"/>
        <v>0.62274974188459109</v>
      </c>
      <c r="R147" t="n">
        <f t="shared" si="25"/>
        <v>4289870.1848840769</v>
      </c>
      <c r="S147" t="n">
        <f t="shared" ref="S147:S210" si="30">L147*$Q147</f>
        <v>3061350.7241161666</v>
      </c>
      <c r="T147" t="n">
        <f t="shared" ref="T147:T210" si="31">M147*$Q147</f>
        <v>1228519.4607679164</v>
      </c>
      <c r="U147" t="n">
        <f t="shared" ref="U147:U210" si="32">N147*$Q147</f>
        <v>0</v>
      </c>
      <c r="V147" t="n">
        <f t="shared" ref="V147:V210" si="33">O147*$Q147</f>
        <v>3615091.4404949774</v>
      </c>
      <c r="W147" t="n">
        <f t="shared" si="26"/>
        <v>1667.7771908916714</v>
      </c>
      <c r="X147" t="n">
        <f t="shared" si="27"/>
        <v>55089347.911171079</v>
      </c>
      <c r="Y147" t="n">
        <f t="shared" si="28"/>
        <v>0.81309151134335378</v>
      </c>
      <c r="Z147" t="n">
        <f t="shared" si="29"/>
        <v>44792681.15201392</v>
      </c>
    </row>
    <row r="148">
      <c r="B148" s="52" t="n">
        <v>2028</v>
      </c>
      <c r="C148" t="str">
        <f>tbl_detail_2022!C148</f>
        <v>fugitives</v>
      </c>
      <c r="D148" t="str">
        <f>tbl_detail_2022!D148</f>
        <v>Wellpad Fugitives</v>
      </c>
      <c r="E148" t="str">
        <f>tbl_detail_2022!E148</f>
        <v>1: No equipment, no tanks</v>
      </c>
      <c r="F148" t="n">
        <f>tbl_detail_2022!F148</f>
        <v>203747.71458556101</v>
      </c>
      <c r="G148" t="n">
        <f>tbl_detail_2022!G148</f>
        <v>-45552.585622823797</v>
      </c>
      <c r="H148" t="n">
        <f>tbl_detail_2022!H148</f>
        <v>-12662.4664593865</v>
      </c>
      <c r="I148" t="n">
        <f>tbl_detail_2022!I148</f>
        <v>-476.99511152509001</v>
      </c>
      <c r="J148" t="n">
        <f>tbl_detail_2022!J148</f>
        <v>-1033115.26361423</v>
      </c>
      <c r="K148" t="n">
        <f>tbl_detail_2022!K148</f>
        <v>139511781.857757</v>
      </c>
      <c r="L148" t="n">
        <f>tbl_detail_2022!L148</f>
        <v>7588857.6818286497</v>
      </c>
      <c r="M148" t="n">
        <f>tbl_detail_2022!M148</f>
        <v>131922924.175929</v>
      </c>
      <c r="N148" t="n">
        <f>tbl_detail_2022!N148</f>
        <v>337945.20157834003</v>
      </c>
      <c r="O148" t="n">
        <f>tbl_detail_2022!O148</f>
        <v>136302348.52710399</v>
      </c>
      <c r="P148" t="n">
        <f t="shared" si="23"/>
        <v>7</v>
      </c>
      <c r="Q148" t="n">
        <f t="shared" si="24"/>
        <v>0.62274974188459109</v>
      </c>
      <c r="R148" t="n">
        <f t="shared" si="25"/>
        <v>86880926.141777545</v>
      </c>
      <c r="S148" t="n">
        <f t="shared" si="30"/>
        <v>4725959.1625576876</v>
      </c>
      <c r="T148" t="n">
        <f t="shared" si="31"/>
        <v>82154966.979220256</v>
      </c>
      <c r="U148" t="n">
        <f t="shared" si="32"/>
        <v>210455.28705404737</v>
      </c>
      <c r="V148" t="n">
        <f t="shared" si="33"/>
        <v>84882252.363517582</v>
      </c>
      <c r="W148" t="n">
        <f t="shared" si="26"/>
        <v>1667.7771908916714</v>
      </c>
      <c r="X148" t="n">
        <f t="shared" si="27"/>
        <v>75971563.287885413</v>
      </c>
      <c r="Y148" t="n">
        <f t="shared" si="28"/>
        <v>0.81309151134335378</v>
      </c>
      <c r="Z148" t="n">
        <f t="shared" si="29"/>
        <v>61771833.212864004</v>
      </c>
    </row>
    <row r="149">
      <c r="B149" s="52" t="n">
        <v>2028</v>
      </c>
      <c r="C149" t="str">
        <f>tbl_detail_2022!C149</f>
        <v>fugitives</v>
      </c>
      <c r="D149" t="str">
        <f>tbl_detail_2022!D149</f>
        <v>Wellpad Fugitives</v>
      </c>
      <c r="E149" t="str">
        <f>tbl_detail_2022!E149</f>
        <v>2: Tanks, no equipment</v>
      </c>
      <c r="F149" t="n">
        <f>tbl_detail_2022!F149</f>
        <v>32489.595383740099</v>
      </c>
      <c r="G149" t="n">
        <f>tbl_detail_2022!G149</f>
        <v>-9623.0310185898106</v>
      </c>
      <c r="H149" t="n">
        <f>tbl_detail_2022!H149</f>
        <v>-2674.9591893522902</v>
      </c>
      <c r="I149" t="n">
        <f>tbl_detail_2022!I149</f>
        <v>-100.765712662901</v>
      </c>
      <c r="J149" t="n">
        <f>tbl_detail_2022!J149</f>
        <v>-218246.67231528301</v>
      </c>
      <c r="K149" t="n">
        <f>tbl_detail_2022!K149</f>
        <v>31737085.6138153</v>
      </c>
      <c r="L149" t="n">
        <f>tbl_detail_2022!L149</f>
        <v>1603154.0662163999</v>
      </c>
      <c r="M149" t="n">
        <f>tbl_detail_2022!M149</f>
        <v>30133931.547598898</v>
      </c>
      <c r="N149" t="n">
        <f>tbl_detail_2022!N149</f>
        <v>259956.25505445301</v>
      </c>
      <c r="O149" t="n">
        <f>tbl_detail_2022!O149</f>
        <v>30512623.671287499</v>
      </c>
      <c r="P149" t="n">
        <f t="shared" si="23"/>
        <v>7</v>
      </c>
      <c r="Q149" t="n">
        <f t="shared" si="24"/>
        <v>0.62274974188459109</v>
      </c>
      <c r="R149" t="n">
        <f t="shared" si="25"/>
        <v>19764261.874172647</v>
      </c>
      <c r="S149" t="n">
        <f t="shared" si="30"/>
        <v>998363.78093749564</v>
      </c>
      <c r="T149" t="n">
        <f t="shared" si="31"/>
        <v>18765898.09323515</v>
      </c>
      <c r="U149" t="n">
        <f t="shared" si="32"/>
        <v>161887.69073644554</v>
      </c>
      <c r="V149" t="n">
        <f t="shared" si="33"/>
        <v>19001728.515515953</v>
      </c>
      <c r="W149" t="n">
        <f t="shared" si="26"/>
        <v>1667.7771908916714</v>
      </c>
      <c r="X149" t="n">
        <f t="shared" si="27"/>
        <v>16049071.640047133</v>
      </c>
      <c r="Y149" t="n">
        <f t="shared" si="28"/>
        <v>0.81309151134335378</v>
      </c>
      <c r="Z149" t="n">
        <f t="shared" si="29"/>
        <v>13049363.91546368</v>
      </c>
    </row>
    <row r="150">
      <c r="B150" s="52" t="n">
        <v>2028</v>
      </c>
      <c r="C150" t="str">
        <f>tbl_detail_2022!C150</f>
        <v>fugitives</v>
      </c>
      <c r="D150" t="str">
        <f>tbl_detail_2022!D150</f>
        <v>Wellpad Fugitives</v>
      </c>
      <c r="E150" t="str">
        <f>tbl_detail_2022!E150</f>
        <v>3: Equipment = 1, no tanks</v>
      </c>
      <c r="F150" t="n">
        <f>tbl_detail_2022!F150</f>
        <v>26764.010731801402</v>
      </c>
      <c r="G150" t="n">
        <f>tbl_detail_2022!G150</f>
        <v>-23090.408488234301</v>
      </c>
      <c r="H150" t="n">
        <f>tbl_detail_2022!H150</f>
        <v>-6418.5494416656102</v>
      </c>
      <c r="I150" t="n">
        <f>tbl_detail_2022!I150</f>
        <v>-241.786757467543</v>
      </c>
      <c r="J150" t="n">
        <f>tbl_detail_2022!J150</f>
        <v>-523681.655522316</v>
      </c>
      <c r="K150" t="n">
        <f>tbl_detail_2022!K150</f>
        <v>15288108.502892001</v>
      </c>
      <c r="L150" t="n">
        <f>tbl_detail_2022!L150</f>
        <v>3846759.1122796899</v>
      </c>
      <c r="M150" t="n">
        <f>tbl_detail_2022!M150</f>
        <v>11441349.3906123</v>
      </c>
      <c r="N150" t="n">
        <f>tbl_detail_2022!N150</f>
        <v>-140888.53630016401</v>
      </c>
      <c r="O150" t="n">
        <f>tbl_detail_2022!O150</f>
        <v>15126280.165836399</v>
      </c>
      <c r="P150" t="n">
        <f t="shared" si="23"/>
        <v>7</v>
      </c>
      <c r="Q150" t="n">
        <f t="shared" si="24"/>
        <v>0.62274974188459109</v>
      </c>
      <c r="R150" t="n">
        <f t="shared" si="25"/>
        <v>9520665.6240796149</v>
      </c>
      <c r="S150" t="n">
        <f t="shared" si="30"/>
        <v>2395568.2442643754</v>
      </c>
      <c r="T150" t="n">
        <f t="shared" si="31"/>
        <v>7125097.3798152339</v>
      </c>
      <c r="U150" t="n">
        <f t="shared" si="32"/>
        <v>-87738.29961542497</v>
      </c>
      <c r="V150" t="n">
        <f t="shared" si="33"/>
        <v>9419887.0689486284</v>
      </c>
      <c r="W150" t="n">
        <f t="shared" si="26"/>
        <v>1667.7771908916714</v>
      </c>
      <c r="X150" t="n">
        <f t="shared" si="27"/>
        <v>38509656.605048604</v>
      </c>
      <c r="Y150" t="n">
        <f t="shared" si="28"/>
        <v>0.81309151134335378</v>
      </c>
      <c r="Z150" t="n">
        <f t="shared" si="29"/>
        <v>31311874.890312538</v>
      </c>
    </row>
    <row r="151">
      <c r="B151" s="52" t="n">
        <v>2028</v>
      </c>
      <c r="C151" t="str">
        <f>tbl_detail_2022!C151</f>
        <v>fugitives</v>
      </c>
      <c r="D151" t="str">
        <f>tbl_detail_2022!D151</f>
        <v>Wellpad Fugitives</v>
      </c>
      <c r="E151" t="str">
        <f>tbl_detail_2022!E151</f>
        <v>4: Equipment &gt; 1, no tanks</v>
      </c>
      <c r="F151" t="n">
        <f>tbl_detail_2022!F151</f>
        <v>34195.098011694601</v>
      </c>
      <c r="G151" t="n">
        <f>tbl_detail_2022!G151</f>
        <v>-61531.326389700102</v>
      </c>
      <c r="H151" t="n">
        <f>tbl_detail_2022!H151</f>
        <v>-17104.1521783729</v>
      </c>
      <c r="I151" t="n">
        <f>tbl_detail_2022!I151</f>
        <v>-644.31341255930897</v>
      </c>
      <c r="J151" t="n">
        <f>tbl_detail_2022!J151</f>
        <v>-1395507.00831738</v>
      </c>
      <c r="K151" t="n">
        <f>tbl_detail_2022!K151</f>
        <v>120954979.23906299</v>
      </c>
      <c r="L151" t="n">
        <f>tbl_detail_2022!L151</f>
        <v>10250844.657028999</v>
      </c>
      <c r="M151" t="n">
        <f>tbl_detail_2022!M151</f>
        <v>110704134.58203401</v>
      </c>
      <c r="N151" t="n">
        <f>tbl_detail_2022!N151</f>
        <v>9959.6558362999695</v>
      </c>
      <c r="O151" t="n">
        <f>tbl_detail_2022!O151</f>
        <v>116771760.304975</v>
      </c>
      <c r="P151" t="n">
        <f t="shared" si="23"/>
        <v>7</v>
      </c>
      <c r="Q151" t="n">
        <f t="shared" si="24"/>
        <v>0.62274974188459109</v>
      </c>
      <c r="R151" t="n">
        <f t="shared" si="25"/>
        <v>75324682.100782558</v>
      </c>
      <c r="S151" t="n">
        <f t="shared" si="30"/>
        <v>6383710.8642638493</v>
      </c>
      <c r="T151" t="n">
        <f t="shared" si="31"/>
        <v>68940971.236518711</v>
      </c>
      <c r="U151" t="n">
        <f t="shared" si="32"/>
        <v>6202.3731013151673</v>
      </c>
      <c r="V151" t="n">
        <f t="shared" si="33"/>
        <v>72719583.589332521</v>
      </c>
      <c r="W151" t="n">
        <f t="shared" si="26"/>
        <v>1667.7771908916714</v>
      </c>
      <c r="X151" t="n">
        <f t="shared" si="27"/>
        <v>102620542.6780526</v>
      </c>
      <c r="Y151" t="n">
        <f t="shared" si="28"/>
        <v>0.81309151134335378</v>
      </c>
      <c r="Z151" t="n">
        <f t="shared" si="29"/>
        <v>83439892.140972927</v>
      </c>
    </row>
    <row r="152">
      <c r="B152" s="52" t="n">
        <v>2028</v>
      </c>
      <c r="C152" t="str">
        <f>tbl_detail_2022!C152</f>
        <v>fugitives</v>
      </c>
      <c r="D152" t="str">
        <f>tbl_detail_2022!D152</f>
        <v>Wellpad Fugitives</v>
      </c>
      <c r="E152" t="str">
        <f>tbl_detail_2022!E152</f>
        <v>5: Equipment = 1 and tanks</v>
      </c>
      <c r="F152" t="n">
        <f>tbl_detail_2022!F152</f>
        <v>59437.459431183197</v>
      </c>
      <c r="G152" t="n">
        <f>tbl_detail_2022!G152</f>
        <v>-71686.056322066506</v>
      </c>
      <c r="H152" t="n">
        <f>tbl_detail_2022!H152</f>
        <v>-19926.910215367701</v>
      </c>
      <c r="I152" t="n">
        <f>tbl_detail_2022!I152</f>
        <v>-750.64670781290101</v>
      </c>
      <c r="J152" t="n">
        <f>tbl_detail_2022!J152</f>
        <v>-1625812.40915398</v>
      </c>
      <c r="K152" t="n">
        <f>tbl_detail_2022!K152</f>
        <v>232654034.109072</v>
      </c>
      <c r="L152" t="n">
        <f>tbl_detail_2022!L152</f>
        <v>11942577.391855899</v>
      </c>
      <c r="M152" t="n">
        <f>tbl_detail_2022!M152</f>
        <v>220711456.71721601</v>
      </c>
      <c r="N152" t="n">
        <f>tbl_detail_2022!N152</f>
        <v>7157.30158271656</v>
      </c>
      <c r="O152" t="n">
        <f>tbl_detail_2022!O152</f>
        <v>223976220.61282799</v>
      </c>
      <c r="P152" t="n">
        <f t="shared" si="23"/>
        <v>7</v>
      </c>
      <c r="Q152" t="n">
        <f t="shared" si="24"/>
        <v>0.62274974188459109</v>
      </c>
      <c r="R152" t="n">
        <f t="shared" si="25"/>
        <v>144885239.68983343</v>
      </c>
      <c r="S152" t="n">
        <f t="shared" si="30"/>
        <v>7437236.9882150143</v>
      </c>
      <c r="T152" t="n">
        <f t="shared" si="31"/>
        <v>137448002.70161837</v>
      </c>
      <c r="U152" t="n">
        <f t="shared" si="32"/>
        <v>4457.2077132269133</v>
      </c>
      <c r="V152" t="n">
        <f t="shared" si="33"/>
        <v>139481133.57492486</v>
      </c>
      <c r="W152" t="n">
        <f t="shared" si="26"/>
        <v>1667.7771908916714</v>
      </c>
      <c r="X152" t="n">
        <f t="shared" si="27"/>
        <v>119556369.63891822</v>
      </c>
      <c r="Y152" t="n">
        <f t="shared" si="28"/>
        <v>0.81309151134335378</v>
      </c>
      <c r="Z152" t="n">
        <f t="shared" si="29"/>
        <v>97210269.280432671</v>
      </c>
    </row>
    <row r="153">
      <c r="B153" s="52" t="n">
        <v>2028</v>
      </c>
      <c r="C153" t="str">
        <f>tbl_detail_2022!C153</f>
        <v>fugitives</v>
      </c>
      <c r="D153" t="str">
        <f>tbl_detail_2022!D153</f>
        <v>Wellpad Fugitives</v>
      </c>
      <c r="E153" t="str">
        <f>tbl_detail_2022!E153</f>
        <v>6: Equipment &gt; 1 and tanks</v>
      </c>
      <c r="F153" t="n">
        <f>tbl_detail_2022!F153</f>
        <v>145741.147988226</v>
      </c>
      <c r="G153" t="n">
        <f>tbl_detail_2022!G153</f>
        <v>-179221.893189264</v>
      </c>
      <c r="H153" t="n">
        <f>tbl_detail_2022!H153</f>
        <v>-49819.152530383399</v>
      </c>
      <c r="I153" t="n">
        <f>tbl_detail_2022!I153</f>
        <v>-1876.6874758195399</v>
      </c>
      <c r="J153" t="n">
        <f>tbl_detail_2022!J153</f>
        <v>-4064684.16438025</v>
      </c>
      <c r="K153" t="n">
        <f>tbl_detail_2022!K153</f>
        <v>494356266.48176003</v>
      </c>
      <c r="L153" t="n">
        <f>tbl_detail_2022!L153</f>
        <v>29857568.396726899</v>
      </c>
      <c r="M153" t="n">
        <f>tbl_detail_2022!M153</f>
        <v>464498698.085033</v>
      </c>
      <c r="N153" t="n">
        <f>tbl_detail_2022!N153</f>
        <v>52179.188360697401</v>
      </c>
      <c r="O153" t="n">
        <f>tbl_detail_2022!O153</f>
        <v>477855203.91044003</v>
      </c>
      <c r="P153" t="n">
        <f t="shared" si="23"/>
        <v>7</v>
      </c>
      <c r="Q153" t="n">
        <f t="shared" si="24"/>
        <v>0.62274974188459109</v>
      </c>
      <c r="R153" t="n">
        <f t="shared" si="25"/>
        <v>307860237.35054618</v>
      </c>
      <c r="S153" t="n">
        <f t="shared" si="30"/>
        <v>18593793.012363199</v>
      </c>
      <c r="T153" t="n">
        <f t="shared" si="31"/>
        <v>289266444.33818293</v>
      </c>
      <c r="U153" t="n">
        <f t="shared" si="32"/>
        <v>32494.576083371765</v>
      </c>
      <c r="V153" t="n">
        <f t="shared" si="33"/>
        <v>297584204.89343518</v>
      </c>
      <c r="W153" t="n">
        <f t="shared" si="26"/>
        <v>1667.7771908916714</v>
      </c>
      <c r="X153" t="n">
        <f t="shared" si="27"/>
        <v>298902185.56947786</v>
      </c>
      <c r="Y153" t="n">
        <f t="shared" si="28"/>
        <v>0.81309151134335378</v>
      </c>
      <c r="Z153" t="n">
        <f t="shared" si="29"/>
        <v>243034829.80851835</v>
      </c>
    </row>
    <row r="154">
      <c r="B154" s="52" t="n">
        <v>2028</v>
      </c>
      <c r="C154" t="str">
        <f>tbl_detail_2022!C154</f>
        <v>compressors</v>
      </c>
      <c r="D154" t="str">
        <f>tbl_detail_2022!D154</f>
        <v>G&amp;B Station Recip Comp</v>
      </c>
      <c r="E154" t="n">
        <f>tbl_detail_2022!E154</f>
        <v>0</v>
      </c>
      <c r="F154" t="n">
        <f>tbl_detail_2022!F154</f>
        <v>24883.3572950462</v>
      </c>
      <c r="G154" t="n">
        <f>tbl_detail_2022!G154</f>
        <v>-174305.07047993701</v>
      </c>
      <c r="H154" t="n">
        <f>tbl_detail_2022!H154</f>
        <v>-48452.400228199702</v>
      </c>
      <c r="I154" t="n">
        <f>tbl_detail_2022!I154</f>
        <v>-1825.4110331407601</v>
      </c>
      <c r="J154" t="n">
        <f>tbl_detail_2022!J154</f>
        <v>-3953172.5011005802</v>
      </c>
      <c r="K154" t="n">
        <f>tbl_detail_2022!K154</f>
        <v>31500672.865786199</v>
      </c>
      <c r="L154" t="n">
        <f>tbl_detail_2022!L154</f>
        <v>29038447.653574798</v>
      </c>
      <c r="M154" t="n">
        <f>tbl_detail_2022!M154</f>
        <v>2462225.2122114399</v>
      </c>
      <c r="N154" t="n">
        <f>tbl_detail_2022!N154</f>
        <v>0</v>
      </c>
      <c r="O154" t="n">
        <f>tbl_detail_2022!O154</f>
        <v>14855364.3051426</v>
      </c>
      <c r="P154" t="n">
        <f t="shared" si="23"/>
        <v>7</v>
      </c>
      <c r="Q154" t="n">
        <f t="shared" si="24"/>
        <v>0.62274974188459109</v>
      </c>
      <c r="R154" t="n">
        <f t="shared" si="25"/>
        <v>19617035.896359298</v>
      </c>
      <c r="S154" t="n">
        <f t="shared" si="30"/>
        <v>18083685.780992914</v>
      </c>
      <c r="T154" t="n">
        <f t="shared" si="31"/>
        <v>1533350.1153664067</v>
      </c>
      <c r="U154" t="n">
        <f t="shared" si="32"/>
        <v>0</v>
      </c>
      <c r="V154" t="n">
        <f t="shared" si="33"/>
        <v>9251174.2866291218</v>
      </c>
      <c r="W154" t="n">
        <f t="shared" si="26"/>
        <v>1667.7771908916714</v>
      </c>
      <c r="X154" t="n">
        <f t="shared" si="27"/>
        <v>290702020.80320412</v>
      </c>
      <c r="Y154" t="n">
        <f t="shared" si="28"/>
        <v>0.81309151134335378</v>
      </c>
      <c r="Z154" t="n">
        <f t="shared" si="29"/>
        <v>236367345.44544432</v>
      </c>
    </row>
    <row r="155">
      <c r="B155" s="52" t="n">
        <v>2028</v>
      </c>
      <c r="C155" t="str">
        <f>tbl_detail_2022!C155</f>
        <v>compressors</v>
      </c>
      <c r="D155" t="str">
        <f>tbl_detail_2022!D155</f>
        <v>Proc Recip Comp</v>
      </c>
      <c r="E155" t="n">
        <f>tbl_detail_2022!E155</f>
        <v>0</v>
      </c>
      <c r="F155" t="n">
        <f>tbl_detail_2022!F155</f>
        <v>4079.27694029647</v>
      </c>
      <c r="G155" t="n">
        <f>tbl_detail_2022!G155</f>
        <v>-67268.511275986006</v>
      </c>
      <c r="H155" t="n">
        <f>tbl_detail_2022!H155</f>
        <v>-18698.944454828099</v>
      </c>
      <c r="I155" t="n">
        <f>tbl_detail_2022!I155</f>
        <v>-704.46994070819198</v>
      </c>
      <c r="J155" t="n">
        <f>tbl_detail_2022!J155</f>
        <v>-1525624.17280231</v>
      </c>
      <c r="K155" t="n">
        <f>tbl_detail_2022!K155</f>
        <v>7126941.8006464299</v>
      </c>
      <c r="L155" t="n">
        <f>tbl_detail_2022!L155</f>
        <v>10678505.348939501</v>
      </c>
      <c r="M155" t="n">
        <f>tbl_detail_2022!M155</f>
        <v>-3551563.5482930299</v>
      </c>
      <c r="N155" t="n">
        <f>tbl_detail_2022!N155</f>
        <v>0</v>
      </c>
      <c r="O155" t="n">
        <f>tbl_detail_2022!O155</f>
        <v>2435328.33335699</v>
      </c>
      <c r="P155" t="n">
        <f t="shared" si="23"/>
        <v>7</v>
      </c>
      <c r="Q155" t="n">
        <f t="shared" si="24"/>
        <v>0.62274974188459109</v>
      </c>
      <c r="R155" t="n">
        <f t="shared" si="25"/>
        <v>4438301.1667790674</v>
      </c>
      <c r="S155" t="n">
        <f t="shared" si="30"/>
        <v>6650036.4497652994</v>
      </c>
      <c r="T155" t="n">
        <f t="shared" si="31"/>
        <v>-2211735.2829862069</v>
      </c>
      <c r="U155" t="n">
        <f t="shared" si="32"/>
        <v>0</v>
      </c>
      <c r="V155" t="n">
        <f t="shared" si="33"/>
        <v>1516600.0910022969</v>
      </c>
      <c r="W155" t="n">
        <f t="shared" si="26"/>
        <v>1667.7771908916714</v>
      </c>
      <c r="X155" t="n">
        <f t="shared" si="27"/>
        <v>112188888.77132866</v>
      </c>
      <c r="Y155" t="n">
        <f t="shared" si="28"/>
        <v>0.81309151134335378</v>
      </c>
      <c r="Z155" t="n">
        <f t="shared" si="29"/>
        <v>91219833.127011031</v>
      </c>
    </row>
    <row r="156">
      <c r="B156" s="52" t="n">
        <v>2028</v>
      </c>
      <c r="C156" t="str">
        <f>tbl_detail_2022!C156</f>
        <v>compressors</v>
      </c>
      <c r="D156" t="str">
        <f>tbl_detail_2022!D156</f>
        <v>T&amp;S Recip Comp</v>
      </c>
      <c r="E156" t="str">
        <f>tbl_detail_2022!E156</f>
        <v>Reciprocating Compressors (Transmission)</v>
      </c>
      <c r="F156" t="n">
        <f>tbl_detail_2022!F156</f>
        <v>8406.3967345460405</v>
      </c>
      <c r="G156" t="n">
        <f>tbl_detail_2022!G156</f>
        <v>-103580.374670637</v>
      </c>
      <c r="H156" t="n">
        <f>tbl_detail_2022!H156</f>
        <v>-2866.55463407153</v>
      </c>
      <c r="I156" t="n">
        <f>tbl_detail_2022!I156</f>
        <v>-85.141530993219007</v>
      </c>
      <c r="J156" t="n">
        <f>tbl_detail_2022!J156</f>
        <v>-2349163.3816171102</v>
      </c>
      <c r="K156" t="n">
        <f>tbl_detail_2022!K156</f>
        <v>11435650.1259655</v>
      </c>
      <c r="L156" t="n">
        <f>tbl_detail_2022!L156</f>
        <v>15415137.6511194</v>
      </c>
      <c r="M156" t="n">
        <f>tbl_detail_2022!M156</f>
        <v>-3979487.5251539298</v>
      </c>
      <c r="N156" t="n">
        <f>tbl_detail_2022!N156</f>
        <v>0</v>
      </c>
      <c r="O156" t="n">
        <f>tbl_detail_2022!O156</f>
        <v>5018618.8505239803</v>
      </c>
      <c r="P156" t="n">
        <f t="shared" si="23"/>
        <v>7</v>
      </c>
      <c r="Q156" t="n">
        <f t="shared" si="24"/>
        <v>0.62274974188459109</v>
      </c>
      <c r="R156" t="n">
        <f t="shared" si="25"/>
        <v>7121548.1642275071</v>
      </c>
      <c r="S156" t="n">
        <f t="shared" si="30"/>
        <v>9599772.9933500476</v>
      </c>
      <c r="T156" t="n">
        <f t="shared" si="31"/>
        <v>-2478224.8291225601</v>
      </c>
      <c r="U156" t="n">
        <f t="shared" si="32"/>
        <v>0</v>
      </c>
      <c r="V156" t="n">
        <f t="shared" si="33"/>
        <v>3125343.593780952</v>
      </c>
      <c r="W156" t="n">
        <f t="shared" si="26"/>
        <v>1667.7771908916714</v>
      </c>
      <c r="X156" t="n">
        <f t="shared" si="27"/>
        <v>172748986.29970181</v>
      </c>
      <c r="Y156" t="n">
        <f t="shared" si="28"/>
        <v>0.81309151134335378</v>
      </c>
      <c r="Z156" t="n">
        <f t="shared" si="29"/>
        <v>140460734.35345685</v>
      </c>
    </row>
    <row r="157">
      <c r="B157" s="52" t="n">
        <v>2028</v>
      </c>
      <c r="C157" t="str">
        <f>tbl_detail_2022!C157</f>
        <v>compressors</v>
      </c>
      <c r="D157" t="str">
        <f>tbl_detail_2022!D157</f>
        <v>T&amp;S Recip Comp</v>
      </c>
      <c r="E157" t="str">
        <f>tbl_detail_2022!E157</f>
        <v>Reciprocating Compressors (Storage)</v>
      </c>
      <c r="F157" t="n">
        <f>tbl_detail_2022!F157</f>
        <v>1403.37772758354</v>
      </c>
      <c r="G157" t="n">
        <f>tbl_detail_2022!G157</f>
        <v>-32808.452962143601</v>
      </c>
      <c r="H157" t="n">
        <f>tbl_detail_2022!H157</f>
        <v>-907.963725506885</v>
      </c>
      <c r="I157" t="n">
        <f>tbl_detail_2022!I157</f>
        <v>-26.968061503911301</v>
      </c>
      <c r="J157" t="n">
        <f>tbl_detail_2022!J157</f>
        <v>-744083.19675661298</v>
      </c>
      <c r="K157" t="n">
        <f>tbl_detail_2022!K157</f>
        <v>3553755.94411394</v>
      </c>
      <c r="L157" t="n">
        <f>tbl_detail_2022!L157</f>
        <v>4882650.9861533698</v>
      </c>
      <c r="M157" t="n">
        <f>tbl_detail_2022!M157</f>
        <v>-1328895.04203943</v>
      </c>
      <c r="N157" t="n">
        <f>tbl_detail_2022!N157</f>
        <v>0</v>
      </c>
      <c r="O157" t="n">
        <f>tbl_detail_2022!O157</f>
        <v>837816.50336737605</v>
      </c>
      <c r="P157" t="n">
        <f t="shared" si="23"/>
        <v>7</v>
      </c>
      <c r="Q157" t="n">
        <f t="shared" si="24"/>
        <v>0.62274974188459109</v>
      </c>
      <c r="R157" t="n">
        <f t="shared" si="25"/>
        <v>2213100.5969177876</v>
      </c>
      <c r="S157" t="n">
        <f t="shared" si="30"/>
        <v>3040669.6413395554</v>
      </c>
      <c r="T157" t="n">
        <f t="shared" si="31"/>
        <v>-827569.04442176782</v>
      </c>
      <c r="U157" t="n">
        <f t="shared" si="32"/>
        <v>0</v>
      </c>
      <c r="V157" t="n">
        <f t="shared" si="33"/>
        <v>521750.01121868409</v>
      </c>
      <c r="W157" t="n">
        <f t="shared" si="26"/>
        <v>1667.7771908916714</v>
      </c>
      <c r="X157" t="n">
        <f t="shared" si="27"/>
        <v>54717189.51870539</v>
      </c>
      <c r="Y157" t="n">
        <f t="shared" si="28"/>
        <v>0.81309151134335378</v>
      </c>
      <c r="Z157" t="n">
        <f t="shared" si="29"/>
        <v>44490082.322224885</v>
      </c>
    </row>
    <row r="158">
      <c r="B158" s="52" t="n">
        <v>2028</v>
      </c>
      <c r="C158" t="str">
        <f>tbl_detail_2022!C158</f>
        <v>compressors</v>
      </c>
      <c r="D158" t="str">
        <f>tbl_detail_2022!D158</f>
        <v>Wet Seal Centrifugal Compr</v>
      </c>
      <c r="E158" t="str">
        <f>tbl_detail_2022!E158</f>
        <v>G&amp;B WS Centrifugal Comp</v>
      </c>
      <c r="F158" t="n">
        <f>tbl_detail_2022!F158</f>
        <v>331.19438763451001</v>
      </c>
      <c r="G158" t="n">
        <f>tbl_detail_2022!G158</f>
        <v>-74269.671316829103</v>
      </c>
      <c r="H158" t="n">
        <f>tbl_detail_2022!H158</f>
        <v>-20645.089839047701</v>
      </c>
      <c r="I158" t="n">
        <f>tbl_detail_2022!I158</f>
        <v>-777.78963673396095</v>
      </c>
      <c r="J158" t="n">
        <f>tbl_detail_2022!J158</f>
        <v>-1684407.8115860799</v>
      </c>
      <c r="K158" t="n">
        <f>tbl_detail_2022!K158</f>
        <v>8279859.6908627497</v>
      </c>
      <c r="L158" t="n">
        <f>tbl_detail_2022!L158</f>
        <v>12372996.1316885</v>
      </c>
      <c r="M158" t="n">
        <f>tbl_detail_2022!M158</f>
        <v>-4093136.4408257399</v>
      </c>
      <c r="N158" t="n">
        <f>tbl_detail_2022!N158</f>
        <v>0</v>
      </c>
      <c r="O158" t="n">
        <f>tbl_detail_2022!O158</f>
        <v>8279859.6908627497</v>
      </c>
      <c r="P158" t="n">
        <f t="shared" si="23"/>
        <v>7</v>
      </c>
      <c r="Q158" t="n">
        <f t="shared" si="24"/>
        <v>0.62274974188459109</v>
      </c>
      <c r="R158" t="n">
        <f t="shared" si="25"/>
        <v>5156280.4853254072</v>
      </c>
      <c r="S158" t="n">
        <f t="shared" si="30"/>
        <v>7705280.1473480575</v>
      </c>
      <c r="T158" t="n">
        <f t="shared" si="31"/>
        <v>-2548999.6620226433</v>
      </c>
      <c r="U158" t="n">
        <f t="shared" si="32"/>
        <v>0</v>
      </c>
      <c r="V158" t="n">
        <f t="shared" si="33"/>
        <v>5156280.4853254072</v>
      </c>
      <c r="W158" t="n">
        <f t="shared" si="26"/>
        <v>1667.7771908916714</v>
      </c>
      <c r="X158" t="n">
        <f t="shared" si="27"/>
        <v>123865263.79722898</v>
      </c>
      <c r="Y158" t="n">
        <f t="shared" si="28"/>
        <v>0.81309151134335378</v>
      </c>
      <c r="Z158" t="n">
        <f t="shared" si="29"/>
        <v>100713794.54383211</v>
      </c>
    </row>
    <row r="159">
      <c r="B159" s="52" t="n">
        <v>2028</v>
      </c>
      <c r="C159" t="str">
        <f>tbl_detail_2022!C159</f>
        <v>compressors</v>
      </c>
      <c r="D159" t="str">
        <f>tbl_detail_2022!D159</f>
        <v>Wet Seal Centrifugal Compr</v>
      </c>
      <c r="E159" t="str">
        <f>tbl_detail_2022!E159</f>
        <v>Proc WS Centrifugal Comp</v>
      </c>
      <c r="F159" t="n">
        <f>tbl_detail_2022!F159</f>
        <v>284.03837754878998</v>
      </c>
      <c r="G159" t="n">
        <f>tbl_detail_2022!G159</f>
        <v>-38697.389178678597</v>
      </c>
      <c r="H159" t="n">
        <f>tbl_detail_2022!H159</f>
        <v>-10756.895270511101</v>
      </c>
      <c r="I159" t="n">
        <f>tbl_detail_2022!I159</f>
        <v>-2990.1447698827801</v>
      </c>
      <c r="J159" t="n">
        <f>tbl_detail_2022!J159</f>
        <v>-877642.02351845906</v>
      </c>
      <c r="K159" t="n">
        <f>tbl_detail_2022!K159</f>
        <v>7100959.4387197504</v>
      </c>
      <c r="L159" t="n">
        <f>tbl_detail_2022!L159</f>
        <v>6142997.21364622</v>
      </c>
      <c r="M159" t="n">
        <f>tbl_detail_2022!M159</f>
        <v>957962.22507353302</v>
      </c>
      <c r="N159" t="n">
        <f>tbl_detail_2022!N159</f>
        <v>0</v>
      </c>
      <c r="O159" t="n">
        <f>tbl_detail_2022!O159</f>
        <v>7100959.4387197504</v>
      </c>
      <c r="P159" t="n">
        <f t="shared" si="23"/>
        <v>7</v>
      </c>
      <c r="Q159" t="n">
        <f t="shared" si="24"/>
        <v>0.62274974188459109</v>
      </c>
      <c r="R159" t="n">
        <f t="shared" si="25"/>
        <v>4422120.6575956754</v>
      </c>
      <c r="S159" t="n">
        <f t="shared" si="30"/>
        <v>3825549.9291959456</v>
      </c>
      <c r="T159" t="n">
        <f t="shared" si="31"/>
        <v>596570.72839973122</v>
      </c>
      <c r="U159" t="n">
        <f t="shared" si="32"/>
        <v>0</v>
      </c>
      <c r="V159" t="n">
        <f t="shared" si="33"/>
        <v>4422120.6575956754</v>
      </c>
      <c r="W159" t="n">
        <f t="shared" si="26"/>
        <v>1667.7771908916714</v>
      </c>
      <c r="X159" t="n">
        <f t="shared" si="27"/>
        <v>64538623.01925835</v>
      </c>
      <c r="Y159" t="n">
        <f t="shared" si="28"/>
        <v>0.81309151134335378</v>
      </c>
      <c r="Z159" t="n">
        <f t="shared" si="29"/>
        <v>52475806.530747734</v>
      </c>
    </row>
    <row r="160">
      <c r="B160" s="52" t="n">
        <v>2028</v>
      </c>
      <c r="C160" t="str">
        <f>tbl_detail_2022!C160</f>
        <v>compressors</v>
      </c>
      <c r="D160" t="str">
        <f>tbl_detail_2022!D160</f>
        <v>Wet Seal Centrifugal Compr</v>
      </c>
      <c r="E160" t="str">
        <f>tbl_detail_2022!E160</f>
        <v>T&amp;S WS Centrifugal Comp</v>
      </c>
      <c r="F160" t="n">
        <f>tbl_detail_2022!F160</f>
        <v>769.85689828316902</v>
      </c>
      <c r="G160" t="n">
        <f>tbl_detail_2022!G160</f>
        <v>-27088.091235058899</v>
      </c>
      <c r="H160" t="n">
        <f>tbl_detail_2022!H160</f>
        <v>-749.65449492646405</v>
      </c>
      <c r="I160" t="n">
        <f>tbl_detail_2022!I160</f>
        <v>-20.7464548493585</v>
      </c>
      <c r="J160" t="n">
        <f>tbl_detail_2022!J160</f>
        <v>-614347.57510432904</v>
      </c>
      <c r="K160" t="n">
        <f>tbl_detail_2022!K160</f>
        <v>19246422.457079198</v>
      </c>
      <c r="L160" t="n">
        <f>tbl_detail_2022!L160</f>
        <v>4031329.83851704</v>
      </c>
      <c r="M160" t="n">
        <f>tbl_detail_2022!M160</f>
        <v>15215092.618562199</v>
      </c>
      <c r="N160" t="n">
        <f>tbl_detail_2022!N160</f>
        <v>0</v>
      </c>
      <c r="O160" t="n">
        <f>tbl_detail_2022!O160</f>
        <v>19246422.457079198</v>
      </c>
      <c r="P160" t="n">
        <f t="shared" si="23"/>
        <v>7</v>
      </c>
      <c r="Q160" t="n">
        <f t="shared" si="24"/>
        <v>0.62274974188459109</v>
      </c>
      <c r="R160" t="n">
        <f t="shared" si="25"/>
        <v>11985704.617347868</v>
      </c>
      <c r="S160" t="n">
        <f t="shared" si="30"/>
        <v>2510509.616388137</v>
      </c>
      <c r="T160" t="n">
        <f t="shared" si="31"/>
        <v>9475195.0009597559</v>
      </c>
      <c r="U160" t="n">
        <f t="shared" si="32"/>
        <v>0</v>
      </c>
      <c r="V160" t="n">
        <f t="shared" si="33"/>
        <v>11985704.617347868</v>
      </c>
      <c r="W160" t="n">
        <f t="shared" si="26"/>
        <v>1667.7771908916714</v>
      </c>
      <c r="X160" t="n">
        <f t="shared" si="27"/>
        <v>45176900.706623837</v>
      </c>
      <c r="Y160" t="n">
        <f t="shared" si="28"/>
        <v>0.81309151134335378</v>
      </c>
      <c r="Z160" t="n">
        <f t="shared" si="29"/>
        <v>36732954.473357402</v>
      </c>
    </row>
    <row r="161">
      <c r="B161" s="52" t="n">
        <v>2028</v>
      </c>
      <c r="C161" t="str">
        <f>tbl_detail_2022!C161</f>
        <v>compressors</v>
      </c>
      <c r="D161" t="str">
        <f>tbl_detail_2022!D161</f>
        <v>Dry Seal Centrifugal Compr</v>
      </c>
      <c r="E161" t="str">
        <f>tbl_detail_2022!E161</f>
        <v>G&amp;B DS Centrifugal Comp</v>
      </c>
      <c r="F161" t="n">
        <f>tbl_detail_2022!F161</f>
        <v>514.33073691200605</v>
      </c>
      <c r="G161" t="n">
        <f>tbl_detail_2022!G161</f>
        <v>-8294.2704979570808</v>
      </c>
      <c r="H161" t="n">
        <f>tbl_detail_2022!H161</f>
        <v>-2305.59737970573</v>
      </c>
      <c r="I161" t="n">
        <f>tbl_detail_2022!I161</f>
        <v>-86.861804060757194</v>
      </c>
      <c r="J161" t="n">
        <f>tbl_detail_2022!J161</f>
        <v>-188110.89062947201</v>
      </c>
      <c r="K161" t="n">
        <f>tbl_detail_2022!K161</f>
        <v>7714961.0536800902</v>
      </c>
      <c r="L161" t="n">
        <f>tbl_detail_2022!L161</f>
        <v>1381788.4873707099</v>
      </c>
      <c r="M161" t="n">
        <f>tbl_detail_2022!M161</f>
        <v>6333172.5663093803</v>
      </c>
      <c r="N161" t="n">
        <f>tbl_detail_2022!N161</f>
        <v>0</v>
      </c>
      <c r="O161" t="n">
        <f>tbl_detail_2022!O161</f>
        <v>7714961.0536800902</v>
      </c>
      <c r="P161" t="n">
        <f t="shared" si="23"/>
        <v>7</v>
      </c>
      <c r="Q161" t="n">
        <f t="shared" si="24"/>
        <v>0.62274974188459109</v>
      </c>
      <c r="R161" t="n">
        <f t="shared" si="25"/>
        <v>4804490.0048289495</v>
      </c>
      <c r="S161" t="n">
        <f t="shared" si="30"/>
        <v>860508.4238492091</v>
      </c>
      <c r="T161" t="n">
        <f t="shared" si="31"/>
        <v>3943981.5809797398</v>
      </c>
      <c r="U161" t="n">
        <f t="shared" si="32"/>
        <v>0</v>
      </c>
      <c r="V161" t="n">
        <f t="shared" si="33"/>
        <v>4804490.0048289495</v>
      </c>
      <c r="W161" t="n">
        <f t="shared" si="26"/>
        <v>1667.7771908916714</v>
      </c>
      <c r="X161" t="n">
        <f t="shared" si="27"/>
        <v>13832995.151578525</v>
      </c>
      <c r="Y161" t="n">
        <f t="shared" si="28"/>
        <v>0.81309151134335378</v>
      </c>
      <c r="Z161" t="n">
        <f t="shared" si="29"/>
        <v>11247490.934202269</v>
      </c>
    </row>
    <row r="162">
      <c r="B162" s="52" t="n">
        <v>2028</v>
      </c>
      <c r="C162" t="str">
        <f>tbl_detail_2022!C162</f>
        <v>compressors</v>
      </c>
      <c r="D162" t="str">
        <f>tbl_detail_2022!D162</f>
        <v>Dry Seal Centrifugal Compr</v>
      </c>
      <c r="E162" t="str">
        <f>tbl_detail_2022!E162</f>
        <v>Proc DS Centrifugal Comp</v>
      </c>
      <c r="F162" t="n">
        <f>tbl_detail_2022!F162</f>
        <v>406.35055083164502</v>
      </c>
      <c r="G162" t="n">
        <f>tbl_detail_2022!G162</f>
        <v>-3162.3448289840198</v>
      </c>
      <c r="H162" t="n">
        <f>tbl_detail_2022!H162</f>
        <v>-879.05186516732999</v>
      </c>
      <c r="I162" t="n">
        <f>tbl_detail_2022!I162</f>
        <v>-244.354181293512</v>
      </c>
      <c r="J162" t="n">
        <f>tbl_detail_2022!J162</f>
        <v>-71720.774286805303</v>
      </c>
      <c r="K162" t="n">
        <f>tbl_detail_2022!K162</f>
        <v>6095258.2624746701</v>
      </c>
      <c r="L162" t="n">
        <f>tbl_detail_2022!L162</f>
        <v>502004.80924797902</v>
      </c>
      <c r="M162" t="n">
        <f>tbl_detail_2022!M162</f>
        <v>5593253.4532266902</v>
      </c>
      <c r="N162" t="n">
        <f>tbl_detail_2022!N162</f>
        <v>0</v>
      </c>
      <c r="O162" t="n">
        <f>tbl_detail_2022!O162</f>
        <v>6095258.2624746701</v>
      </c>
      <c r="P162" t="n">
        <f t="shared" si="23"/>
        <v>7</v>
      </c>
      <c r="Q162" t="n">
        <f t="shared" si="24"/>
        <v>0.62274974188459109</v>
      </c>
      <c r="R162" t="n">
        <f t="shared" si="25"/>
        <v>3795820.509676022</v>
      </c>
      <c r="S162" t="n">
        <f t="shared" si="30"/>
        <v>312623.36538400233</v>
      </c>
      <c r="T162" t="n">
        <f t="shared" si="31"/>
        <v>3483197.1442920193</v>
      </c>
      <c r="U162" t="n">
        <f t="shared" si="32"/>
        <v>0</v>
      </c>
      <c r="V162" t="n">
        <f t="shared" si="33"/>
        <v>3795820.509676022</v>
      </c>
      <c r="W162" t="n">
        <f t="shared" si="26"/>
        <v>1667.7771908916714</v>
      </c>
      <c r="X162" t="n">
        <f t="shared" si="27"/>
        <v>5274086.5755137717</v>
      </c>
      <c r="Y162" t="n">
        <f t="shared" si="28"/>
        <v>0.81309151134335378</v>
      </c>
      <c r="Z162" t="n">
        <f t="shared" si="29"/>
        <v>4288315.0246401858</v>
      </c>
    </row>
    <row r="163">
      <c r="B163" s="52" t="n">
        <v>2028</v>
      </c>
      <c r="C163" t="str">
        <f>tbl_detail_2022!C163</f>
        <v>compressors</v>
      </c>
      <c r="D163" t="str">
        <f>tbl_detail_2022!D163</f>
        <v>Dry Seal Centrifugal Compr</v>
      </c>
      <c r="E163" t="str">
        <f>tbl_detail_2022!E163</f>
        <v>T&amp;S DS Centrifugal Comp</v>
      </c>
      <c r="F163" t="n">
        <f>tbl_detail_2022!F163</f>
        <v>2768.4247907822401</v>
      </c>
      <c r="G163" t="n">
        <f>tbl_detail_2022!G163</f>
        <v>-49976.0458146089</v>
      </c>
      <c r="H163" t="n">
        <f>tbl_detail_2022!H163</f>
        <v>-1383.0715150236799</v>
      </c>
      <c r="I163" t="n">
        <f>tbl_detail_2022!I163</f>
        <v>-38.2760737567341</v>
      </c>
      <c r="J163" t="n">
        <f>tbl_detail_2022!J163</f>
        <v>-1133437.65321385</v>
      </c>
      <c r="K163" t="n">
        <f>tbl_detail_2022!K163</f>
        <v>41526371.8617336</v>
      </c>
      <c r="L163" t="n">
        <f>tbl_detail_2022!L163</f>
        <v>7437582.9199354704</v>
      </c>
      <c r="M163" t="n">
        <f>tbl_detail_2022!M163</f>
        <v>34088788.941798098</v>
      </c>
      <c r="N163" t="n">
        <f>tbl_detail_2022!N163</f>
        <v>0</v>
      </c>
      <c r="O163" t="n">
        <f>tbl_detail_2022!O163</f>
        <v>41526371.8617336</v>
      </c>
      <c r="P163" t="n">
        <f t="shared" si="23"/>
        <v>7</v>
      </c>
      <c r="Q163" t="n">
        <f t="shared" si="24"/>
        <v>0.62274974188459109</v>
      </c>
      <c r="R163" t="n">
        <f t="shared" si="25"/>
        <v>25860537.358298145</v>
      </c>
      <c r="S163" t="n">
        <f t="shared" si="30"/>
        <v>4631752.8436350571</v>
      </c>
      <c r="T163" t="n">
        <f t="shared" si="31"/>
        <v>21228784.51466307</v>
      </c>
      <c r="U163" t="n">
        <f t="shared" si="32"/>
        <v>0</v>
      </c>
      <c r="V163" t="n">
        <f t="shared" si="33"/>
        <v>25860537.358298145</v>
      </c>
      <c r="W163" t="n">
        <f t="shared" si="26"/>
        <v>1667.7771908916714</v>
      </c>
      <c r="X163" t="n">
        <f t="shared" si="27"/>
        <v>83348909.300561905</v>
      </c>
      <c r="Y163" t="n">
        <f t="shared" si="28"/>
        <v>0.81309151134335378</v>
      </c>
      <c r="Z163" t="n">
        <f t="shared" si="29"/>
        <v>67770290.632013991</v>
      </c>
    </row>
    <row r="164">
      <c r="B164" s="52" t="n">
        <v>2028</v>
      </c>
      <c r="C164" t="str">
        <f>tbl_detail_2022!C164</f>
        <v>liquids_unloading</v>
      </c>
      <c r="D164" t="n">
        <f>tbl_detail_2022!D164</f>
        <v>0</v>
      </c>
      <c r="E164" t="n">
        <f>tbl_detail_2022!E164</f>
        <v>0</v>
      </c>
      <c r="F164" t="n">
        <f>tbl_detail_2022!F164</f>
        <v>257086.55335090499</v>
      </c>
      <c r="G164" t="n">
        <f>tbl_detail_2022!G164</f>
        <v>-25443.1849061455</v>
      </c>
      <c r="H164" t="n">
        <f>tbl_detail_2022!H164</f>
        <v>-7072.5617720601404</v>
      </c>
      <c r="I164" t="n">
        <f>tbl_detail_2022!I164</f>
        <v>-266.45392654405998</v>
      </c>
      <c r="J164" t="n">
        <f>tbl_detail_2022!J164</f>
        <v>-577041.72709633806</v>
      </c>
      <c r="K164" t="n">
        <f>tbl_detail_2022!K164</f>
        <v>16710625.9678088</v>
      </c>
      <c r="L164" t="n">
        <f>tbl_detail_2022!L164</f>
        <v>4238721.1743353801</v>
      </c>
      <c r="M164" t="n">
        <f>tbl_detail_2022!M164</f>
        <v>12471904.7934734</v>
      </c>
      <c r="N164" t="n">
        <f>tbl_detail_2022!N164</f>
        <v>0</v>
      </c>
      <c r="O164" t="n">
        <f>tbl_detail_2022!O164</f>
        <v>16710625.9678088</v>
      </c>
      <c r="P164" t="n">
        <f t="shared" si="23"/>
        <v>7</v>
      </c>
      <c r="Q164" t="n">
        <f t="shared" si="24"/>
        <v>0.62274974188459109</v>
      </c>
      <c r="R164" t="n">
        <f t="shared" si="25"/>
        <v>10406538.008182876</v>
      </c>
      <c r="S164" t="n">
        <f t="shared" si="30"/>
        <v>2639662.5172381089</v>
      </c>
      <c r="T164" t="n">
        <f t="shared" si="31"/>
        <v>7766875.4909447543</v>
      </c>
      <c r="U164" t="n">
        <f t="shared" si="32"/>
        <v>0</v>
      </c>
      <c r="V164" t="n">
        <f t="shared" si="33"/>
        <v>10406538.008182876</v>
      </c>
      <c r="W164" t="n">
        <f t="shared" si="26"/>
        <v>1667.7771908916714</v>
      </c>
      <c r="X164" t="n">
        <f t="shared" si="27"/>
        <v>42433563.450108714</v>
      </c>
      <c r="Y164" t="n">
        <f t="shared" si="28"/>
        <v>0.81309151134335378</v>
      </c>
      <c r="Z164" t="n">
        <f t="shared" si="29"/>
        <v>34502370.237332992</v>
      </c>
    </row>
    <row r="165">
      <c r="B165" s="52" t="n">
        <v>2028</v>
      </c>
      <c r="C165" t="str">
        <f>tbl_detail_2022!C165</f>
        <v>pneucontr</v>
      </c>
      <c r="D165" t="str">
        <f>tbl_detail_2022!D165</f>
        <v>G&amp;B Pneumatic Controllers</v>
      </c>
      <c r="E165" t="n">
        <f>tbl_detail_2022!E165</f>
        <v>0</v>
      </c>
      <c r="F165" t="n">
        <f>tbl_detail_2022!F165</f>
        <v>4644.6748530279401</v>
      </c>
      <c r="G165" t="n">
        <f>tbl_detail_2022!G165</f>
        <v>-305915.00527749897</v>
      </c>
      <c r="H165" t="n">
        <f>tbl_detail_2022!H165</f>
        <v>-85036.632735256295</v>
      </c>
      <c r="I165" t="n">
        <f>tbl_detail_2022!I165</f>
        <v>-3203.3299551371001</v>
      </c>
      <c r="J165" t="n">
        <f>tbl_detail_2022!J165</f>
        <v>-6938035.6131191701</v>
      </c>
      <c r="K165" t="n">
        <f>tbl_detail_2022!K165</f>
        <v>70359518.218320906</v>
      </c>
      <c r="L165" t="n">
        <f>tbl_detail_2022!L165</f>
        <v>50964076.046291597</v>
      </c>
      <c r="M165" t="n">
        <f>tbl_detail_2022!M165</f>
        <v>19395442.172029302</v>
      </c>
      <c r="N165" t="n">
        <f>tbl_detail_2022!N165</f>
        <v>20411758.798652701</v>
      </c>
      <c r="O165" t="n">
        <f>tbl_detail_2022!O165</f>
        <v>-12406660.1906622</v>
      </c>
      <c r="P165" t="n">
        <f t="shared" si="23"/>
        <v>7</v>
      </c>
      <c r="Q165" t="n">
        <f t="shared" si="24"/>
        <v>0.62274974188459109</v>
      </c>
      <c r="R165" t="n">
        <f t="shared" si="25"/>
        <v>43816371.80958353</v>
      </c>
      <c r="S165" t="n">
        <f t="shared" si="30"/>
        <v>31737865.203214765</v>
      </c>
      <c r="T165" t="n">
        <f t="shared" si="31"/>
        <v>12078506.60636876</v>
      </c>
      <c r="U165" t="n">
        <f t="shared" si="32"/>
        <v>12711417.523271501</v>
      </c>
      <c r="V165" t="n">
        <f t="shared" si="33"/>
        <v>-7726244.4313847162</v>
      </c>
      <c r="W165" t="n">
        <f t="shared" si="26"/>
        <v>1667.7771908916714</v>
      </c>
      <c r="X165" t="n">
        <f t="shared" si="27"/>
        <v>510198068.15331805</v>
      </c>
      <c r="Y165" t="n">
        <f t="shared" si="28"/>
        <v>0.81309151134335378</v>
      </c>
      <c r="Z165" t="n">
        <f t="shared" si="29"/>
        <v>414837718.31924081</v>
      </c>
    </row>
    <row r="166">
      <c r="B166" s="52" t="n">
        <v>2028</v>
      </c>
      <c r="C166" t="str">
        <f>tbl_detail_2022!C166</f>
        <v>pneucontr</v>
      </c>
      <c r="D166" t="str">
        <f>tbl_detail_2022!D166</f>
        <v>T&amp;S Pneumatic Controllers</v>
      </c>
      <c r="E166" t="n">
        <f>tbl_detail_2022!E166</f>
        <v>0</v>
      </c>
      <c r="F166" t="n">
        <f>tbl_detail_2022!F166</f>
        <v>44716.194662480397</v>
      </c>
      <c r="G166" t="n">
        <f>tbl_detail_2022!G166</f>
        <v>-71879.840894117806</v>
      </c>
      <c r="H166" t="n">
        <f>tbl_detail_2022!H166</f>
        <v>-1989.25222723458</v>
      </c>
      <c r="I166" t="n">
        <f>tbl_detail_2022!I166</f>
        <v>-59.084162619939399</v>
      </c>
      <c r="J166" t="n">
        <f>tbl_detail_2022!J166</f>
        <v>-1630207.3693192899</v>
      </c>
      <c r="K166" t="n">
        <f>tbl_detail_2022!K166</f>
        <v>20812489.314318601</v>
      </c>
      <c r="L166" t="n">
        <f>tbl_detail_2022!L166</f>
        <v>10697370.4743462</v>
      </c>
      <c r="M166" t="n">
        <f>tbl_detail_2022!M166</f>
        <v>10115118.839972399</v>
      </c>
      <c r="N166" t="n">
        <f>tbl_detail_2022!N166</f>
        <v>7280482.2424421003</v>
      </c>
      <c r="O166" t="n">
        <f>tbl_detail_2022!O166</f>
        <v>-14884199.603368999</v>
      </c>
      <c r="P166" t="n">
        <f t="shared" si="23"/>
        <v>7</v>
      </c>
      <c r="Q166" t="n">
        <f t="shared" si="24"/>
        <v>0.62274974188459109</v>
      </c>
      <c r="R166" t="n">
        <f t="shared" si="25"/>
        <v>12960972.348467719</v>
      </c>
      <c r="S166" t="n">
        <f t="shared" si="30"/>
        <v>6661784.7017429415</v>
      </c>
      <c r="T166" t="n">
        <f t="shared" si="31"/>
        <v>6299187.6467247764</v>
      </c>
      <c r="U166" t="n">
        <f t="shared" si="32"/>
        <v>4533918.4372761669</v>
      </c>
      <c r="V166" t="n">
        <f t="shared" si="33"/>
        <v>-9269131.461156778</v>
      </c>
      <c r="W166" t="n">
        <f t="shared" si="26"/>
        <v>1667.7771908916714</v>
      </c>
      <c r="X166" t="n">
        <f t="shared" si="27"/>
        <v>119879559.12813208</v>
      </c>
      <c r="Y166" t="n">
        <f t="shared" si="28"/>
        <v>0.81309151134335378</v>
      </c>
      <c r="Z166" t="n">
        <f t="shared" si="29"/>
        <v>97473051.910667852</v>
      </c>
    </row>
    <row r="167">
      <c r="B167" s="52" t="n">
        <v>2028</v>
      </c>
      <c r="C167" t="str">
        <f>tbl_detail_2022!C167</f>
        <v>pneucontr</v>
      </c>
      <c r="D167" t="str">
        <f>tbl_detail_2022!D167</f>
        <v>Well Pad Pneumatic Controllers</v>
      </c>
      <c r="E167" t="n">
        <f>tbl_detail_2022!E167</f>
        <v>0</v>
      </c>
      <c r="F167" t="n">
        <f>tbl_detail_2022!F167</f>
        <v>1312387.18379639</v>
      </c>
      <c r="G167" t="n">
        <f>tbl_detail_2022!G167</f>
        <v>-1717916.5631411199</v>
      </c>
      <c r="H167" t="n">
        <f>tbl_detail_2022!H167</f>
        <v>-477537.34641793201</v>
      </c>
      <c r="I167" t="n">
        <f>tbl_detail_2022!I167</f>
        <v>-17988.8318395635</v>
      </c>
      <c r="J167" t="n">
        <f>tbl_detail_2022!J167</f>
        <v>-38961692.266871698</v>
      </c>
      <c r="K167" t="n">
        <f>tbl_detail_2022!K167</f>
        <v>917606427.52951396</v>
      </c>
      <c r="L167" t="n">
        <f>tbl_detail_2022!L167</f>
        <v>286197240.588732</v>
      </c>
      <c r="M167" t="n">
        <f>tbl_detail_2022!M167</f>
        <v>631409186.940781</v>
      </c>
      <c r="N167" t="n">
        <f>tbl_detail_2022!N167</f>
        <v>148531145.59085199</v>
      </c>
      <c r="O167" t="n">
        <f>tbl_detail_2022!O167</f>
        <v>-78743231.027783304</v>
      </c>
      <c r="P167" t="n">
        <f t="shared" si="23"/>
        <v>7</v>
      </c>
      <c r="Q167" t="n">
        <f t="shared" si="24"/>
        <v>0.62274974188459109</v>
      </c>
      <c r="R167" t="n">
        <f t="shared" si="25"/>
        <v>571439165.89564657</v>
      </c>
      <c r="S167" t="n">
        <f t="shared" si="30"/>
        <v>178229257.70471507</v>
      </c>
      <c r="T167" t="n">
        <f t="shared" si="31"/>
        <v>393209908.1909309</v>
      </c>
      <c r="U167" t="n">
        <f t="shared" si="32"/>
        <v>92497732.578525692</v>
      </c>
      <c r="V167" t="n">
        <f t="shared" si="33"/>
        <v>-49037326.797710776</v>
      </c>
      <c r="W167" t="n">
        <f t="shared" si="26"/>
        <v>1667.7771908916714</v>
      </c>
      <c r="X167" t="n">
        <f t="shared" si="27"/>
        <v>2865102059.8617716</v>
      </c>
      <c r="Y167" t="n">
        <f t="shared" si="28"/>
        <v>0.81309151134335378</v>
      </c>
      <c r="Z167" t="n">
        <f t="shared" si="29"/>
        <v>2329590164.0059638</v>
      </c>
    </row>
    <row r="168">
      <c r="B168" s="52" t="n">
        <v>2028</v>
      </c>
      <c r="C168" t="str">
        <f>tbl_detail_2022!C168</f>
        <v>pumps</v>
      </c>
      <c r="D168" t="str">
        <f>tbl_detail_2022!D168</f>
        <v>G&amp;B Pneumatic Pumps</v>
      </c>
      <c r="E168" t="n">
        <f>tbl_detail_2022!E168</f>
        <v>0</v>
      </c>
      <c r="F168" t="n">
        <f>tbl_detail_2022!F168</f>
        <v>497.52324356986998</v>
      </c>
      <c r="G168" t="n">
        <f>tbl_detail_2022!G168</f>
        <v>-41571.841724101803</v>
      </c>
      <c r="H168" t="n">
        <f>tbl_detail_2022!H168</f>
        <v>-11555.9203564202</v>
      </c>
      <c r="I168" t="n">
        <f>tbl_detail_2022!I168</f>
        <v>-435.31151982634998</v>
      </c>
      <c r="J168" t="n">
        <f>tbl_detail_2022!J168</f>
        <v>-942833.51064501202</v>
      </c>
      <c r="K168" t="n">
        <f>tbl_detail_2022!K168</f>
        <v>25802357.3451875</v>
      </c>
      <c r="L168" t="n">
        <f>tbl_detail_2022!L168</f>
        <v>6925683.4952886803</v>
      </c>
      <c r="M168" t="n">
        <f>tbl_detail_2022!M168</f>
        <v>18876673.8498988</v>
      </c>
      <c r="N168" t="n">
        <f>tbl_detail_2022!N168</f>
        <v>6511360.3225827496</v>
      </c>
      <c r="O168" t="n">
        <f>tbl_detail_2022!O168</f>
        <v>-1328963.17078114</v>
      </c>
      <c r="P168" t="n">
        <f t="shared" si="23"/>
        <v>7</v>
      </c>
      <c r="Q168" t="n">
        <f t="shared" si="24"/>
        <v>0.62274974188459109</v>
      </c>
      <c r="R168" t="n">
        <f t="shared" si="25"/>
        <v>16068411.3767295</v>
      </c>
      <c r="S168" t="n">
        <f t="shared" si="30"/>
        <v>4312967.6090653986</v>
      </c>
      <c r="T168" t="n">
        <f t="shared" si="31"/>
        <v>11755443.767664088</v>
      </c>
      <c r="U168" t="n">
        <f t="shared" si="32"/>
        <v>4054947.960205975</v>
      </c>
      <c r="V168" t="n">
        <f t="shared" si="33"/>
        <v>-827611.47157808265</v>
      </c>
      <c r="W168" t="n">
        <f t="shared" si="26"/>
        <v>1667.7771908916714</v>
      </c>
      <c r="X168" t="n">
        <f t="shared" si="27"/>
        <v>69332569.410815686</v>
      </c>
      <c r="Y168" t="n">
        <f t="shared" si="28"/>
        <v>0.81309151134335378</v>
      </c>
      <c r="Z168" t="n">
        <f t="shared" si="29"/>
        <v>56373723.647558108</v>
      </c>
    </row>
    <row r="169">
      <c r="B169" s="52" t="n">
        <v>2028</v>
      </c>
      <c r="C169" t="str">
        <f>tbl_detail_2022!C169</f>
        <v>pumps</v>
      </c>
      <c r="D169" t="str">
        <f>tbl_detail_2022!D169</f>
        <v>Well Pad Pumps</v>
      </c>
      <c r="E169" t="n">
        <f>tbl_detail_2022!E169</f>
        <v>0</v>
      </c>
      <c r="F169" t="n">
        <f>tbl_detail_2022!F169</f>
        <v>100703.47223278601</v>
      </c>
      <c r="G169" t="n">
        <f>tbl_detail_2022!G169</f>
        <v>-168858.76046606901</v>
      </c>
      <c r="H169" t="n">
        <f>tbl_detail_2022!H169</f>
        <v>-46938.463789503599</v>
      </c>
      <c r="I169" t="n">
        <f>tbl_detail_2022!I169</f>
        <v>-1768.1719309506</v>
      </c>
      <c r="J169" t="n">
        <f>tbl_detail_2022!J169</f>
        <v>-3829652.2677533198</v>
      </c>
      <c r="K169" t="n">
        <f>tbl_detail_2022!K169</f>
        <v>142155843.96495</v>
      </c>
      <c r="L169" t="n">
        <f>tbl_detail_2022!L169</f>
        <v>28131116.6860511</v>
      </c>
      <c r="M169" t="n">
        <f>tbl_detail_2022!M169</f>
        <v>114024727.278899</v>
      </c>
      <c r="N169" t="n">
        <f>tbl_detail_2022!N169</f>
        <v>17460048.029977001</v>
      </c>
      <c r="O169" t="n">
        <f>tbl_detail_2022!O169</f>
        <v>-6042208.33396718</v>
      </c>
      <c r="P169" t="n">
        <f t="shared" si="23"/>
        <v>7</v>
      </c>
      <c r="Q169" t="n">
        <f t="shared" si="24"/>
        <v>0.62274974188459109</v>
      </c>
      <c r="R169" t="n">
        <f t="shared" si="25"/>
        <v>88527515.136558816</v>
      </c>
      <c r="S169" t="n">
        <f t="shared" si="30"/>
        <v>17518645.655163635</v>
      </c>
      <c r="T169" t="n">
        <f t="shared" si="31"/>
        <v>71008869.481395245</v>
      </c>
      <c r="U169" t="n">
        <f t="shared" si="32"/>
        <v>10873240.40396074</v>
      </c>
      <c r="V169" t="n">
        <f t="shared" si="33"/>
        <v>-3762783.6803909866</v>
      </c>
      <c r="W169" t="n">
        <f t="shared" si="26"/>
        <v>1667.7771908916714</v>
      </c>
      <c r="X169" t="n">
        <f t="shared" si="27"/>
        <v>281618789.18755019</v>
      </c>
      <c r="Y169" t="n">
        <f t="shared" si="28"/>
        <v>0.81309151134335378</v>
      </c>
      <c r="Z169" t="n">
        <f t="shared" si="29"/>
        <v>228981846.92319053</v>
      </c>
    </row>
    <row r="170">
      <c r="B170" s="52" t="n">
        <v>2028</v>
      </c>
      <c r="C170" t="str">
        <f>tbl_detail_2022!C170</f>
        <v>Storage vessels</v>
      </c>
      <c r="D170" t="n">
        <f>tbl_detail_2022!D170</f>
        <v>0</v>
      </c>
      <c r="E170" t="n">
        <f>tbl_detail_2022!E170</f>
        <v>0</v>
      </c>
      <c r="F170" t="n">
        <f>tbl_detail_2022!F170</f>
        <v>8307.5856389645596</v>
      </c>
      <c r="G170" t="n">
        <f>tbl_detail_2022!G170</f>
        <v>-13442.430197391899</v>
      </c>
      <c r="H170" t="n">
        <f>tbl_detail_2022!H170</f>
        <v>-63970.092395589701</v>
      </c>
      <c r="I170" t="n">
        <f>tbl_detail_2022!I170</f>
        <v>-2409.7533805418602</v>
      </c>
      <c r="J170" t="n">
        <f>tbl_detail_2022!J170</f>
        <v>-304869.18858972797</v>
      </c>
      <c r="K170" t="n">
        <f>tbl_detail_2022!K170</f>
        <v>257390071.374807</v>
      </c>
      <c r="L170" t="n">
        <f>tbl_detail_2022!L170</f>
        <v>0</v>
      </c>
      <c r="M170" t="n">
        <f>tbl_detail_2022!M170</f>
        <v>257390071.374807</v>
      </c>
      <c r="N170" t="n">
        <f>tbl_detail_2022!N170</f>
        <v>104138841.55959401</v>
      </c>
      <c r="O170" t="n">
        <f>tbl_detail_2022!O170</f>
        <v>189745255.99395001</v>
      </c>
      <c r="P170" t="n">
        <f t="shared" si="23"/>
        <v>7</v>
      </c>
      <c r="Q170" t="n">
        <f t="shared" si="24"/>
        <v>0.62274974188459109</v>
      </c>
      <c r="R170" t="n">
        <f t="shared" si="25"/>
        <v>160289600.51231754</v>
      </c>
      <c r="S170" t="n">
        <f t="shared" si="30"/>
        <v>0</v>
      </c>
      <c r="T170" t="n">
        <f t="shared" si="31"/>
        <v>160289600.51231754</v>
      </c>
      <c r="U170" t="n">
        <f t="shared" si="32"/>
        <v>64852436.701397493</v>
      </c>
      <c r="V170" t="n">
        <f t="shared" si="33"/>
        <v>118163809.19405803</v>
      </c>
      <c r="W170" t="n">
        <f t="shared" si="26"/>
        <v>1667.7771908916714</v>
      </c>
      <c r="X170" t="n">
        <f t="shared" si="27"/>
        <v>22418978.473363638</v>
      </c>
      <c r="Y170" t="n">
        <f t="shared" si="28"/>
        <v>0.81309151134335378</v>
      </c>
      <c r="Z170" t="n">
        <f t="shared" si="29"/>
        <v>18228681.089681353</v>
      </c>
    </row>
    <row r="171">
      <c r="B171" s="52" t="n">
        <v>2029</v>
      </c>
      <c r="C171" t="str">
        <f>tbl_detail_2022!C171</f>
        <v>fugitives</v>
      </c>
      <c r="D171" t="str">
        <f>tbl_detail_2022!D171</f>
        <v>G&amp;B Stations</v>
      </c>
      <c r="E171" t="n">
        <f>tbl_detail_2022!E171</f>
        <v>0</v>
      </c>
      <c r="F171" t="n">
        <f>tbl_detail_2022!F171</f>
        <v>5125.0876990733304</v>
      </c>
      <c r="G171" t="n">
        <f>tbl_detail_2022!G171</f>
        <v>-68192.496408492996</v>
      </c>
      <c r="H171" t="n">
        <f>tbl_detail_2022!H171</f>
        <v>-18955.788947772999</v>
      </c>
      <c r="I171" t="n">
        <f>tbl_detail_2022!I171</f>
        <v>-714.14638127697299</v>
      </c>
      <c r="J171" t="n">
        <f>tbl_detail_2022!J171</f>
        <v>-1546579.80310724</v>
      </c>
      <c r="K171" t="n">
        <f>tbl_detail_2022!K171</f>
        <v>68395075.999450698</v>
      </c>
      <c r="L171" t="n">
        <f>tbl_detail_2022!L171</f>
        <v>11773085.0851648</v>
      </c>
      <c r="M171" t="n">
        <f>tbl_detail_2022!M171</f>
        <v>56621990.914285898</v>
      </c>
      <c r="N171" t="n">
        <f>tbl_detail_2022!N171</f>
        <v>0</v>
      </c>
      <c r="O171" t="n">
        <f>tbl_detail_2022!O171</f>
        <v>65918877.985481098</v>
      </c>
      <c r="P171" t="n">
        <f t="shared" si="23"/>
        <v>8</v>
      </c>
      <c r="Q171" t="n">
        <f t="shared" si="24"/>
        <v>0.5820091045650384</v>
      </c>
      <c r="R171" t="n">
        <f t="shared" si="25"/>
        <v>39806556.939098053</v>
      </c>
      <c r="S171" t="n">
        <f t="shared" si="30"/>
        <v>6852042.7083847746</v>
      </c>
      <c r="T171" t="n">
        <f t="shared" si="31"/>
        <v>32954514.230713274</v>
      </c>
      <c r="U171" t="n">
        <f t="shared" si="32"/>
        <v>0</v>
      </c>
      <c r="V171" t="n">
        <f t="shared" si="33"/>
        <v>38365387.150261879</v>
      </c>
      <c r="W171" t="n">
        <f t="shared" si="26"/>
        <v>1709.850429506424</v>
      </c>
      <c r="X171" t="n">
        <f t="shared" si="27"/>
        <v>116598969.27317703</v>
      </c>
      <c r="Y171" t="n">
        <f t="shared" si="28"/>
        <v>0.78940923431393573</v>
      </c>
      <c r="Z171" t="n">
        <f t="shared" si="29"/>
        <v>92044303.055732802</v>
      </c>
    </row>
    <row r="172">
      <c r="B172" s="52" t="n">
        <v>2029</v>
      </c>
      <c r="C172" t="str">
        <f>tbl_detail_2022!C172</f>
        <v>fugitives</v>
      </c>
      <c r="D172" t="str">
        <f>tbl_detail_2022!D172</f>
        <v>Processing Plants</v>
      </c>
      <c r="E172" t="str">
        <f>tbl_detail_2022!E172</f>
        <v>Large Plants</v>
      </c>
      <c r="F172" t="n">
        <f>tbl_detail_2022!F172</f>
        <v>229.59626343566501</v>
      </c>
      <c r="G172" t="n">
        <f>tbl_detail_2022!G172</f>
        <v>-5421.8288779217501</v>
      </c>
      <c r="H172" t="n">
        <f>tbl_detail_2022!H172</f>
        <v>-651.67542411278896</v>
      </c>
      <c r="I172" t="n">
        <f>tbl_detail_2022!I172</f>
        <v>-23.822911529187099</v>
      </c>
      <c r="J172" t="n">
        <f>tbl_detail_2022!J172</f>
        <v>-122965.010523548</v>
      </c>
      <c r="K172" t="n">
        <f>tbl_detail_2022!K172</f>
        <v>1544998.6838791701</v>
      </c>
      <c r="L172" t="n">
        <f>tbl_detail_2022!L172</f>
        <v>891938.22714945499</v>
      </c>
      <c r="M172" t="n">
        <f>tbl_detail_2022!M172</f>
        <v>653060.45672971499</v>
      </c>
      <c r="N172" t="n">
        <f>tbl_detail_2022!N172</f>
        <v>-56890.910437103601</v>
      </c>
      <c r="O172" t="n">
        <f>tbl_detail_2022!O172</f>
        <v>2224347.4365367899</v>
      </c>
      <c r="P172" t="n">
        <f t="shared" si="23"/>
        <v>8</v>
      </c>
      <c r="Q172" t="n">
        <f t="shared" si="24"/>
        <v>0.5820091045650384</v>
      </c>
      <c r="R172" t="n">
        <f t="shared" si="25"/>
        <v>899203.30055867857</v>
      </c>
      <c r="S172" t="n">
        <f t="shared" si="30"/>
        <v>519116.16891058214</v>
      </c>
      <c r="T172" t="n">
        <f t="shared" si="31"/>
        <v>380087.13164809643</v>
      </c>
      <c r="U172" t="n">
        <f t="shared" si="32"/>
        <v>-33111.027841388466</v>
      </c>
      <c r="V172" t="n">
        <f t="shared" si="33"/>
        <v>1294590.4597803156</v>
      </c>
      <c r="W172" t="n">
        <f t="shared" si="26"/>
        <v>1709.850429506424</v>
      </c>
      <c r="X172" t="n">
        <f t="shared" si="27"/>
        <v>9270516.4356248379</v>
      </c>
      <c r="Y172" t="n">
        <f t="shared" si="28"/>
        <v>0.78940923431393573</v>
      </c>
      <c r="Z172" t="n">
        <f t="shared" si="29"/>
        <v>7318231.2811413603</v>
      </c>
    </row>
    <row r="173">
      <c r="B173" s="52" t="n">
        <v>2029</v>
      </c>
      <c r="C173" t="str">
        <f>tbl_detail_2022!C173</f>
        <v>fugitives</v>
      </c>
      <c r="D173" t="str">
        <f>tbl_detail_2022!D173</f>
        <v>Processing Plants</v>
      </c>
      <c r="E173" t="str">
        <f>tbl_detail_2022!E173</f>
        <v>Small Plants</v>
      </c>
      <c r="F173" t="n">
        <f>tbl_detail_2022!F173</f>
        <v>952.92608452501804</v>
      </c>
      <c r="G173" t="n">
        <f>tbl_detail_2022!G173</f>
        <v>-10808.4553282181</v>
      </c>
      <c r="H173" t="n">
        <f>tbl_detail_2022!H173</f>
        <v>-1308.9954947554099</v>
      </c>
      <c r="I173" t="n">
        <f>tbl_detail_2022!I173</f>
        <v>-47.872290418397299</v>
      </c>
      <c r="J173" t="n">
        <f>tbl_detail_2022!J173</f>
        <v>-245131.64341827901</v>
      </c>
      <c r="K173" t="n">
        <f>tbl_detail_2022!K173</f>
        <v>3730029.0837284601</v>
      </c>
      <c r="L173" t="n">
        <f>tbl_detail_2022!L173</f>
        <v>1778085.3473505799</v>
      </c>
      <c r="M173" t="n">
        <f>tbl_detail_2022!M173</f>
        <v>1951943.73637787</v>
      </c>
      <c r="N173" t="n">
        <f>tbl_detail_2022!N173</f>
        <v>-115275.95840210099</v>
      </c>
      <c r="O173" t="n">
        <f>tbl_detail_2022!O173</f>
        <v>5106568.4632214</v>
      </c>
      <c r="P173" t="n">
        <f t="shared" si="23"/>
        <v>8</v>
      </c>
      <c r="Q173" t="n">
        <f t="shared" si="24"/>
        <v>0.5820091045650384</v>
      </c>
      <c r="R173" t="n">
        <f t="shared" si="25"/>
        <v>2170910.8870223518</v>
      </c>
      <c r="S173" t="n">
        <f t="shared" si="30"/>
        <v>1034861.8608517263</v>
      </c>
      <c r="T173" t="n">
        <f t="shared" si="31"/>
        <v>1136049.0261706195</v>
      </c>
      <c r="U173" t="n">
        <f t="shared" si="32"/>
        <v>-67091.657327483408</v>
      </c>
      <c r="V173" t="n">
        <f t="shared" si="33"/>
        <v>2972069.3386795511</v>
      </c>
      <c r="W173" t="n">
        <f t="shared" si="26"/>
        <v>1709.850429506424</v>
      </c>
      <c r="X173" t="n">
        <f t="shared" si="27"/>
        <v>18480841.985254716</v>
      </c>
      <c r="Y173" t="n">
        <f t="shared" si="28"/>
        <v>0.78940923431393573</v>
      </c>
      <c r="Z173" t="n">
        <f t="shared" si="29"/>
        <v>14588947.321056761</v>
      </c>
    </row>
    <row r="174">
      <c r="B174" s="52" t="n">
        <v>2029</v>
      </c>
      <c r="C174" t="str">
        <f>tbl_detail_2022!C174</f>
        <v>fugitives</v>
      </c>
      <c r="D174" t="str">
        <f>tbl_detail_2022!D174</f>
        <v>T&amp;S Compressor Stations</v>
      </c>
      <c r="E174" t="str">
        <f>tbl_detail_2022!E174</f>
        <v>Compressor Stations (Transmission)</v>
      </c>
      <c r="F174" t="n">
        <f>tbl_detail_2022!F174</f>
        <v>1577.0147975095999</v>
      </c>
      <c r="G174" t="n">
        <f>tbl_detail_2022!G174</f>
        <v>-50958.0626311206</v>
      </c>
      <c r="H174" t="n">
        <f>tbl_detail_2022!H174</f>
        <v>-1410.24852481013</v>
      </c>
      <c r="I174" t="n">
        <f>tbl_detail_2022!I174</f>
        <v>-41.886771337310797</v>
      </c>
      <c r="J174" t="n">
        <f>tbl_detail_2022!J174</f>
        <v>-1155709.4199729201</v>
      </c>
      <c r="K174" t="n">
        <f>tbl_detail_2022!K174</f>
        <v>31016686.612142898</v>
      </c>
      <c r="L174" t="n">
        <f>tbl_detail_2022!L174</f>
        <v>7859106.1704385597</v>
      </c>
      <c r="M174" t="n">
        <f>tbl_detail_2022!M174</f>
        <v>23157580.441704299</v>
      </c>
      <c r="N174" t="n">
        <f>tbl_detail_2022!N174</f>
        <v>0</v>
      </c>
      <c r="O174" t="n">
        <f>tbl_detail_2022!O174</f>
        <v>25121845.7243279</v>
      </c>
      <c r="P174" t="n">
        <f t="shared" si="23"/>
        <v>8</v>
      </c>
      <c r="Q174" t="n">
        <f t="shared" si="24"/>
        <v>0.5820091045650384</v>
      </c>
      <c r="R174" t="n">
        <f t="shared" si="25"/>
        <v>18051994.001707703</v>
      </c>
      <c r="S174" t="n">
        <f t="shared" si="30"/>
        <v>4574071.3449385138</v>
      </c>
      <c r="T174" t="n">
        <f t="shared" si="31"/>
        <v>13477922.656769166</v>
      </c>
      <c r="U174" t="n">
        <f t="shared" si="32"/>
        <v>0</v>
      </c>
      <c r="V174" t="n">
        <f t="shared" si="33"/>
        <v>14621142.935037119</v>
      </c>
      <c r="W174" t="n">
        <f t="shared" si="26"/>
        <v>1709.850429506424</v>
      </c>
      <c r="X174" t="n">
        <f t="shared" si="27"/>
        <v>87130665.276636809</v>
      </c>
      <c r="Y174" t="n">
        <f t="shared" si="28"/>
        <v>0.78940923431393573</v>
      </c>
      <c r="Z174" t="n">
        <f t="shared" si="29"/>
        <v>68781751.761293694</v>
      </c>
    </row>
    <row r="175">
      <c r="B175" s="52" t="n">
        <v>2029</v>
      </c>
      <c r="C175" t="str">
        <f>tbl_detail_2022!C175</f>
        <v>fugitives</v>
      </c>
      <c r="D175" t="str">
        <f>tbl_detail_2022!D175</f>
        <v>T&amp;S Compressor Stations</v>
      </c>
      <c r="E175" t="str">
        <f>tbl_detail_2022!E175</f>
        <v>Compressor Stations (Storage)</v>
      </c>
      <c r="F175" t="n">
        <f>tbl_detail_2022!F175</f>
        <v>287.05806589246998</v>
      </c>
      <c r="G175" t="n">
        <f>tbl_detail_2022!G175</f>
        <v>-32710.5493066749</v>
      </c>
      <c r="H175" t="n">
        <f>tbl_detail_2022!H175</f>
        <v>-905.25427231009201</v>
      </c>
      <c r="I175" t="n">
        <f>tbl_detail_2022!I175</f>
        <v>-26.887586151867598</v>
      </c>
      <c r="J175" t="n">
        <f>tbl_detail_2022!J175</f>
        <v>-741862.779200827</v>
      </c>
      <c r="K175" t="n">
        <f>tbl_detail_2022!K175</f>
        <v>6821640.5194078898</v>
      </c>
      <c r="L175" t="n">
        <f>tbl_detail_2022!L175</f>
        <v>5044847.9910915</v>
      </c>
      <c r="M175" t="n">
        <f>tbl_detail_2022!M175</f>
        <v>1776792.52831639</v>
      </c>
      <c r="N175" t="n">
        <f>tbl_detail_2022!N175</f>
        <v>0</v>
      </c>
      <c r="O175" t="n">
        <f>tbl_detail_2022!O175</f>
        <v>5748624.8275626004</v>
      </c>
      <c r="P175" t="n">
        <f t="shared" si="23"/>
        <v>8</v>
      </c>
      <c r="Q175" t="n">
        <f t="shared" si="24"/>
        <v>0.5820091045650384</v>
      </c>
      <c r="R175" t="n">
        <f t="shared" si="25"/>
        <v>3970256.8903651694</v>
      </c>
      <c r="S175" t="n">
        <f t="shared" si="30"/>
        <v>2936147.4619618966</v>
      </c>
      <c r="T175" t="n">
        <f t="shared" si="31"/>
        <v>1034109.4284032728</v>
      </c>
      <c r="U175" t="n">
        <f t="shared" si="32"/>
        <v>0</v>
      </c>
      <c r="V175" t="n">
        <f t="shared" si="33"/>
        <v>3345751.9883700572</v>
      </c>
      <c r="W175" t="n">
        <f t="shared" si="26"/>
        <v>1709.850429506424</v>
      </c>
      <c r="X175" t="n">
        <f t="shared" si="27"/>
        <v>55930146.781409137</v>
      </c>
      <c r="Y175" t="n">
        <f t="shared" si="28"/>
        <v>0.78940923431393573</v>
      </c>
      <c r="Z175" t="n">
        <f t="shared" si="29"/>
        <v>44151774.345778227</v>
      </c>
    </row>
    <row r="176">
      <c r="B176" s="52" t="n">
        <v>2029</v>
      </c>
      <c r="C176" t="str">
        <f>tbl_detail_2022!C176</f>
        <v>fugitives</v>
      </c>
      <c r="D176" t="str">
        <f>tbl_detail_2022!D176</f>
        <v>Wellpad Fugitives</v>
      </c>
      <c r="E176" t="str">
        <f>tbl_detail_2022!E176</f>
        <v>1: No equipment, no tanks</v>
      </c>
      <c r="F176" t="n">
        <f>tbl_detail_2022!F176</f>
        <v>197502.606539297</v>
      </c>
      <c r="G176" t="n">
        <f>tbl_detail_2022!G176</f>
        <v>-44225.837139245297</v>
      </c>
      <c r="H176" t="n">
        <f>tbl_detail_2022!H176</f>
        <v>-12293.663943708099</v>
      </c>
      <c r="I176" t="n">
        <f>tbl_detail_2022!I176</f>
        <v>-463.10232075948397</v>
      </c>
      <c r="J176" t="n">
        <f>tbl_detail_2022!J176</f>
        <v>-1003025.11416122</v>
      </c>
      <c r="K176" t="n">
        <f>tbl_detail_2022!K176</f>
        <v>135530489.797479</v>
      </c>
      <c r="L176" t="n">
        <f>tbl_detail_2022!L176</f>
        <v>7635364.1679868298</v>
      </c>
      <c r="M176" t="n">
        <f>tbl_detail_2022!M176</f>
        <v>127895125.629492</v>
      </c>
      <c r="N176" t="n">
        <f>tbl_detail_2022!N176</f>
        <v>339195.47436109901</v>
      </c>
      <c r="O176" t="n">
        <f>tbl_detail_2022!O176</f>
        <v>132397283.420615</v>
      </c>
      <c r="P176" t="n">
        <f t="shared" si="23"/>
        <v>8</v>
      </c>
      <c r="Q176" t="n">
        <f t="shared" si="24"/>
        <v>0.5820091045650384</v>
      </c>
      <c r="R176" t="n">
        <f t="shared" si="25"/>
        <v>78879979.008291826</v>
      </c>
      <c r="S176" t="n">
        <f t="shared" si="30"/>
        <v>4443851.4624379938</v>
      </c>
      <c r="T176" t="n">
        <f t="shared" si="31"/>
        <v>74436127.545853734</v>
      </c>
      <c r="U176" t="n">
        <f t="shared" si="32"/>
        <v>197414.85430541667</v>
      </c>
      <c r="V176" t="n">
        <f t="shared" si="33"/>
        <v>77056424.370475739</v>
      </c>
      <c r="W176" t="n">
        <f t="shared" si="26"/>
        <v>1709.850429506424</v>
      </c>
      <c r="X176" t="n">
        <f t="shared" si="27"/>
        <v>75619566.627819732</v>
      </c>
      <c r="Y176" t="n">
        <f t="shared" si="28"/>
        <v>0.78940923431393573</v>
      </c>
      <c r="Z176" t="n">
        <f t="shared" si="29"/>
        <v>59694784.190818824</v>
      </c>
    </row>
    <row r="177">
      <c r="B177" s="52" t="n">
        <v>2029</v>
      </c>
      <c r="C177" t="str">
        <f>tbl_detail_2022!C177</f>
        <v>fugitives</v>
      </c>
      <c r="D177" t="str">
        <f>tbl_detail_2022!D177</f>
        <v>Wellpad Fugitives</v>
      </c>
      <c r="E177" t="str">
        <f>tbl_detail_2022!E177</f>
        <v>2: Tanks, no equipment</v>
      </c>
      <c r="F177" t="n">
        <f>tbl_detail_2022!F177</f>
        <v>31508.064553603701</v>
      </c>
      <c r="G177" t="n">
        <f>tbl_detail_2022!G177</f>
        <v>-9468.6979332750197</v>
      </c>
      <c r="H177" t="n">
        <f>tbl_detail_2022!H177</f>
        <v>-2632.0584957988399</v>
      </c>
      <c r="I177" t="n">
        <f>tbl_detail_2022!I177</f>
        <v>-99.149643536742204</v>
      </c>
      <c r="J177" t="n">
        <f>tbl_detail_2022!J177</f>
        <v>-214746.45681841599</v>
      </c>
      <c r="K177" t="n">
        <f>tbl_detail_2022!K177</f>
        <v>31273986.386797201</v>
      </c>
      <c r="L177" t="n">
        <f>tbl_detail_2022!L177</f>
        <v>1634722.1803759499</v>
      </c>
      <c r="M177" t="n">
        <f>tbl_detail_2022!M177</f>
        <v>29639264.206421301</v>
      </c>
      <c r="N177" t="n">
        <f>tbl_detail_2022!N177</f>
        <v>260917.99745791001</v>
      </c>
      <c r="O177" t="n">
        <f>tbl_detail_2022!O177</f>
        <v>30049292.1217921</v>
      </c>
      <c r="P177" t="n">
        <f t="shared" si="23"/>
        <v>8</v>
      </c>
      <c r="Q177" t="n">
        <f t="shared" si="24"/>
        <v>0.5820091045650384</v>
      </c>
      <c r="R177" t="n">
        <f t="shared" si="25"/>
        <v>18201744.813159041</v>
      </c>
      <c r="S177" t="n">
        <f t="shared" si="30"/>
        <v>951423.19241321378</v>
      </c>
      <c r="T177" t="n">
        <f t="shared" si="31"/>
        <v>17250321.620745856</v>
      </c>
      <c r="U177" t="n">
        <f t="shared" si="32"/>
        <v>151856.65006538117</v>
      </c>
      <c r="V177" t="n">
        <f t="shared" si="33"/>
        <v>17488961.600617483</v>
      </c>
      <c r="W177" t="n">
        <f t="shared" si="26"/>
        <v>1709.850429506424</v>
      </c>
      <c r="X177" t="n">
        <f t="shared" si="27"/>
        <v>16190057.228076883</v>
      </c>
      <c r="Y177" t="n">
        <f t="shared" si="28"/>
        <v>0.78940923431393573</v>
      </c>
      <c r="Z177" t="n">
        <f t="shared" si="29"/>
        <v>12780580.679914972</v>
      </c>
    </row>
    <row r="178">
      <c r="B178" s="52" t="n">
        <v>2029</v>
      </c>
      <c r="C178" t="str">
        <f>tbl_detail_2022!C178</f>
        <v>fugitives</v>
      </c>
      <c r="D178" t="str">
        <f>tbl_detail_2022!D178</f>
        <v>Wellpad Fugitives</v>
      </c>
      <c r="E178" t="str">
        <f>tbl_detail_2022!E178</f>
        <v>3: Equipment = 1, no tanks</v>
      </c>
      <c r="F178" t="n">
        <f>tbl_detail_2022!F178</f>
        <v>25993.430193813601</v>
      </c>
      <c r="G178" t="n">
        <f>tbl_detail_2022!G178</f>
        <v>-22210.434849222402</v>
      </c>
      <c r="H178" t="n">
        <f>tbl_detail_2022!H178</f>
        <v>-6173.9390307134599</v>
      </c>
      <c r="I178" t="n">
        <f>tbl_detail_2022!I178</f>
        <v>-232.57228328697599</v>
      </c>
      <c r="J178" t="n">
        <f>tbl_detail_2022!J178</f>
        <v>-503724.18909946998</v>
      </c>
      <c r="K178" t="n">
        <f>tbl_detail_2022!K178</f>
        <v>14468728.742044101</v>
      </c>
      <c r="L178" t="n">
        <f>tbl_detail_2022!L178</f>
        <v>3834517.76999088</v>
      </c>
      <c r="M178" t="n">
        <f>tbl_detail_2022!M178</f>
        <v>10634210.9720532</v>
      </c>
      <c r="N178" t="n">
        <f>tbl_detail_2022!N178</f>
        <v>-141409.77199611699</v>
      </c>
      <c r="O178" t="n">
        <f>tbl_detail_2022!O178</f>
        <v>14340265.378097201</v>
      </c>
      <c r="P178" t="n">
        <f t="shared" si="23"/>
        <v>8</v>
      </c>
      <c r="Q178" t="n">
        <f t="shared" si="24"/>
        <v>0.5820091045650384</v>
      </c>
      <c r="R178" t="n">
        <f t="shared" si="25"/>
        <v>8420931.8593515214</v>
      </c>
      <c r="S178" t="n">
        <f t="shared" si="30"/>
        <v>2231724.2537511201</v>
      </c>
      <c r="T178" t="n">
        <f t="shared" si="31"/>
        <v>6189207.6056003897</v>
      </c>
      <c r="U178" t="n">
        <f t="shared" si="32"/>
        <v>-82301.774776206294</v>
      </c>
      <c r="V178" t="n">
        <f t="shared" si="33"/>
        <v>8346165.0119313737</v>
      </c>
      <c r="W178" t="n">
        <f t="shared" si="26"/>
        <v>1709.850429506424</v>
      </c>
      <c r="X178" t="n">
        <f t="shared" si="27"/>
        <v>37976521.566467375</v>
      </c>
      <c r="Y178" t="n">
        <f t="shared" si="28"/>
        <v>0.78940923431393573</v>
      </c>
      <c r="Z178" t="n">
        <f t="shared" si="29"/>
        <v>29979016.811691675</v>
      </c>
    </row>
    <row r="179">
      <c r="B179" s="52" t="n">
        <v>2029</v>
      </c>
      <c r="C179" t="str">
        <f>tbl_detail_2022!C179</f>
        <v>fugitives</v>
      </c>
      <c r="D179" t="str">
        <f>tbl_detail_2022!D179</f>
        <v>Wellpad Fugitives</v>
      </c>
      <c r="E179" t="str">
        <f>tbl_detail_2022!E179</f>
        <v>4: Equipment &gt; 1, no tanks</v>
      </c>
      <c r="F179" t="n">
        <f>tbl_detail_2022!F179</f>
        <v>34093.704671268199</v>
      </c>
      <c r="G179" t="n">
        <f>tbl_detail_2022!G179</f>
        <v>-59647.474451477297</v>
      </c>
      <c r="H179" t="n">
        <f>tbl_detail_2022!H179</f>
        <v>-16580.4889953495</v>
      </c>
      <c r="I179" t="n">
        <f>tbl_detail_2022!I179</f>
        <v>-624.58702045481505</v>
      </c>
      <c r="J179" t="n">
        <f>tbl_detail_2022!J179</f>
        <v>-1352781.965048</v>
      </c>
      <c r="K179" t="n">
        <f>tbl_detail_2022!K179</f>
        <v>118469262.57121199</v>
      </c>
      <c r="L179" t="n">
        <f>tbl_detail_2022!L179</f>
        <v>10297830.829155199</v>
      </c>
      <c r="M179" t="n">
        <f>tbl_detail_2022!M179</f>
        <v>108171431.742056</v>
      </c>
      <c r="N179" t="n">
        <f>tbl_detail_2022!N179</f>
        <v>9996.5028948159907</v>
      </c>
      <c r="O179" t="n">
        <f>tbl_detail_2022!O179</f>
        <v>114431945.990564</v>
      </c>
      <c r="P179" t="n">
        <f t="shared" si="23"/>
        <v>8</v>
      </c>
      <c r="Q179" t="n">
        <f t="shared" si="24"/>
        <v>0.5820091045650384</v>
      </c>
      <c r="R179" t="n">
        <f t="shared" si="25"/>
        <v>68950189.427551508</v>
      </c>
      <c r="S179" t="n">
        <f t="shared" si="30"/>
        <v>5993431.2998388642</v>
      </c>
      <c r="T179" t="n">
        <f t="shared" si="31"/>
        <v>62956758.127712183</v>
      </c>
      <c r="U179" t="n">
        <f t="shared" si="32"/>
        <v>5818.0556985936691</v>
      </c>
      <c r="V179" t="n">
        <f t="shared" si="33"/>
        <v>66600434.41960299</v>
      </c>
      <c r="W179" t="n">
        <f t="shared" si="26"/>
        <v>1709.850429506424</v>
      </c>
      <c r="X179" t="n">
        <f t="shared" si="27"/>
        <v>101988259.8098319</v>
      </c>
      <c r="Y179" t="n">
        <f t="shared" si="28"/>
        <v>0.78940923431393573</v>
      </c>
      <c r="Z179" t="n">
        <f t="shared" si="29"/>
        <v>80510474.085490152</v>
      </c>
    </row>
    <row r="180">
      <c r="B180" s="52" t="n">
        <v>2029</v>
      </c>
      <c r="C180" t="str">
        <f>tbl_detail_2022!C180</f>
        <v>fugitives</v>
      </c>
      <c r="D180" t="str">
        <f>tbl_detail_2022!D180</f>
        <v>Wellpad Fugitives</v>
      </c>
      <c r="E180" t="str">
        <f>tbl_detail_2022!E180</f>
        <v>5: Equipment = 1 and tanks</v>
      </c>
      <c r="F180" t="n">
        <f>tbl_detail_2022!F180</f>
        <v>57826.3379205971</v>
      </c>
      <c r="G180" t="n">
        <f>tbl_detail_2022!G180</f>
        <v>-69261.338084081406</v>
      </c>
      <c r="H180" t="n">
        <f>tbl_detail_2022!H180</f>
        <v>-19252.899883305101</v>
      </c>
      <c r="I180" t="n">
        <f>tbl_detail_2022!I180</f>
        <v>-725.25673860410302</v>
      </c>
      <c r="J180" t="n">
        <f>tbl_detail_2022!J180</f>
        <v>-1570820.72454649</v>
      </c>
      <c r="K180" t="n">
        <f>tbl_detail_2022!K180</f>
        <v>224581133.148895</v>
      </c>
      <c r="L180" t="n">
        <f>tbl_detail_2022!L180</f>
        <v>11957615.123688299</v>
      </c>
      <c r="M180" t="n">
        <f>tbl_detail_2022!M180</f>
        <v>212623518.02520701</v>
      </c>
      <c r="N180" t="n">
        <f>tbl_detail_2022!N180</f>
        <v>7183.7809625836999</v>
      </c>
      <c r="O180" t="n">
        <f>tbl_detail_2022!O180</f>
        <v>216249413.199009</v>
      </c>
      <c r="P180" t="n">
        <f t="shared" si="23"/>
        <v>8</v>
      </c>
      <c r="Q180" t="n">
        <f t="shared" si="24"/>
        <v>0.5820091045650384</v>
      </c>
      <c r="R180" t="n">
        <f t="shared" si="25"/>
        <v>130708264.20619003</v>
      </c>
      <c r="S180" t="n">
        <f t="shared" si="30"/>
        <v>6959440.8708711881</v>
      </c>
      <c r="T180" t="n">
        <f t="shared" si="31"/>
        <v>123748823.33531904</v>
      </c>
      <c r="U180" t="n">
        <f t="shared" si="32"/>
        <v>4181.0259254247085</v>
      </c>
      <c r="V180" t="n">
        <f t="shared" si="33"/>
        <v>125859127.33867022</v>
      </c>
      <c r="W180" t="n">
        <f t="shared" si="26"/>
        <v>1709.850429506424</v>
      </c>
      <c r="X180" t="n">
        <f t="shared" si="27"/>
        <v>118426528.67125623</v>
      </c>
      <c r="Y180" t="n">
        <f t="shared" si="28"/>
        <v>0.78940923431393573</v>
      </c>
      <c r="Z180" t="n">
        <f t="shared" si="29"/>
        <v>93486995.320833743</v>
      </c>
    </row>
    <row r="181">
      <c r="B181" s="52" t="n">
        <v>2029</v>
      </c>
      <c r="C181" t="str">
        <f>tbl_detail_2022!C181</f>
        <v>fugitives</v>
      </c>
      <c r="D181" t="str">
        <f>tbl_detail_2022!D181</f>
        <v>Wellpad Fugitives</v>
      </c>
      <c r="E181" t="str">
        <f>tbl_detail_2022!E181</f>
        <v>6: Equipment &gt; 1 and tanks</v>
      </c>
      <c r="F181" t="n">
        <f>tbl_detail_2022!F181</f>
        <v>145991.47985398499</v>
      </c>
      <c r="G181" t="n">
        <f>tbl_detail_2022!G181</f>
        <v>-175578.64335957999</v>
      </c>
      <c r="H181" t="n">
        <f>tbl_detail_2022!H181</f>
        <v>-48806.421241022101</v>
      </c>
      <c r="I181" t="n">
        <f>tbl_detail_2022!I181</f>
        <v>-1838.5378881493</v>
      </c>
      <c r="J181" t="n">
        <f>tbl_detail_2022!J181</f>
        <v>-3982056.64814283</v>
      </c>
      <c r="K181" t="n">
        <f>tbl_detail_2022!K181</f>
        <v>484784157.02667099</v>
      </c>
      <c r="L181" t="n">
        <f>tbl_detail_2022!L181</f>
        <v>30312753.107432701</v>
      </c>
      <c r="M181" t="n">
        <f>tbl_detail_2022!M181</f>
        <v>454471403.91923797</v>
      </c>
      <c r="N181" t="n">
        <f>tbl_detail_2022!N181</f>
        <v>52372.232140366999</v>
      </c>
      <c r="O181" t="n">
        <f>tbl_detail_2022!O181</f>
        <v>468908806.69587201</v>
      </c>
      <c r="P181" t="n">
        <f t="shared" si="23"/>
        <v>8</v>
      </c>
      <c r="Q181" t="n">
        <f t="shared" si="24"/>
        <v>0.5820091045650384</v>
      </c>
      <c r="R181" t="n">
        <f t="shared" si="25"/>
        <v>282148793.13840973</v>
      </c>
      <c r="S181" t="n">
        <f t="shared" si="30"/>
        <v>17642298.292957991</v>
      </c>
      <c r="T181" t="n">
        <f t="shared" si="31"/>
        <v>264506494.84545156</v>
      </c>
      <c r="U181" t="n">
        <f t="shared" si="32"/>
        <v>30481.115932087323</v>
      </c>
      <c r="V181" t="n">
        <f t="shared" si="33"/>
        <v>272909194.70772517</v>
      </c>
      <c r="W181" t="n">
        <f t="shared" si="26"/>
        <v>1709.850429506424</v>
      </c>
      <c r="X181" t="n">
        <f t="shared" si="27"/>
        <v>300213218.76053309</v>
      </c>
      <c r="Y181" t="n">
        <f t="shared" si="28"/>
        <v>0.78940923431393573</v>
      </c>
      <c r="Z181" t="n">
        <f t="shared" si="29"/>
        <v>236991087.15267453</v>
      </c>
    </row>
    <row r="182">
      <c r="B182" s="52" t="n">
        <v>2029</v>
      </c>
      <c r="C182" t="str">
        <f>tbl_detail_2022!C182</f>
        <v>compressors</v>
      </c>
      <c r="D182" t="str">
        <f>tbl_detail_2022!D182</f>
        <v>G&amp;B Station Recip Comp</v>
      </c>
      <c r="E182" t="n">
        <f>tbl_detail_2022!E182</f>
        <v>0</v>
      </c>
      <c r="F182" t="n">
        <f>tbl_detail_2022!F182</f>
        <v>25793.620846812599</v>
      </c>
      <c r="G182" t="n">
        <f>tbl_detail_2022!G182</f>
        <v>-177780.652549636</v>
      </c>
      <c r="H182" t="n">
        <f>tbl_detail_2022!H182</f>
        <v>-49418.524122377603</v>
      </c>
      <c r="I182" t="n">
        <f>tbl_detail_2022!I182</f>
        <v>-1861.8090899451099</v>
      </c>
      <c r="J182" t="n">
        <f>tbl_detail_2022!J182</f>
        <v>-4031997.3765067998</v>
      </c>
      <c r="K182" t="n">
        <f>tbl_detail_2022!K182</f>
        <v>31877647.120584302</v>
      </c>
      <c r="L182" t="n">
        <f>tbl_detail_2022!L182</f>
        <v>30692918.7109554</v>
      </c>
      <c r="M182" t="n">
        <f>tbl_detail_2022!M182</f>
        <v>1184728.4096289801</v>
      </c>
      <c r="N182" t="n">
        <f>tbl_detail_2022!N182</f>
        <v>0</v>
      </c>
      <c r="O182" t="n">
        <f>tbl_detail_2022!O182</f>
        <v>15398791.645547099</v>
      </c>
      <c r="P182" t="n">
        <f t="shared" si="23"/>
        <v>8</v>
      </c>
      <c r="Q182" t="n">
        <f t="shared" si="24"/>
        <v>0.5820091045650384</v>
      </c>
      <c r="R182" t="n">
        <f t="shared" si="25"/>
        <v>18553080.856291544</v>
      </c>
      <c r="S182" t="n">
        <f t="shared" si="30"/>
        <v>17863558.135450665</v>
      </c>
      <c r="T182" t="n">
        <f t="shared" si="31"/>
        <v>689522.72084092477</v>
      </c>
      <c r="U182" t="n">
        <f t="shared" si="32"/>
        <v>0</v>
      </c>
      <c r="V182" t="n">
        <f t="shared" si="33"/>
        <v>8962236.937008461</v>
      </c>
      <c r="W182" t="n">
        <f t="shared" si="26"/>
        <v>1709.850429506424</v>
      </c>
      <c r="X182" t="n">
        <f t="shared" si="27"/>
        <v>303978325.11992747</v>
      </c>
      <c r="Y182" t="n">
        <f t="shared" si="28"/>
        <v>0.78940923431393573</v>
      </c>
      <c r="Z182" t="n">
        <f t="shared" si="29"/>
        <v>239963296.88095456</v>
      </c>
    </row>
    <row r="183">
      <c r="B183" s="52" t="n">
        <v>2029</v>
      </c>
      <c r="C183" t="str">
        <f>tbl_detail_2022!C183</f>
        <v>compressors</v>
      </c>
      <c r="D183" t="str">
        <f>tbl_detail_2022!D183</f>
        <v>Proc Recip Comp</v>
      </c>
      <c r="E183" t="n">
        <f>tbl_detail_2022!E183</f>
        <v>0</v>
      </c>
      <c r="F183" t="n">
        <f>tbl_detail_2022!F183</f>
        <v>4091.42993692444</v>
      </c>
      <c r="G183" t="n">
        <f>tbl_detail_2022!G183</f>
        <v>-66747.9980727316</v>
      </c>
      <c r="H183" t="n">
        <f>tbl_detail_2022!H183</f>
        <v>-18554.254951655901</v>
      </c>
      <c r="I183" t="n">
        <f>tbl_detail_2022!I183</f>
        <v>-699.01886265578696</v>
      </c>
      <c r="J183" t="n">
        <f>tbl_detail_2022!J183</f>
        <v>-1513819.13192829</v>
      </c>
      <c r="K183" t="n">
        <f>tbl_detail_2022!K183</f>
        <v>7087281.0049604299</v>
      </c>
      <c r="L183" t="n">
        <f>tbl_detail_2022!L183</f>
        <v>10980628.9367045</v>
      </c>
      <c r="M183" t="n">
        <f>tbl_detail_2022!M183</f>
        <v>-3893347.9317440302</v>
      </c>
      <c r="N183" t="n">
        <f>tbl_detail_2022!N183</f>
        <v>14206885.891170301</v>
      </c>
      <c r="O183" t="n">
        <f>tbl_detail_2022!O183</f>
        <v>2442583.6723438902</v>
      </c>
      <c r="P183" t="n">
        <f t="shared" si="23"/>
        <v>8</v>
      </c>
      <c r="Q183" t="n">
        <f t="shared" si="24"/>
        <v>0.5820091045650384</v>
      </c>
      <c r="R183" t="n">
        <f t="shared" si="25"/>
        <v>4124862.0714978254</v>
      </c>
      <c r="S183" t="n">
        <f t="shared" si="30"/>
        <v>6390826.015012336</v>
      </c>
      <c r="T183" t="n">
        <f t="shared" si="31"/>
        <v>-2265963.9435144872</v>
      </c>
      <c r="U183" t="n">
        <f t="shared" si="32"/>
        <v>8268536.9361777045</v>
      </c>
      <c r="V183" t="n">
        <f t="shared" si="33"/>
        <v>1421605.9359660507</v>
      </c>
      <c r="W183" t="n">
        <f t="shared" si="26"/>
        <v>1709.850429506424</v>
      </c>
      <c r="X183" t="n">
        <f t="shared" si="27"/>
        <v>114129093.17335409</v>
      </c>
      <c r="Y183" t="n">
        <f t="shared" si="28"/>
        <v>0.78940923431393573</v>
      </c>
      <c r="Z183" t="n">
        <f t="shared" si="29"/>
        <v>90094560.054921284</v>
      </c>
    </row>
    <row r="184">
      <c r="B184" s="52" t="n">
        <v>2029</v>
      </c>
      <c r="C184" t="str">
        <f>tbl_detail_2022!C184</f>
        <v>compressors</v>
      </c>
      <c r="D184" t="str">
        <f>tbl_detail_2022!D184</f>
        <v>T&amp;S Recip Comp</v>
      </c>
      <c r="E184" t="str">
        <f>tbl_detail_2022!E184</f>
        <v>Reciprocating Compressors (Transmission)</v>
      </c>
      <c r="F184" t="n">
        <f>tbl_detail_2022!F184</f>
        <v>8657.5745788460008</v>
      </c>
      <c r="G184" t="n">
        <f>tbl_detail_2022!G184</f>
        <v>-103642.538406197</v>
      </c>
      <c r="H184" t="n">
        <f>tbl_detail_2022!H184</f>
        <v>-2868.27499610735</v>
      </c>
      <c r="I184" t="n">
        <f>tbl_detail_2022!I184</f>
        <v>-85.192628661427193</v>
      </c>
      <c r="J184" t="n">
        <f>tbl_detail_2022!J184</f>
        <v>-2350573.2314241398</v>
      </c>
      <c r="K184" t="n">
        <f>tbl_detail_2022!K184</f>
        <v>11521432.986258199</v>
      </c>
      <c r="L184" t="n">
        <f>tbl_detail_2022!L184</f>
        <v>15984471.7607182</v>
      </c>
      <c r="M184" t="n">
        <f>tbl_detail_2022!M184</f>
        <v>-4463038.7744600102</v>
      </c>
      <c r="N184" t="n">
        <f>tbl_detail_2022!N184</f>
        <v>0</v>
      </c>
      <c r="O184" t="n">
        <f>tbl_detail_2022!O184</f>
        <v>5168572.02357106</v>
      </c>
      <c r="P184" t="n">
        <f t="shared" si="23"/>
        <v>8</v>
      </c>
      <c r="Q184" t="n">
        <f t="shared" si="24"/>
        <v>0.5820091045650384</v>
      </c>
      <c r="R184" t="n">
        <f t="shared" si="25"/>
        <v>6705578.8956382312</v>
      </c>
      <c r="S184" t="n">
        <f t="shared" si="30"/>
        <v>9303108.0964007434</v>
      </c>
      <c r="T184" t="n">
        <f t="shared" si="31"/>
        <v>-2597529.2007625168</v>
      </c>
      <c r="U184" t="n">
        <f t="shared" si="32"/>
        <v>0</v>
      </c>
      <c r="V184" t="n">
        <f t="shared" si="33"/>
        <v>3008155.9753185012</v>
      </c>
      <c r="W184" t="n">
        <f t="shared" si="26"/>
        <v>1709.850429506424</v>
      </c>
      <c r="X184" t="n">
        <f t="shared" si="27"/>
        <v>177213238.80897197</v>
      </c>
      <c r="Y184" t="n">
        <f t="shared" si="28"/>
        <v>0.78940923431393573</v>
      </c>
      <c r="Z184" t="n">
        <f t="shared" si="29"/>
        <v>139893767.15848321</v>
      </c>
    </row>
    <row r="185">
      <c r="B185" s="52" t="n">
        <v>2029</v>
      </c>
      <c r="C185" t="str">
        <f>tbl_detail_2022!C185</f>
        <v>compressors</v>
      </c>
      <c r="D185" t="str">
        <f>tbl_detail_2022!D185</f>
        <v>T&amp;S Recip Comp</v>
      </c>
      <c r="E185" t="str">
        <f>tbl_detail_2022!E185</f>
        <v>Reciprocating Compressors (Storage)</v>
      </c>
      <c r="F185" t="n">
        <f>tbl_detail_2022!F185</f>
        <v>1401.2100441578</v>
      </c>
      <c r="G185" t="n">
        <f>tbl_detail_2022!G185</f>
        <v>-32530.074340247</v>
      </c>
      <c r="H185" t="n">
        <f>tbl_detail_2022!H185</f>
        <v>-900.259683779272</v>
      </c>
      <c r="I185" t="n">
        <f>tbl_detail_2022!I185</f>
        <v>-26.7392384074567</v>
      </c>
      <c r="J185" t="n">
        <f>tbl_detail_2022!J185</f>
        <v>-737769.67581344</v>
      </c>
      <c r="K185" t="n">
        <f>tbl_detail_2022!K185</f>
        <v>3525302.4427013001</v>
      </c>
      <c r="L185" t="n">
        <f>tbl_detail_2022!L185</f>
        <v>5017013.88890965</v>
      </c>
      <c r="M185" t="n">
        <f>tbl_detail_2022!M185</f>
        <v>-1491711.4462083499</v>
      </c>
      <c r="N185" t="n">
        <f>tbl_detail_2022!N185</f>
        <v>0</v>
      </c>
      <c r="O185" t="n">
        <f>tbl_detail_2022!O185</f>
        <v>836522.39636220702</v>
      </c>
      <c r="P185" t="n">
        <f t="shared" si="23"/>
        <v>8</v>
      </c>
      <c r="Q185" t="n">
        <f t="shared" si="24"/>
        <v>0.5820091045650384</v>
      </c>
      <c r="R185" t="n">
        <f t="shared" si="25"/>
        <v>2051758.1179975262</v>
      </c>
      <c r="S185" t="n">
        <f t="shared" si="30"/>
        <v>2919947.7610746664</v>
      </c>
      <c r="T185" t="n">
        <f t="shared" si="31"/>
        <v>-868189.64307714021</v>
      </c>
      <c r="U185" t="n">
        <f t="shared" si="32"/>
        <v>0</v>
      </c>
      <c r="V185" t="n">
        <f t="shared" si="33"/>
        <v>486863.65085536824</v>
      </c>
      <c r="W185" t="n">
        <f t="shared" si="26"/>
        <v>1709.850429506424</v>
      </c>
      <c r="X185" t="n">
        <f t="shared" si="27"/>
        <v>55621561.582547233</v>
      </c>
      <c r="Y185" t="n">
        <f t="shared" si="28"/>
        <v>0.78940923431393573</v>
      </c>
      <c r="Z185" t="n">
        <f t="shared" si="29"/>
        <v>43908174.340224035</v>
      </c>
    </row>
    <row r="186">
      <c r="B186" s="52" t="n">
        <v>2029</v>
      </c>
      <c r="C186" t="str">
        <f>tbl_detail_2022!C186</f>
        <v>compressors</v>
      </c>
      <c r="D186" t="str">
        <f>tbl_detail_2022!D186</f>
        <v>Wet Seal Centrifugal Compr</v>
      </c>
      <c r="E186" t="str">
        <f>tbl_detail_2022!E186</f>
        <v>G&amp;B WS Centrifugal Comp</v>
      </c>
      <c r="F186" t="n">
        <f>tbl_detail_2022!F186</f>
        <v>343.309882181273</v>
      </c>
      <c r="G186" t="n">
        <f>tbl_detail_2022!G186</f>
        <v>-76986.546455492105</v>
      </c>
      <c r="H186" t="n">
        <f>tbl_detail_2022!H186</f>
        <v>-21400.312399275499</v>
      </c>
      <c r="I186" t="n">
        <f>tbl_detail_2022!I186</f>
        <v>-806.24213005573199</v>
      </c>
      <c r="J186" t="n">
        <f>tbl_detail_2022!J186</f>
        <v>-1746025.5032430899</v>
      </c>
      <c r="K186" t="n">
        <f>tbl_detail_2022!K186</f>
        <v>8582747.0545318201</v>
      </c>
      <c r="L186" t="n">
        <f>tbl_detail_2022!L186</f>
        <v>13291332.764885001</v>
      </c>
      <c r="M186" t="n">
        <f>tbl_detail_2022!M186</f>
        <v>-4708585.7103531398</v>
      </c>
      <c r="N186" t="n">
        <f>tbl_detail_2022!N186</f>
        <v>0</v>
      </c>
      <c r="O186" t="n">
        <f>tbl_detail_2022!O186</f>
        <v>8582747.0545318201</v>
      </c>
      <c r="P186" t="n">
        <f t="shared" si="23"/>
        <v>8</v>
      </c>
      <c r="Q186" t="n">
        <f t="shared" si="24"/>
        <v>0.5820091045650384</v>
      </c>
      <c r="R186" t="n">
        <f t="shared" si="25"/>
        <v>4995236.9279162856</v>
      </c>
      <c r="S186" t="n">
        <f t="shared" si="30"/>
        <v>7735676.6809666753</v>
      </c>
      <c r="T186" t="n">
        <f t="shared" si="31"/>
        <v>-2740439.753050366</v>
      </c>
      <c r="U186" t="n">
        <f t="shared" si="32"/>
        <v>0</v>
      </c>
      <c r="V186" t="n">
        <f t="shared" si="33"/>
        <v>4995236.9279162856</v>
      </c>
      <c r="W186" t="n">
        <f t="shared" si="26"/>
        <v>1709.850429506424</v>
      </c>
      <c r="X186" t="n">
        <f t="shared" si="27"/>
        <v>131635479.52313945</v>
      </c>
      <c r="Y186" t="n">
        <f t="shared" si="28"/>
        <v>0.78940923431393573</v>
      </c>
      <c r="Z186" t="n">
        <f t="shared" si="29"/>
        <v>103914263.09890927</v>
      </c>
    </row>
    <row r="187">
      <c r="B187" s="52" t="n">
        <v>2029</v>
      </c>
      <c r="C187" t="str">
        <f>tbl_detail_2022!C187</f>
        <v>compressors</v>
      </c>
      <c r="D187" t="str">
        <f>tbl_detail_2022!D187</f>
        <v>Wet Seal Centrifugal Compr</v>
      </c>
      <c r="E187" t="str">
        <f>tbl_detail_2022!E187</f>
        <v>Proc WS Centrifugal Comp</v>
      </c>
      <c r="F187" t="n">
        <f>tbl_detail_2022!F187</f>
        <v>281.19799377330202</v>
      </c>
      <c r="G187" t="n">
        <f>tbl_detail_2022!G187</f>
        <v>-38310.415286891803</v>
      </c>
      <c r="H187" t="n">
        <f>tbl_detail_2022!H187</f>
        <v>-10649.326317806001</v>
      </c>
      <c r="I187" t="n">
        <f>tbl_detail_2022!I187</f>
        <v>-2960.2433221839501</v>
      </c>
      <c r="J187" t="n">
        <f>tbl_detail_2022!J187</f>
        <v>-868865.60328327504</v>
      </c>
      <c r="K187" t="n">
        <f>tbl_detail_2022!K187</f>
        <v>7029949.8443325497</v>
      </c>
      <c r="L187" t="n">
        <f>tbl_detail_2022!L187</f>
        <v>6302398.0766887702</v>
      </c>
      <c r="M187" t="n">
        <f>tbl_detail_2022!M187</f>
        <v>727551.76764378801</v>
      </c>
      <c r="N187" t="n">
        <f>tbl_detail_2022!N187</f>
        <v>0</v>
      </c>
      <c r="O187" t="n">
        <f>tbl_detail_2022!O187</f>
        <v>7029949.8443325497</v>
      </c>
      <c r="P187" t="n">
        <f t="shared" si="23"/>
        <v>8</v>
      </c>
      <c r="Q187" t="n">
        <f t="shared" si="24"/>
        <v>0.5820091045650384</v>
      </c>
      <c r="R187" t="n">
        <f t="shared" si="25"/>
        <v>4091494.8140371186</v>
      </c>
      <c r="S187" t="n">
        <f t="shared" si="30"/>
        <v>3668053.0612260513</v>
      </c>
      <c r="T187" t="n">
        <f t="shared" si="31"/>
        <v>423441.75281107193</v>
      </c>
      <c r="U187" t="n">
        <f t="shared" si="32"/>
        <v>0</v>
      </c>
      <c r="V187" t="n">
        <f t="shared" si="33"/>
        <v>4091494.8140371186</v>
      </c>
      <c r="W187" t="n">
        <f t="shared" si="26"/>
        <v>1709.850429506424</v>
      </c>
      <c r="X187" t="n">
        <f t="shared" si="27"/>
        <v>65505080.032861419</v>
      </c>
      <c r="Y187" t="n">
        <f t="shared" si="28"/>
        <v>0.78940923431393573</v>
      </c>
      <c r="Z187" t="n">
        <f t="shared" si="29"/>
        <v>51710315.072414212</v>
      </c>
    </row>
    <row r="188">
      <c r="B188" s="52" t="n">
        <v>2029</v>
      </c>
      <c r="C188" t="str">
        <f>tbl_detail_2022!C188</f>
        <v>compressors</v>
      </c>
      <c r="D188" t="str">
        <f>tbl_detail_2022!D188</f>
        <v>Wet Seal Centrifugal Compr</v>
      </c>
      <c r="E188" t="str">
        <f>tbl_detail_2022!E188</f>
        <v>T&amp;S WS Centrifugal Comp</v>
      </c>
      <c r="F188" t="n">
        <f>tbl_detail_2022!F188</f>
        <v>764.09874353634802</v>
      </c>
      <c r="G188" t="n">
        <f>tbl_detail_2022!G188</f>
        <v>-26885.485502129399</v>
      </c>
      <c r="H188" t="n">
        <f>tbl_detail_2022!H188</f>
        <v>-744.04744431996505</v>
      </c>
      <c r="I188" t="n">
        <f>tbl_detail_2022!I188</f>
        <v>-20.591281468777002</v>
      </c>
      <c r="J188" t="n">
        <f>tbl_detail_2022!J188</f>
        <v>-609752.55437557597</v>
      </c>
      <c r="K188" t="n">
        <f>tbl_detail_2022!K188</f>
        <v>19102468.588408701</v>
      </c>
      <c r="L188" t="n">
        <f>tbl_detail_2022!L188</f>
        <v>4146466.2134933802</v>
      </c>
      <c r="M188" t="n">
        <f>tbl_detail_2022!M188</f>
        <v>14956002.3749153</v>
      </c>
      <c r="N188" t="n">
        <f>tbl_detail_2022!N188</f>
        <v>0</v>
      </c>
      <c r="O188" t="n">
        <f>tbl_detail_2022!O188</f>
        <v>19102468.588408701</v>
      </c>
      <c r="P188" t="n">
        <f t="shared" si="23"/>
        <v>8</v>
      </c>
      <c r="Q188" t="n">
        <f t="shared" si="24"/>
        <v>0.5820091045650384</v>
      </c>
      <c r="R188" t="n">
        <f t="shared" si="25"/>
        <v>11117810.638121521</v>
      </c>
      <c r="S188" t="n">
        <f t="shared" si="30"/>
        <v>2413281.0880244677</v>
      </c>
      <c r="T188" t="n">
        <f t="shared" si="31"/>
        <v>8704529.5500970408</v>
      </c>
      <c r="U188" t="n">
        <f t="shared" si="32"/>
        <v>0</v>
      </c>
      <c r="V188" t="n">
        <f t="shared" si="33"/>
        <v>11117810.638121521</v>
      </c>
      <c r="W188" t="n">
        <f t="shared" si="26"/>
        <v>1709.850429506424</v>
      </c>
      <c r="X188" t="n">
        <f t="shared" si="27"/>
        <v>45970158.93330469</v>
      </c>
      <c r="Y188" t="n">
        <f t="shared" si="28"/>
        <v>0.78940923431393573</v>
      </c>
      <c r="Z188" t="n">
        <f t="shared" si="29"/>
        <v>36289267.964829989</v>
      </c>
    </row>
    <row r="189">
      <c r="B189" s="52" t="n">
        <v>2029</v>
      </c>
      <c r="C189" t="str">
        <f>tbl_detail_2022!C189</f>
        <v>compressors</v>
      </c>
      <c r="D189" t="str">
        <f>tbl_detail_2022!D189</f>
        <v>Dry Seal Centrifugal Compr</v>
      </c>
      <c r="E189" t="str">
        <f>tbl_detail_2022!E189</f>
        <v>G&amp;B DS Centrifugal Comp</v>
      </c>
      <c r="F189" t="n">
        <f>tbl_detail_2022!F189</f>
        <v>532.85020983413494</v>
      </c>
      <c r="G189" t="n">
        <f>tbl_detail_2022!G189</f>
        <v>-8592.9217487416608</v>
      </c>
      <c r="H189" t="n">
        <f>tbl_detail_2022!H189</f>
        <v>-2388.6148724948098</v>
      </c>
      <c r="I189" t="n">
        <f>tbl_detail_2022!I189</f>
        <v>-89.989431310741296</v>
      </c>
      <c r="J189" t="n">
        <f>tbl_detail_2022!J189</f>
        <v>-194884.18706181401</v>
      </c>
      <c r="K189" t="n">
        <f>tbl_detail_2022!K189</f>
        <v>7992753.1475120196</v>
      </c>
      <c r="L189" t="n">
        <f>tbl_detail_2022!L189</f>
        <v>1483523.9096115499</v>
      </c>
      <c r="M189" t="n">
        <f>tbl_detail_2022!M189</f>
        <v>6509229.2379004704</v>
      </c>
      <c r="N189" t="n">
        <f>tbl_detail_2022!N189</f>
        <v>0</v>
      </c>
      <c r="O189" t="n">
        <f>tbl_detail_2022!O189</f>
        <v>7992753.1475120196</v>
      </c>
      <c r="P189" t="n">
        <f t="shared" si="23"/>
        <v>8</v>
      </c>
      <c r="Q189" t="n">
        <f t="shared" si="24"/>
        <v>0.5820091045650384</v>
      </c>
      <c r="R189" t="n">
        <f t="shared" si="25"/>
        <v>4651855.1023928626</v>
      </c>
      <c r="S189" t="n">
        <f t="shared" si="30"/>
        <v>863424.42223384313</v>
      </c>
      <c r="T189" t="n">
        <f t="shared" si="31"/>
        <v>3788430.6801590202</v>
      </c>
      <c r="U189" t="n">
        <f t="shared" si="32"/>
        <v>0</v>
      </c>
      <c r="V189" t="n">
        <f t="shared" si="33"/>
        <v>4651855.1023928626</v>
      </c>
      <c r="W189" t="n">
        <f t="shared" si="26"/>
        <v>1709.850429506424</v>
      </c>
      <c r="X189" t="n">
        <f t="shared" si="27"/>
        <v>14692610.942801021</v>
      </c>
      <c r="Y189" t="n">
        <f t="shared" si="28"/>
        <v>0.78940923431393573</v>
      </c>
      <c r="Z189" t="n">
        <f t="shared" si="29"/>
        <v>11598482.754429108</v>
      </c>
    </row>
    <row r="190">
      <c r="B190" s="52" t="n">
        <v>2029</v>
      </c>
      <c r="C190" t="str">
        <f>tbl_detail_2022!C190</f>
        <v>compressors</v>
      </c>
      <c r="D190" t="str">
        <f>tbl_detail_2022!D190</f>
        <v>Dry Seal Centrifugal Compr</v>
      </c>
      <c r="E190" t="str">
        <f>tbl_detail_2022!E190</f>
        <v>Proc DS Centrifugal Comp</v>
      </c>
      <c r="F190" t="n">
        <f>tbl_detail_2022!F190</f>
        <v>411.13301254768299</v>
      </c>
      <c r="G190" t="n">
        <f>tbl_detail_2022!G190</f>
        <v>-3199.5634153660799</v>
      </c>
      <c r="H190" t="n">
        <f>tbl_detail_2022!H190</f>
        <v>-889.39769066940096</v>
      </c>
      <c r="I190" t="n">
        <f>tbl_detail_2022!I190</f>
        <v>-247.23005906652901</v>
      </c>
      <c r="J190" t="n">
        <f>tbl_detail_2022!J190</f>
        <v>-72564.877627059803</v>
      </c>
      <c r="K190" t="n">
        <f>tbl_detail_2022!K190</f>
        <v>6166995.1882152399</v>
      </c>
      <c r="L190" t="n">
        <f>tbl_detail_2022!L190</f>
        <v>526356.14007939305</v>
      </c>
      <c r="M190" t="n">
        <f>tbl_detail_2022!M190</f>
        <v>5640639.0481358496</v>
      </c>
      <c r="N190" t="n">
        <f>tbl_detail_2022!N190</f>
        <v>0</v>
      </c>
      <c r="O190" t="n">
        <f>tbl_detail_2022!O190</f>
        <v>6166995.1882152399</v>
      </c>
      <c r="P190" t="n">
        <f t="shared" si="23"/>
        <v>8</v>
      </c>
      <c r="Q190" t="n">
        <f t="shared" si="24"/>
        <v>0.5820091045650384</v>
      </c>
      <c r="R190" t="n">
        <f t="shared" si="25"/>
        <v>3589247.3473500521</v>
      </c>
      <c r="S190" t="n">
        <f t="shared" si="30"/>
        <v>306344.06576991745</v>
      </c>
      <c r="T190" t="n">
        <f t="shared" si="31"/>
        <v>3282903.2815801366</v>
      </c>
      <c r="U190" t="n">
        <f t="shared" si="32"/>
        <v>0</v>
      </c>
      <c r="V190" t="n">
        <f t="shared" si="33"/>
        <v>3589247.3473500521</v>
      </c>
      <c r="W190" t="n">
        <f t="shared" si="26"/>
        <v>1709.850429506424</v>
      </c>
      <c r="X190" t="n">
        <f t="shared" si="27"/>
        <v>5470774.8799967328</v>
      </c>
      <c r="Y190" t="n">
        <f t="shared" si="28"/>
        <v>0.78940923431393573</v>
      </c>
      <c r="Z190" t="n">
        <f t="shared" si="29"/>
        <v>4318680.2091221344</v>
      </c>
    </row>
    <row r="191">
      <c r="B191" s="52" t="n">
        <v>2029</v>
      </c>
      <c r="C191" t="str">
        <f>tbl_detail_2022!C191</f>
        <v>compressors</v>
      </c>
      <c r="D191" t="str">
        <f>tbl_detail_2022!D191</f>
        <v>Dry Seal Centrifugal Compr</v>
      </c>
      <c r="E191" t="str">
        <f>tbl_detail_2022!E191</f>
        <v>T&amp;S DS Centrifugal Comp</v>
      </c>
      <c r="F191" t="n">
        <f>tbl_detail_2022!F191</f>
        <v>2880.3290922873898</v>
      </c>
      <c r="G191" t="n">
        <f>tbl_detail_2022!G191</f>
        <v>-51996.160111191602</v>
      </c>
      <c r="H191" t="n">
        <f>tbl_detail_2022!H191</f>
        <v>-1438.97754950788</v>
      </c>
      <c r="I191" t="n">
        <f>tbl_detail_2022!I191</f>
        <v>-39.823255862734698</v>
      </c>
      <c r="J191" t="n">
        <f>tbl_detail_2022!J191</f>
        <v>-1179253.0747867399</v>
      </c>
      <c r="K191" t="n">
        <f>tbl_detail_2022!K191</f>
        <v>43204936.384310797</v>
      </c>
      <c r="L191" t="n">
        <f>tbl_detail_2022!L191</f>
        <v>8019208.7702999599</v>
      </c>
      <c r="M191" t="n">
        <f>tbl_detail_2022!M191</f>
        <v>35185727.6140109</v>
      </c>
      <c r="N191" t="n">
        <f>tbl_detail_2022!N191</f>
        <v>0</v>
      </c>
      <c r="O191" t="n">
        <f>tbl_detail_2022!O191</f>
        <v>43204936.384310797</v>
      </c>
      <c r="P191" t="n">
        <f t="shared" si="23"/>
        <v>8</v>
      </c>
      <c r="Q191" t="n">
        <f t="shared" si="24"/>
        <v>0.5820091045650384</v>
      </c>
      <c r="R191" t="n">
        <f t="shared" si="25"/>
        <v>25145666.337822177</v>
      </c>
      <c r="S191" t="n">
        <f t="shared" si="30"/>
        <v>4667252.5157223828</v>
      </c>
      <c r="T191" t="n">
        <f t="shared" si="31"/>
        <v>20478413.822099831</v>
      </c>
      <c r="U191" t="n">
        <f t="shared" si="32"/>
        <v>0</v>
      </c>
      <c r="V191" t="n">
        <f t="shared" si="33"/>
        <v>25145666.337822177</v>
      </c>
      <c r="W191" t="n">
        <f t="shared" si="26"/>
        <v>1709.850429506424</v>
      </c>
      <c r="X191" t="n">
        <f t="shared" si="27"/>
        <v>88905656.698805749</v>
      </c>
      <c r="Y191" t="n">
        <f t="shared" si="28"/>
        <v>0.78940923431393573</v>
      </c>
      <c r="Z191" t="n">
        <f t="shared" si="29"/>
        <v>70182946.380781874</v>
      </c>
    </row>
    <row r="192">
      <c r="B192" s="52" t="n">
        <v>2029</v>
      </c>
      <c r="C192" t="str">
        <f>tbl_detail_2022!C192</f>
        <v>liquids_unloading</v>
      </c>
      <c r="D192" t="n">
        <f>tbl_detail_2022!D192</f>
        <v>0</v>
      </c>
      <c r="E192" t="n">
        <f>tbl_detail_2022!E192</f>
        <v>0</v>
      </c>
      <c r="F192" t="n">
        <f>tbl_detail_2022!F192</f>
        <v>254801.06183254599</v>
      </c>
      <c r="G192" t="n">
        <f>tbl_detail_2022!G192</f>
        <v>-25216.995778223001</v>
      </c>
      <c r="H192" t="n">
        <f>tbl_detail_2022!H192</f>
        <v>-7009.6869163649399</v>
      </c>
      <c r="I192" t="n">
        <f>tbl_detail_2022!I192</f>
        <v>-264.085159367355</v>
      </c>
      <c r="J192" t="n">
        <f>tbl_detail_2022!J192</f>
        <v>-571911.84396620805</v>
      </c>
      <c r="K192" t="n">
        <f>tbl_detail_2022!K192</f>
        <v>16562069.0191155</v>
      </c>
      <c r="L192" t="n">
        <f>tbl_detail_2022!L192</f>
        <v>4353585.1087024603</v>
      </c>
      <c r="M192" t="n">
        <f>tbl_detail_2022!M192</f>
        <v>12208483.910413001</v>
      </c>
      <c r="N192" t="n">
        <f>tbl_detail_2022!N192</f>
        <v>0</v>
      </c>
      <c r="O192" t="n">
        <f>tbl_detail_2022!O192</f>
        <v>16562069.0191155</v>
      </c>
      <c r="P192" t="n">
        <f t="shared" si="23"/>
        <v>8</v>
      </c>
      <c r="Q192" t="n">
        <f t="shared" si="24"/>
        <v>0.5820091045650384</v>
      </c>
      <c r="R192" t="n">
        <f t="shared" si="25"/>
        <v>9639274.9595597759</v>
      </c>
      <c r="S192" t="n">
        <f t="shared" si="30"/>
        <v>2533826.1707636043</v>
      </c>
      <c r="T192" t="n">
        <f t="shared" si="31"/>
        <v>7105448.7887961492</v>
      </c>
      <c r="U192" t="n">
        <f t="shared" si="32"/>
        <v>0</v>
      </c>
      <c r="V192" t="n">
        <f t="shared" si="33"/>
        <v>9639274.9595597759</v>
      </c>
      <c r="W192" t="n">
        <f t="shared" si="26"/>
        <v>1709.850429506424</v>
      </c>
      <c r="X192" t="n">
        <f t="shared" si="27"/>
        <v>43117291.062256277</v>
      </c>
      <c r="Y192" t="n">
        <f t="shared" si="28"/>
        <v>0.78940923431393573</v>
      </c>
      <c r="Z192" t="n">
        <f t="shared" si="29"/>
        <v>34037187.723146833</v>
      </c>
    </row>
    <row r="193">
      <c r="B193" s="52" t="n">
        <v>2029</v>
      </c>
      <c r="C193" t="str">
        <f>tbl_detail_2022!C193</f>
        <v>pneucontr</v>
      </c>
      <c r="D193" t="str">
        <f>tbl_detail_2022!D193</f>
        <v>G&amp;B Pneumatic Controllers</v>
      </c>
      <c r="E193" t="n">
        <f>tbl_detail_2022!E193</f>
        <v>0</v>
      </c>
      <c r="F193" t="n">
        <f>tbl_detail_2022!F193</f>
        <v>5031.7310907802703</v>
      </c>
      <c r="G193" t="n">
        <f>tbl_detail_2022!G193</f>
        <v>-316138.43506152701</v>
      </c>
      <c r="H193" t="n">
        <f>tbl_detail_2022!H193</f>
        <v>-87878.487593112906</v>
      </c>
      <c r="I193" t="n">
        <f>tbl_detail_2022!I193</f>
        <v>-3310.3826276325599</v>
      </c>
      <c r="J193" t="n">
        <f>tbl_detail_2022!J193</f>
        <v>-7169899.1003824603</v>
      </c>
      <c r="K193" t="n">
        <f>tbl_detail_2022!K193</f>
        <v>71695355.596629098</v>
      </c>
      <c r="L193" t="n">
        <f>tbl_detail_2022!L193</f>
        <v>54579680.913495198</v>
      </c>
      <c r="M193" t="n">
        <f>tbl_detail_2022!M193</f>
        <v>17115674.6831339</v>
      </c>
      <c r="N193" t="n">
        <f>tbl_detail_2022!N193</f>
        <v>20411758.798652701</v>
      </c>
      <c r="O193" t="n">
        <f>tbl_detail_2022!O193</f>
        <v>-12853385.9858859</v>
      </c>
      <c r="P193" t="n">
        <f t="shared" si="23"/>
        <v>8</v>
      </c>
      <c r="Q193" t="n">
        <f t="shared" si="24"/>
        <v>0.5820091045650384</v>
      </c>
      <c r="R193" t="n">
        <f t="shared" si="25"/>
        <v>41727349.712266117</v>
      </c>
      <c r="S193" t="n">
        <f t="shared" si="30"/>
        <v>31765871.215908859</v>
      </c>
      <c r="T193" t="n">
        <f t="shared" si="31"/>
        <v>9961478.4963572584</v>
      </c>
      <c r="U193" t="n">
        <f t="shared" si="32"/>
        <v>11879829.461001402</v>
      </c>
      <c r="V193" t="n">
        <f t="shared" si="33"/>
        <v>-7480787.6682742657</v>
      </c>
      <c r="W193" t="n">
        <f t="shared" si="26"/>
        <v>1709.850429506424</v>
      </c>
      <c r="X193" t="n">
        <f t="shared" si="27"/>
        <v>540549438.97344065</v>
      </c>
      <c r="Y193" t="n">
        <f t="shared" si="28"/>
        <v>0.78940923431393573</v>
      </c>
      <c r="Z193" t="n">
        <f t="shared" si="29"/>
        <v>426714718.72885132</v>
      </c>
    </row>
    <row r="194">
      <c r="B194" s="52" t="n">
        <v>2029</v>
      </c>
      <c r="C194" t="str">
        <f>tbl_detail_2022!C194</f>
        <v>pneucontr</v>
      </c>
      <c r="D194" t="str">
        <f>tbl_detail_2022!D194</f>
        <v>T&amp;S Pneumatic Controllers</v>
      </c>
      <c r="E194" t="n">
        <f>tbl_detail_2022!E194</f>
        <v>0</v>
      </c>
      <c r="F194" t="n">
        <f>tbl_detail_2022!F194</f>
        <v>48442.5442176871</v>
      </c>
      <c r="G194" t="n">
        <f>tbl_detail_2022!G194</f>
        <v>-72803.577802425294</v>
      </c>
      <c r="H194" t="n">
        <f>tbl_detail_2022!H194</f>
        <v>-2014.8163586986</v>
      </c>
      <c r="I194" t="n">
        <f>tbl_detail_2022!I194</f>
        <v>-59.843460651620902</v>
      </c>
      <c r="J194" t="n">
        <f>tbl_detail_2022!J194</f>
        <v>-1651157.3699940699</v>
      </c>
      <c r="K194" t="n">
        <f>tbl_detail_2022!K194</f>
        <v>20942367.609234501</v>
      </c>
      <c r="L194" t="n">
        <f>tbl_detail_2022!L194</f>
        <v>11228273.1719791</v>
      </c>
      <c r="M194" t="n">
        <f>tbl_detail_2022!M194</f>
        <v>9714094.4372553099</v>
      </c>
      <c r="N194" t="n">
        <f>tbl_detail_2022!N194</f>
        <v>7315027.0998198502</v>
      </c>
      <c r="O194" t="n">
        <f>tbl_detail_2022!O194</f>
        <v>-15276380.4335876</v>
      </c>
      <c r="P194" t="n">
        <f t="shared" si="23"/>
        <v>8</v>
      </c>
      <c r="Q194" t="n">
        <f t="shared" si="24"/>
        <v>0.5820091045650384</v>
      </c>
      <c r="R194" t="n">
        <f t="shared" si="25"/>
        <v>12188648.619722435</v>
      </c>
      <c r="S194" t="n">
        <f t="shared" si="30"/>
        <v>6534957.2146351989</v>
      </c>
      <c r="T194" t="n">
        <f t="shared" si="31"/>
        <v>5653691.4050871832</v>
      </c>
      <c r="U194" t="n">
        <f t="shared" si="32"/>
        <v>4257412.3722351408</v>
      </c>
      <c r="V194" t="n">
        <f t="shared" si="33"/>
        <v>-8890992.4971471913</v>
      </c>
      <c r="W194" t="n">
        <f t="shared" si="26"/>
        <v>1709.850429506424</v>
      </c>
      <c r="X194" t="n">
        <f t="shared" si="27"/>
        <v>124483228.77508125</v>
      </c>
      <c r="Y194" t="n">
        <f t="shared" si="28"/>
        <v>0.78940923431393573</v>
      </c>
      <c r="Z194" t="n">
        <f t="shared" si="29"/>
        <v>98268210.312263384</v>
      </c>
    </row>
    <row r="195">
      <c r="B195" s="52" t="n">
        <v>2029</v>
      </c>
      <c r="C195" t="str">
        <f>tbl_detail_2022!C195</f>
        <v>pneucontr</v>
      </c>
      <c r="D195" t="str">
        <f>tbl_detail_2022!D195</f>
        <v>Well Pad Pneumatic Controllers</v>
      </c>
      <c r="E195" t="n">
        <f>tbl_detail_2022!E195</f>
        <v>0</v>
      </c>
      <c r="F195" t="n">
        <f>tbl_detail_2022!F195</f>
        <v>1314968.98250504</v>
      </c>
      <c r="G195" t="n">
        <f>tbl_detail_2022!G195</f>
        <v>-1716686.9531139601</v>
      </c>
      <c r="H195" t="n">
        <f>tbl_detail_2022!H195</f>
        <v>-477195.545935829</v>
      </c>
      <c r="I195" t="n">
        <f>tbl_detail_2022!I195</f>
        <v>-17975.956215402701</v>
      </c>
      <c r="J195" t="n">
        <f>tbl_detail_2022!J195</f>
        <v>-38933805.180552103</v>
      </c>
      <c r="K195" t="n">
        <f>tbl_detail_2022!K195</f>
        <v>898458486.63074398</v>
      </c>
      <c r="L195" t="n">
        <f>tbl_detail_2022!L195</f>
        <v>296377206.11568499</v>
      </c>
      <c r="M195" t="n">
        <f>tbl_detail_2022!M195</f>
        <v>602081280.51505899</v>
      </c>
      <c r="N195" t="n">
        <f>tbl_detail_2022!N195</f>
        <v>149543899.22619501</v>
      </c>
      <c r="O195" t="n">
        <f>tbl_detail_2022!O195</f>
        <v>-78898138.950302303</v>
      </c>
      <c r="P195" t="n">
        <f t="shared" si="23"/>
        <v>8</v>
      </c>
      <c r="Q195" t="n">
        <f t="shared" si="24"/>
        <v>0.5820091045650384</v>
      </c>
      <c r="R195" t="n">
        <f t="shared" si="25"/>
        <v>522911019.29281884</v>
      </c>
      <c r="S195" t="n">
        <f t="shared" si="30"/>
        <v>172494232.34487763</v>
      </c>
      <c r="T195" t="n">
        <f t="shared" si="31"/>
        <v>350416786.94794118</v>
      </c>
      <c r="U195" t="n">
        <f t="shared" si="32"/>
        <v>87035910.881802097</v>
      </c>
      <c r="V195" t="n">
        <f t="shared" si="33"/>
        <v>-45919435.202313423</v>
      </c>
      <c r="W195" t="n">
        <f t="shared" si="26"/>
        <v>1709.850429506424</v>
      </c>
      <c r="X195" t="n">
        <f t="shared" si="27"/>
        <v>2935277924.1099792</v>
      </c>
      <c r="Y195" t="n">
        <f t="shared" si="28"/>
        <v>0.78940923431393573</v>
      </c>
      <c r="Z195" t="n">
        <f t="shared" si="29"/>
        <v>2317135498.5702572</v>
      </c>
    </row>
    <row r="196">
      <c r="B196" s="52" t="n">
        <v>2029</v>
      </c>
      <c r="C196" t="str">
        <f>tbl_detail_2022!C196</f>
        <v>pumps</v>
      </c>
      <c r="D196" t="str">
        <f>tbl_detail_2022!D196</f>
        <v>G&amp;B Pneumatic Pumps</v>
      </c>
      <c r="E196" t="n">
        <f>tbl_detail_2022!E196</f>
        <v>0</v>
      </c>
      <c r="F196" t="n">
        <f>tbl_detail_2022!F196</f>
        <v>538.98351386735999</v>
      </c>
      <c r="G196" t="n">
        <f>tbl_detail_2022!G196</f>
        <v>-43068.716287257201</v>
      </c>
      <c r="H196" t="n">
        <f>tbl_detail_2022!H196</f>
        <v>-11972.013618541599</v>
      </c>
      <c r="I196" t="n">
        <f>tbl_detail_2022!I196</f>
        <v>-450.985753010461</v>
      </c>
      <c r="J196" t="n">
        <f>tbl_detail_2022!J196</f>
        <v>-976782.05467972904</v>
      </c>
      <c r="K196" t="n">
        <f>tbl_detail_2022!K196</f>
        <v>26325581.177196801</v>
      </c>
      <c r="L196" t="n">
        <f>tbl_detail_2022!L196</f>
        <v>7435593.1820022399</v>
      </c>
      <c r="M196" t="n">
        <f>tbl_detail_2022!M196</f>
        <v>18889987.995194599</v>
      </c>
      <c r="N196" t="n">
        <f>tbl_detail_2022!N196</f>
        <v>6511360.3225827496</v>
      </c>
      <c r="O196" t="n">
        <f>tbl_detail_2022!O196</f>
        <v>-1376815.06002182</v>
      </c>
      <c r="P196" t="n">
        <f t="shared" ref="P196:P259" si="34">B196-2021</f>
        <v>8</v>
      </c>
      <c r="Q196" t="n">
        <f t="shared" ref="Q196:Q259" si="35" xml:space="preserve"> 1/(1+0.07)^P196</f>
        <v>0.5820091045650384</v>
      </c>
      <c r="R196" t="n">
        <f t="shared" ref="R196:R259" si="36">K196*$Q196</f>
        <v>15321727.92809454</v>
      </c>
      <c r="S196" t="n">
        <f t="shared" si="30"/>
        <v>4327582.9297670284</v>
      </c>
      <c r="T196" t="n">
        <f t="shared" si="31"/>
        <v>10994144.998327533</v>
      </c>
      <c r="U196" t="n">
        <f t="shared" si="32"/>
        <v>3789670.9908467056</v>
      </c>
      <c r="V196" t="n">
        <f t="shared" si="33"/>
        <v>-801318.90023495909</v>
      </c>
      <c r="W196" t="n">
        <f t="shared" ref="W196:W259" si="37">VLOOKUP(B196, $AD$3:$AE$15, 2)</f>
        <v>1709.850429506424</v>
      </c>
      <c r="X196" t="n">
        <f t="shared" ref="X196:X259" si="38" xml:space="preserve"> -W196*G196</f>
        <v>73641063.042057037</v>
      </c>
      <c r="Y196" t="n">
        <f t="shared" ref="Y196:Y259" si="39">1/(1+0.03)^P196</f>
        <v>0.78940923431393573</v>
      </c>
      <c r="Z196" t="n">
        <f t="shared" ref="Z196:Z259" si="40">X196*Y196</f>
        <v>58132935.190094516</v>
      </c>
    </row>
    <row r="197">
      <c r="B197" s="52" t="n">
        <v>2029</v>
      </c>
      <c r="C197" t="str">
        <f>tbl_detail_2022!C197</f>
        <v>pumps</v>
      </c>
      <c r="D197" t="str">
        <f>tbl_detail_2022!D197</f>
        <v>Well Pad Pumps</v>
      </c>
      <c r="E197" t="n">
        <f>tbl_detail_2022!E197</f>
        <v>0</v>
      </c>
      <c r="F197" t="n">
        <f>tbl_detail_2022!F197</f>
        <v>99769.781818884599</v>
      </c>
      <c r="G197" t="n">
        <f>tbl_detail_2022!G197</f>
        <v>-167293.15599926299</v>
      </c>
      <c r="H197" t="n">
        <f>tbl_detail_2022!H197</f>
        <v>-46503.265352827802</v>
      </c>
      <c r="I197" t="n">
        <f>tbl_detail_2022!I197</f>
        <v>-1751.7780058410201</v>
      </c>
      <c r="J197" t="n">
        <f>tbl_detail_2022!J197</f>
        <v>-3794144.9557242701</v>
      </c>
      <c r="K197" t="n">
        <f>tbl_detail_2022!K197</f>
        <v>139256210.71489</v>
      </c>
      <c r="L197" t="n">
        <f>tbl_detail_2022!L197</f>
        <v>28882306.1696826</v>
      </c>
      <c r="M197" t="n">
        <f>tbl_detail_2022!M197</f>
        <v>110373904.54520699</v>
      </c>
      <c r="N197" t="n">
        <f>tbl_detail_2022!N197</f>
        <v>17598582.577899199</v>
      </c>
      <c r="O197" t="n">
        <f>tbl_detail_2022!O197</f>
        <v>-5986186.9091330701</v>
      </c>
      <c r="P197" t="n">
        <f t="shared" si="34"/>
        <v>8</v>
      </c>
      <c r="Q197" t="n">
        <f t="shared" si="35"/>
        <v>0.5820091045650384</v>
      </c>
      <c r="R197" t="n">
        <f t="shared" si="36"/>
        <v>81048382.50329344</v>
      </c>
      <c r="S197" t="n">
        <f t="shared" si="30"/>
        <v>16809765.151590254</v>
      </c>
      <c r="T197" t="n">
        <f t="shared" si="31"/>
        <v>64238617.351702943</v>
      </c>
      <c r="U197" t="n">
        <f t="shared" si="32"/>
        <v>10242535.287776997</v>
      </c>
      <c r="V197" t="n">
        <f t="shared" si="33"/>
        <v>-3484015.2827434931</v>
      </c>
      <c r="W197" t="n">
        <f t="shared" si="37"/>
        <v>1709.850429506424</v>
      </c>
      <c r="X197" t="n">
        <f t="shared" si="38"/>
        <v>286046274.638825</v>
      </c>
      <c r="Y197" t="n">
        <f t="shared" si="39"/>
        <v>0.78940923431393573</v>
      </c>
      <c r="Z197" t="n">
        <f t="shared" si="40"/>
        <v>225807570.64098862</v>
      </c>
    </row>
    <row r="198">
      <c r="B198" s="52" t="n">
        <v>2029</v>
      </c>
      <c r="C198" t="str">
        <f>tbl_detail_2022!C198</f>
        <v>Storage vessels</v>
      </c>
      <c r="D198" t="n">
        <f>tbl_detail_2022!D198</f>
        <v>0</v>
      </c>
      <c r="E198" t="n">
        <f>tbl_detail_2022!E198</f>
        <v>0</v>
      </c>
      <c r="F198" t="n">
        <f>tbl_detail_2022!F198</f>
        <v>9575.6026385212208</v>
      </c>
      <c r="G198" t="n">
        <f>tbl_detail_2022!G198</f>
        <v>-14350.924945573601</v>
      </c>
      <c r="H198" t="n">
        <f>tbl_detail_2022!H198</f>
        <v>-68318.056394679807</v>
      </c>
      <c r="I198" t="n">
        <f>tbl_detail_2022!I198</f>
        <v>-2573.54118438759</v>
      </c>
      <c r="J198" t="n">
        <f>tbl_detail_2022!J198</f>
        <v>-325473.502887743</v>
      </c>
      <c r="K198" t="n">
        <f>tbl_detail_2022!K198</f>
        <v>296676345.83942997</v>
      </c>
      <c r="L198" t="n">
        <f>tbl_detail_2022!L198</f>
        <v>0</v>
      </c>
      <c r="M198" t="n">
        <f>tbl_detail_2022!M198</f>
        <v>296676345.83942997</v>
      </c>
      <c r="N198" t="n">
        <f>tbl_detail_2022!N198</f>
        <v>104524116.919688</v>
      </c>
      <c r="O198" t="n">
        <f>tbl_detail_2022!O198</f>
        <v>218706764.263825</v>
      </c>
      <c r="P198" t="n">
        <f t="shared" si="34"/>
        <v>8</v>
      </c>
      <c r="Q198" t="n">
        <f t="shared" si="35"/>
        <v>0.5820091045650384</v>
      </c>
      <c r="R198" t="n">
        <f t="shared" si="36"/>
        <v>172668334.38763431</v>
      </c>
      <c r="S198" t="n">
        <f t="shared" si="30"/>
        <v>0</v>
      </c>
      <c r="T198" t="n">
        <f t="shared" si="31"/>
        <v>172668334.38763431</v>
      </c>
      <c r="U198" t="n">
        <f t="shared" si="32"/>
        <v>60833987.693878993</v>
      </c>
      <c r="V198" t="n">
        <f t="shared" si="33"/>
        <v>127289328.03150573</v>
      </c>
      <c r="W198" t="n">
        <f t="shared" si="37"/>
        <v>1709.850429506424</v>
      </c>
      <c r="X198" t="n">
        <f t="shared" si="38"/>
        <v>24537935.182003476</v>
      </c>
      <c r="Y198" t="n">
        <f t="shared" si="39"/>
        <v>0.78940923431393573</v>
      </c>
      <c r="Z198" t="n">
        <f t="shared" si="40"/>
        <v>19370472.623670347</v>
      </c>
    </row>
    <row r="199">
      <c r="B199" s="52" t="n">
        <v>2030</v>
      </c>
      <c r="C199" t="str">
        <f>tbl_detail_2022!C199</f>
        <v>fugitives</v>
      </c>
      <c r="D199" t="str">
        <f>tbl_detail_2022!D199</f>
        <v>G&amp;B Stations</v>
      </c>
      <c r="E199" t="n">
        <f>tbl_detail_2022!E199</f>
        <v>0</v>
      </c>
      <c r="F199" t="n">
        <f>tbl_detail_2022!F199</f>
        <v>5085.6168733854402</v>
      </c>
      <c r="G199" t="n">
        <f>tbl_detail_2022!G199</f>
        <v>-67667.312392725202</v>
      </c>
      <c r="H199" t="n">
        <f>tbl_detail_2022!H199</f>
        <v>-18809.801076878699</v>
      </c>
      <c r="I199" t="n">
        <f>tbl_detail_2022!I199</f>
        <v>-708.64638810883298</v>
      </c>
      <c r="J199" t="n">
        <f>tbl_detail_2022!J199</f>
        <v>-1534668.8299873299</v>
      </c>
      <c r="K199" t="n">
        <f>tbl_detail_2022!K199</f>
        <v>67868331.818434596</v>
      </c>
      <c r="L199" t="n">
        <f>tbl_detail_2022!L199</f>
        <v>12012125.2070594</v>
      </c>
      <c r="M199" t="n">
        <f>tbl_detail_2022!M199</f>
        <v>55856206.611375101</v>
      </c>
      <c r="N199" t="n">
        <f>tbl_detail_2022!N199</f>
        <v>0</v>
      </c>
      <c r="O199" t="n">
        <f>tbl_detail_2022!O199</f>
        <v>65411204.225483499</v>
      </c>
      <c r="P199" t="n">
        <f t="shared" si="34"/>
        <v>9</v>
      </c>
      <c r="Q199" t="n">
        <f t="shared" si="35"/>
        <v>0.54393374258414806</v>
      </c>
      <c r="R199" t="n">
        <f t="shared" si="36"/>
        <v>36915875.728943951</v>
      </c>
      <c r="S199" t="n">
        <f t="shared" si="30"/>
        <v>6533800.2202652041</v>
      </c>
      <c r="T199" t="n">
        <f t="shared" si="31"/>
        <v>30382075.508678693</v>
      </c>
      <c r="U199" t="n">
        <f t="shared" si="32"/>
        <v>0</v>
      </c>
      <c r="V199" t="n">
        <f t="shared" si="33"/>
        <v>35579361.121303283</v>
      </c>
      <c r="W199" t="n">
        <f t="shared" si="37"/>
        <v>1751.9236681211767</v>
      </c>
      <c r="X199" t="n">
        <f t="shared" si="38"/>
        <v>118547966.1389647</v>
      </c>
      <c r="Y199" t="n">
        <f t="shared" si="39"/>
        <v>0.76641673234362695</v>
      </c>
      <c r="Z199" t="n">
        <f t="shared" si="40"/>
        <v>90857144.83420825</v>
      </c>
    </row>
    <row r="200">
      <c r="B200" s="52" t="n">
        <v>2030</v>
      </c>
      <c r="C200" t="str">
        <f>tbl_detail_2022!C200</f>
        <v>fugitives</v>
      </c>
      <c r="D200" t="str">
        <f>tbl_detail_2022!D200</f>
        <v>Processing Plants</v>
      </c>
      <c r="E200" t="str">
        <f>tbl_detail_2022!E200</f>
        <v>Large Plants</v>
      </c>
      <c r="F200" t="n">
        <f>tbl_detail_2022!F200</f>
        <v>230.08423233686699</v>
      </c>
      <c r="G200" t="n">
        <f>tbl_detail_2022!G200</f>
        <v>-5411.5726619690304</v>
      </c>
      <c r="H200" t="n">
        <f>tbl_detail_2022!H200</f>
        <v>-647.01235542521897</v>
      </c>
      <c r="I200" t="n">
        <f>tbl_detail_2022!I200</f>
        <v>-23.645458098019301</v>
      </c>
      <c r="J200" t="n">
        <f>tbl_detail_2022!J200</f>
        <v>-122732.403458487</v>
      </c>
      <c r="K200" t="n">
        <f>tbl_detail_2022!K200</f>
        <v>1449184.54820309</v>
      </c>
      <c r="L200" t="n">
        <f>tbl_detail_2022!L200</f>
        <v>915376.36534008896</v>
      </c>
      <c r="M200" t="n">
        <f>tbl_detail_2022!M200</f>
        <v>533808.18286300497</v>
      </c>
      <c r="N200" t="n">
        <f>tbl_detail_2022!N200</f>
        <v>-56890.910437103601</v>
      </c>
      <c r="O200" t="n">
        <f>tbl_detail_2022!O200</f>
        <v>2129977.1443249201</v>
      </c>
      <c r="P200" t="n">
        <f t="shared" si="34"/>
        <v>9</v>
      </c>
      <c r="Q200" t="n">
        <f t="shared" si="35"/>
        <v>0.54393374258414806</v>
      </c>
      <c r="R200" t="n">
        <f t="shared" si="36"/>
        <v>788260.37499922444</v>
      </c>
      <c r="S200" t="n">
        <f t="shared" si="30"/>
        <v>497904.09227250901</v>
      </c>
      <c r="T200" t="n">
        <f t="shared" si="31"/>
        <v>290356.28272671759</v>
      </c>
      <c r="U200" t="n">
        <f t="shared" si="32"/>
        <v>-30944.885833073331</v>
      </c>
      <c r="V200" t="n">
        <f t="shared" si="33"/>
        <v>1158566.4397313499</v>
      </c>
      <c r="W200" t="n">
        <f t="shared" si="37"/>
        <v>1751.9236681211767</v>
      </c>
      <c r="X200" t="n">
        <f t="shared" si="38"/>
        <v>9480662.2282610647</v>
      </c>
      <c r="Y200" t="n">
        <f t="shared" si="39"/>
        <v>0.76641673234362695</v>
      </c>
      <c r="Z200" t="n">
        <f t="shared" si="40"/>
        <v>7266138.1654374944</v>
      </c>
    </row>
    <row r="201">
      <c r="B201" s="52" t="n">
        <v>2030</v>
      </c>
      <c r="C201" t="str">
        <f>tbl_detail_2022!C201</f>
        <v>fugitives</v>
      </c>
      <c r="D201" t="str">
        <f>tbl_detail_2022!D201</f>
        <v>Processing Plants</v>
      </c>
      <c r="E201" t="str">
        <f>tbl_detail_2022!E201</f>
        <v>Small Plants</v>
      </c>
      <c r="F201" t="n">
        <f>tbl_detail_2022!F201</f>
        <v>954.95137138045004</v>
      </c>
      <c r="G201" t="n">
        <f>tbl_detail_2022!G201</f>
        <v>-10787.9126190363</v>
      </c>
      <c r="H201" t="n">
        <f>tbl_detail_2022!H201</f>
        <v>-1299.6937227118499</v>
      </c>
      <c r="I201" t="n">
        <f>tbl_detail_2022!I201</f>
        <v>-47.518331316929</v>
      </c>
      <c r="J201" t="n">
        <f>tbl_detail_2022!J201</f>
        <v>-244665.74261108</v>
      </c>
      <c r="K201" t="n">
        <f>tbl_detail_2022!K201</f>
        <v>3537994.9806259298</v>
      </c>
      <c r="L201" t="n">
        <f>tbl_detail_2022!L201</f>
        <v>1824793.0610298601</v>
      </c>
      <c r="M201" t="n">
        <f>tbl_detail_2022!M201</f>
        <v>1713201.91959607</v>
      </c>
      <c r="N201" t="n">
        <f>tbl_detail_2022!N201</f>
        <v>-115275.95840210099</v>
      </c>
      <c r="O201" t="n">
        <f>tbl_detail_2022!O201</f>
        <v>4917459.9670012305</v>
      </c>
      <c r="P201" t="n">
        <f t="shared" si="34"/>
        <v>9</v>
      </c>
      <c r="Q201" t="n">
        <f t="shared" si="35"/>
        <v>0.54393374258414806</v>
      </c>
      <c r="R201" t="n">
        <f t="shared" si="36"/>
        <v>1924434.8510557923</v>
      </c>
      <c r="S201" t="n">
        <f t="shared" si="30"/>
        <v>992566.51912755542</v>
      </c>
      <c r="T201" t="n">
        <f t="shared" si="31"/>
        <v>931868.33192823699</v>
      </c>
      <c r="U201" t="n">
        <f t="shared" si="32"/>
        <v>-62702.483483629359</v>
      </c>
      <c r="V201" t="n">
        <f t="shared" si="33"/>
        <v>2674772.4038587003</v>
      </c>
      <c r="W201" t="n">
        <f t="shared" si="37"/>
        <v>1751.9236681211767</v>
      </c>
      <c r="X201" t="n">
        <f t="shared" si="38"/>
        <v>18899599.446912806</v>
      </c>
      <c r="Y201" t="n">
        <f t="shared" si="39"/>
        <v>0.76641673234362695</v>
      </c>
      <c r="Z201" t="n">
        <f t="shared" si="40"/>
        <v>14484969.250706332</v>
      </c>
    </row>
    <row r="202">
      <c r="B202" s="52" t="n">
        <v>2030</v>
      </c>
      <c r="C202" t="str">
        <f>tbl_detail_2022!C202</f>
        <v>fugitives</v>
      </c>
      <c r="D202" t="str">
        <f>tbl_detail_2022!D202</f>
        <v>T&amp;S Compressor Stations</v>
      </c>
      <c r="E202" t="str">
        <f>tbl_detail_2022!E202</f>
        <v>Compressor Stations (Transmission)</v>
      </c>
      <c r="F202" t="n">
        <f>tbl_detail_2022!F202</f>
        <v>1565.2494486385101</v>
      </c>
      <c r="G202" t="n">
        <f>tbl_detail_2022!G202</f>
        <v>-50577.889036302899</v>
      </c>
      <c r="H202" t="n">
        <f>tbl_detail_2022!H202</f>
        <v>-1399.72733888623</v>
      </c>
      <c r="I202" t="n">
        <f>tbl_detail_2022!I202</f>
        <v>-41.574274283608297</v>
      </c>
      <c r="J202" t="n">
        <f>tbl_detail_2022!J202</f>
        <v>-1147087.22787868</v>
      </c>
      <c r="K202" t="n">
        <f>tbl_detail_2022!K202</f>
        <v>30785286.032139901</v>
      </c>
      <c r="L202" t="n">
        <f>tbl_detail_2022!L202</f>
        <v>8020624.3506842898</v>
      </c>
      <c r="M202" t="n">
        <f>tbl_detail_2022!M202</f>
        <v>22764661.681455601</v>
      </c>
      <c r="N202" t="n">
        <f>tbl_detail_2022!N202</f>
        <v>0</v>
      </c>
      <c r="O202" t="n">
        <f>tbl_detail_2022!O202</f>
        <v>24934423.7168115</v>
      </c>
      <c r="P202" t="n">
        <f t="shared" si="34"/>
        <v>9</v>
      </c>
      <c r="Q202" t="n">
        <f t="shared" si="35"/>
        <v>0.54393374258414806</v>
      </c>
      <c r="R202" t="n">
        <f t="shared" si="36"/>
        <v>16745155.847985353</v>
      </c>
      <c r="S202" t="n">
        <f t="shared" si="30"/>
        <v>4362688.2209292585</v>
      </c>
      <c r="T202" t="n">
        <f t="shared" si="31"/>
        <v>12382467.62705609</v>
      </c>
      <c r="U202" t="n">
        <f t="shared" si="32"/>
        <v>0</v>
      </c>
      <c r="V202" t="n">
        <f t="shared" si="33"/>
        <v>13562674.411464224</v>
      </c>
      <c r="W202" t="n">
        <f t="shared" si="37"/>
        <v>1751.9236681211767</v>
      </c>
      <c r="X202" t="n">
        <f t="shared" si="38"/>
        <v>88608600.886305615</v>
      </c>
      <c r="Y202" t="n">
        <f t="shared" si="39"/>
        <v>0.76641673234362695</v>
      </c>
      <c r="Z202" t="n">
        <f t="shared" si="40"/>
        <v>67911114.348822951</v>
      </c>
    </row>
    <row r="203">
      <c r="B203" s="52" t="n">
        <v>2030</v>
      </c>
      <c r="C203" t="str">
        <f>tbl_detail_2022!C203</f>
        <v>fugitives</v>
      </c>
      <c r="D203" t="str">
        <f>tbl_detail_2022!D203</f>
        <v>T&amp;S Compressor Stations</v>
      </c>
      <c r="E203" t="str">
        <f>tbl_detail_2022!E203</f>
        <v>Compressor Stations (Storage)</v>
      </c>
      <c r="F203" t="n">
        <f>tbl_detail_2022!F203</f>
        <v>284.26880079078398</v>
      </c>
      <c r="G203" t="n">
        <f>tbl_detail_2022!G203</f>
        <v>-32392.7098014361</v>
      </c>
      <c r="H203" t="n">
        <f>tbl_detail_2022!H203</f>
        <v>-896.45816291648703</v>
      </c>
      <c r="I203" t="n">
        <f>tbl_detail_2022!I203</f>
        <v>-26.626326794849302</v>
      </c>
      <c r="J203" t="n">
        <f>tbl_detail_2022!J203</f>
        <v>-734654.30047778098</v>
      </c>
      <c r="K203" t="n">
        <f>tbl_detail_2022!K203</f>
        <v>6755356.4950315803</v>
      </c>
      <c r="L203" t="n">
        <f>tbl_detail_2022!L203</f>
        <v>5136824.8451722804</v>
      </c>
      <c r="M203" t="n">
        <f>tbl_detail_2022!M203</f>
        <v>1618531.6498593001</v>
      </c>
      <c r="N203" t="n">
        <f>tbl_detail_2022!N203</f>
        <v>0</v>
      </c>
      <c r="O203" t="n">
        <f>tbl_detail_2022!O203</f>
        <v>5692767.0046362402</v>
      </c>
      <c r="P203" t="n">
        <f t="shared" si="34"/>
        <v>9</v>
      </c>
      <c r="Q203" t="n">
        <f t="shared" si="35"/>
        <v>0.54393374258414806</v>
      </c>
      <c r="R203" t="n">
        <f t="shared" si="36"/>
        <v>3674466.3408326604</v>
      </c>
      <c r="S203" t="n">
        <f t="shared" si="30"/>
        <v>2794092.3630337953</v>
      </c>
      <c r="T203" t="n">
        <f t="shared" si="31"/>
        <v>880373.97779886506</v>
      </c>
      <c r="U203" t="n">
        <f t="shared" si="32"/>
        <v>0</v>
      </c>
      <c r="V203" t="n">
        <f t="shared" si="33"/>
        <v>3096488.0624913401</v>
      </c>
      <c r="W203" t="n">
        <f t="shared" si="37"/>
        <v>1751.9236681211767</v>
      </c>
      <c r="X203" t="n">
        <f t="shared" si="38"/>
        <v>56749554.975716725</v>
      </c>
      <c r="Y203" t="n">
        <f t="shared" si="39"/>
        <v>0.76641673234362695</v>
      </c>
      <c r="Z203" t="n">
        <f t="shared" si="40"/>
        <v>43493808.486443825</v>
      </c>
    </row>
    <row r="204">
      <c r="B204" s="52" t="n">
        <v>2030</v>
      </c>
      <c r="C204" t="str">
        <f>tbl_detail_2022!C204</f>
        <v>fugitives</v>
      </c>
      <c r="D204" t="str">
        <f>tbl_detail_2022!D204</f>
        <v>Wellpad Fugitives</v>
      </c>
      <c r="E204" t="str">
        <f>tbl_detail_2022!E204</f>
        <v>1: No equipment, no tanks</v>
      </c>
      <c r="F204" t="n">
        <f>tbl_detail_2022!F204</f>
        <v>191476.995402061</v>
      </c>
      <c r="G204" t="n">
        <f>tbl_detail_2022!G204</f>
        <v>-42931.285161510299</v>
      </c>
      <c r="H204" t="n">
        <f>tbl_detail_2022!H204</f>
        <v>-11933.811242179099</v>
      </c>
      <c r="I204" t="n">
        <f>tbl_detail_2022!I204</f>
        <v>-449.54666949288799</v>
      </c>
      <c r="J204" t="n">
        <f>tbl_detail_2022!J204</f>
        <v>-973665.16917776305</v>
      </c>
      <c r="K204" t="n">
        <f>tbl_detail_2022!K204</f>
        <v>131693849.983164</v>
      </c>
      <c r="L204" t="n">
        <f>tbl_detail_2022!L204</f>
        <v>7621050.0228981404</v>
      </c>
      <c r="M204" t="n">
        <f>tbl_detail_2022!M204</f>
        <v>124072799.96026599</v>
      </c>
      <c r="N204" t="n">
        <f>tbl_detail_2022!N204</f>
        <v>338013.96557164099</v>
      </c>
      <c r="O204" t="n">
        <f>tbl_detail_2022!O204</f>
        <v>128633836.836511</v>
      </c>
      <c r="P204" t="n">
        <f t="shared" si="34"/>
        <v>9</v>
      </c>
      <c r="Q204" t="n">
        <f t="shared" si="35"/>
        <v>0.54393374258414806</v>
      </c>
      <c r="R204" t="n">
        <f t="shared" si="36"/>
        <v>71632728.696657732</v>
      </c>
      <c r="S204" t="n">
        <f t="shared" si="30"/>
        <v>4145346.2613759926</v>
      </c>
      <c r="T204" t="n">
        <f t="shared" si="31"/>
        <v>67487382.435281813</v>
      </c>
      <c r="U204" t="n">
        <f t="shared" si="32"/>
        <v>183857.20133909205</v>
      </c>
      <c r="V204" t="n">
        <f t="shared" si="33"/>
        <v>69968284.29344207</v>
      </c>
      <c r="W204" t="n">
        <f t="shared" si="37"/>
        <v>1751.9236681211767</v>
      </c>
      <c r="X204" t="n">
        <f t="shared" si="38"/>
        <v>75212334.57730937</v>
      </c>
      <c r="Y204" t="n">
        <f t="shared" si="39"/>
        <v>0.76641673234362695</v>
      </c>
      <c r="Z204" t="n">
        <f t="shared" si="40"/>
        <v>57643991.698677033</v>
      </c>
    </row>
    <row r="205">
      <c r="B205" s="52" t="n">
        <v>2030</v>
      </c>
      <c r="C205" t="str">
        <f>tbl_detail_2022!C205</f>
        <v>fugitives</v>
      </c>
      <c r="D205" t="str">
        <f>tbl_detail_2022!D205</f>
        <v>Wellpad Fugitives</v>
      </c>
      <c r="E205" t="str">
        <f>tbl_detail_2022!E205</f>
        <v>2: Tanks, no equipment</v>
      </c>
      <c r="F205" t="n">
        <f>tbl_detail_2022!F205</f>
        <v>30563.614544691802</v>
      </c>
      <c r="G205" t="n">
        <f>tbl_detail_2022!G205</f>
        <v>-9316.1106194910099</v>
      </c>
      <c r="H205" t="n">
        <f>tbl_detail_2022!H205</f>
        <v>-2589.64308256816</v>
      </c>
      <c r="I205" t="n">
        <f>tbl_detail_2022!I205</f>
        <v>-97.551854920342606</v>
      </c>
      <c r="J205" t="n">
        <f>tbl_detail_2022!J205</f>
        <v>-211285.83475385499</v>
      </c>
      <c r="K205" t="n">
        <f>tbl_detail_2022!K205</f>
        <v>30835961.069717798</v>
      </c>
      <c r="L205" t="n">
        <f>tbl_detail_2022!L205</f>
        <v>1653771.7140983001</v>
      </c>
      <c r="M205" t="n">
        <f>tbl_detail_2022!M205</f>
        <v>29182189.355619501</v>
      </c>
      <c r="N205" t="n">
        <f>tbl_detail_2022!N205</f>
        <v>260009.15010991701</v>
      </c>
      <c r="O205" t="n">
        <f>tbl_detail_2022!O205</f>
        <v>29610474.142817602</v>
      </c>
      <c r="P205" t="n">
        <f t="shared" si="34"/>
        <v>9</v>
      </c>
      <c r="Q205" t="n">
        <f t="shared" si="35"/>
        <v>0.54393374258414806</v>
      </c>
      <c r="R205" t="n">
        <f t="shared" si="36"/>
        <v>16772719.710830692</v>
      </c>
      <c r="S205" t="n">
        <f t="shared" si="30"/>
        <v>899542.2378292901</v>
      </c>
      <c r="T205" t="n">
        <f t="shared" si="31"/>
        <v>15873177.473001404</v>
      </c>
      <c r="U205" t="n">
        <f t="shared" si="32"/>
        <v>141427.7501254107</v>
      </c>
      <c r="V205" t="n">
        <f t="shared" si="33"/>
        <v>16106136.020193921</v>
      </c>
      <c r="W205" t="n">
        <f t="shared" si="37"/>
        <v>1751.9236681211767</v>
      </c>
      <c r="X205" t="n">
        <f t="shared" si="38"/>
        <v>16321114.689121338</v>
      </c>
      <c r="Y205" t="n">
        <f t="shared" si="39"/>
        <v>0.76641673234362695</v>
      </c>
      <c r="Z205" t="n">
        <f t="shared" si="40"/>
        <v>12508775.388241947</v>
      </c>
    </row>
    <row r="206">
      <c r="B206" s="52" t="n">
        <v>2030</v>
      </c>
      <c r="C206" t="str">
        <f>tbl_detail_2022!C206</f>
        <v>fugitives</v>
      </c>
      <c r="D206" t="str">
        <f>tbl_detail_2022!D206</f>
        <v>Wellpad Fugitives</v>
      </c>
      <c r="E206" t="str">
        <f>tbl_detail_2022!E206</f>
        <v>3: Equipment = 1, no tanks</v>
      </c>
      <c r="F206" t="n">
        <f>tbl_detail_2022!F206</f>
        <v>25240.522330395601</v>
      </c>
      <c r="G206" t="n">
        <f>tbl_detail_2022!G206</f>
        <v>-21349.467585854502</v>
      </c>
      <c r="H206" t="n">
        <f>tbl_detail_2022!H206</f>
        <v>-5934.6119113860304</v>
      </c>
      <c r="I206" t="n">
        <f>tbl_detail_2022!I206</f>
        <v>-223.55683070191199</v>
      </c>
      <c r="J206" t="n">
        <f>tbl_detail_2022!J206</f>
        <v>-484197.78002529597</v>
      </c>
      <c r="K206" t="n">
        <f>tbl_detail_2022!K206</f>
        <v>13667208.3385513</v>
      </c>
      <c r="L206" t="n">
        <f>tbl_detail_2022!L206</f>
        <v>3789901.9286735002</v>
      </c>
      <c r="M206" t="n">
        <f>tbl_detail_2022!M206</f>
        <v>9877306.4098777901</v>
      </c>
      <c r="N206" t="n">
        <f>tbl_detail_2022!N206</f>
        <v>-140917.20384247901</v>
      </c>
      <c r="O206" t="n">
        <f>tbl_detail_2022!O206</f>
        <v>13571415.206087001</v>
      </c>
      <c r="P206" t="n">
        <f t="shared" si="34"/>
        <v>9</v>
      </c>
      <c r="Q206" t="n">
        <f t="shared" si="35"/>
        <v>0.54393374258414806</v>
      </c>
      <c r="R206" t="n">
        <f t="shared" si="36"/>
        <v>7434055.7822654843</v>
      </c>
      <c r="S206" t="n">
        <f t="shared" si="30"/>
        <v>2061455.540090258</v>
      </c>
      <c r="T206" t="n">
        <f t="shared" si="31"/>
        <v>5372600.2421752214</v>
      </c>
      <c r="U206" t="n">
        <f t="shared" si="32"/>
        <v>-76649.622080532892</v>
      </c>
      <c r="V206" t="n">
        <f t="shared" si="33"/>
        <v>7381950.6652103197</v>
      </c>
      <c r="W206" t="n">
        <f t="shared" si="37"/>
        <v>1751.9236681211767</v>
      </c>
      <c r="X206" t="n">
        <f t="shared" si="38"/>
        <v>37402637.56544438</v>
      </c>
      <c r="Y206" t="n">
        <f t="shared" si="39"/>
        <v>0.76641673234362695</v>
      </c>
      <c r="Z206" t="n">
        <f t="shared" si="40"/>
        <v>28666007.263940871</v>
      </c>
    </row>
    <row r="207">
      <c r="B207" s="52" t="n">
        <v>2030</v>
      </c>
      <c r="C207" t="str">
        <f>tbl_detail_2022!C207</f>
        <v>fugitives</v>
      </c>
      <c r="D207" t="str">
        <f>tbl_detail_2022!D207</f>
        <v>Wellpad Fugitives</v>
      </c>
      <c r="E207" t="str">
        <f>tbl_detail_2022!E207</f>
        <v>4: Equipment &gt; 1, no tanks</v>
      </c>
      <c r="F207" t="n">
        <f>tbl_detail_2022!F207</f>
        <v>34003.367880530699</v>
      </c>
      <c r="G207" t="n">
        <f>tbl_detail_2022!G207</f>
        <v>-57802.233383292602</v>
      </c>
      <c r="H207" t="n">
        <f>tbl_detail_2022!H207</f>
        <v>-16067.558657457401</v>
      </c>
      <c r="I207" t="n">
        <f>tbl_detail_2022!I207</f>
        <v>-605.26493462642202</v>
      </c>
      <c r="J207" t="n">
        <f>tbl_detail_2022!J207</f>
        <v>-1310932.6015810401</v>
      </c>
      <c r="K207" t="n">
        <f>tbl_detail_2022!K207</f>
        <v>116050554.320213</v>
      </c>
      <c r="L207" t="n">
        <f>tbl_detail_2022!L207</f>
        <v>10260902.052944999</v>
      </c>
      <c r="M207" t="n">
        <f>tbl_detail_2022!M207</f>
        <v>105789652.267268</v>
      </c>
      <c r="N207" t="n">
        <f>tbl_detail_2022!N207</f>
        <v>9961.6823947597095</v>
      </c>
      <c r="O207" t="n">
        <f>tbl_detail_2022!O207</f>
        <v>112156036.50195</v>
      </c>
      <c r="P207" t="n">
        <f t="shared" si="34"/>
        <v>9</v>
      </c>
      <c r="Q207" t="n">
        <f t="shared" si="35"/>
        <v>0.54393374258414806</v>
      </c>
      <c r="R207" t="n">
        <f t="shared" si="36"/>
        <v>63123812.340358429</v>
      </c>
      <c r="S207" t="n">
        <f t="shared" si="30"/>
        <v>5581250.8559477413</v>
      </c>
      <c r="T207" t="n">
        <f t="shared" si="31"/>
        <v>57542561.484410688</v>
      </c>
      <c r="U207" t="n">
        <f t="shared" si="32"/>
        <v>5418.4951874162671</v>
      </c>
      <c r="V207" t="n">
        <f t="shared" si="33"/>
        <v>61005452.687909983</v>
      </c>
      <c r="W207" t="n">
        <f t="shared" si="37"/>
        <v>1751.9236681211767</v>
      </c>
      <c r="X207" t="n">
        <f t="shared" si="38"/>
        <v>101265100.7344543</v>
      </c>
      <c r="Y207" t="n">
        <f t="shared" si="39"/>
        <v>0.76641673234362695</v>
      </c>
      <c r="Z207" t="n">
        <f t="shared" si="40"/>
        <v>77611267.605348691</v>
      </c>
    </row>
    <row r="208">
      <c r="B208" s="52" t="n">
        <v>2030</v>
      </c>
      <c r="C208" t="str">
        <f>tbl_detail_2022!C208</f>
        <v>fugitives</v>
      </c>
      <c r="D208" t="str">
        <f>tbl_detail_2022!D208</f>
        <v>Wellpad Fugitives</v>
      </c>
      <c r="E208" t="str">
        <f>tbl_detail_2022!E208</f>
        <v>5: Equipment = 1 and tanks</v>
      </c>
      <c r="F208" t="n">
        <f>tbl_detail_2022!F208</f>
        <v>56261.737479469499</v>
      </c>
      <c r="G208" t="n">
        <f>tbl_detail_2022!G208</f>
        <v>-66888.013336106495</v>
      </c>
      <c r="H208" t="n">
        <f>tbl_detail_2022!H208</f>
        <v>-18593.1756413642</v>
      </c>
      <c r="I208" t="n">
        <f>tbl_detail_2022!I208</f>
        <v>-700.40492641019102</v>
      </c>
      <c r="J208" t="n">
        <f>tbl_detail_2022!J208</f>
        <v>-1516994.6246858099</v>
      </c>
      <c r="K208" t="n">
        <f>tbl_detail_2022!K208</f>
        <v>216732938.591465</v>
      </c>
      <c r="L208" t="n">
        <f>tbl_detail_2022!L208</f>
        <v>11873786.066478301</v>
      </c>
      <c r="M208" t="n">
        <f>tbl_detail_2022!M208</f>
        <v>204859152.52498701</v>
      </c>
      <c r="N208" t="n">
        <f>tbl_detail_2022!N208</f>
        <v>7158.75792722387</v>
      </c>
      <c r="O208" t="n">
        <f>tbl_detail_2022!O208</f>
        <v>208737845.84204099</v>
      </c>
      <c r="P208" t="n">
        <f t="shared" si="34"/>
        <v>9</v>
      </c>
      <c r="Q208" t="n">
        <f t="shared" si="35"/>
        <v>0.54393374258414806</v>
      </c>
      <c r="R208" t="n">
        <f t="shared" si="36"/>
        <v>117888358.42931589</v>
      </c>
      <c r="S208" t="n">
        <f t="shared" si="30"/>
        <v>6458552.8937830525</v>
      </c>
      <c r="T208" t="n">
        <f t="shared" si="31"/>
        <v>111429805.53553301</v>
      </c>
      <c r="U208" t="n">
        <f t="shared" si="32"/>
        <v>3893.889991608818</v>
      </c>
      <c r="V208" t="n">
        <f t="shared" si="33"/>
        <v>113539557.70781431</v>
      </c>
      <c r="W208" t="n">
        <f t="shared" si="37"/>
        <v>1751.9236681211767</v>
      </c>
      <c r="X208" t="n">
        <f t="shared" si="38"/>
        <v>117182693.67712988</v>
      </c>
      <c r="Y208" t="n">
        <f t="shared" si="39"/>
        <v>0.76641673234362695</v>
      </c>
      <c r="Z208" t="n">
        <f t="shared" si="40"/>
        <v>89810777.175250083</v>
      </c>
    </row>
    <row r="209">
      <c r="B209" s="52" t="n">
        <v>2030</v>
      </c>
      <c r="C209" t="str">
        <f>tbl_detail_2022!C209</f>
        <v>fugitives</v>
      </c>
      <c r="D209" t="str">
        <f>tbl_detail_2022!D209</f>
        <v>Wellpad Fugitives</v>
      </c>
      <c r="E209" t="str">
        <f>tbl_detail_2022!E209</f>
        <v>6: Equipment &gt; 1 and tanks</v>
      </c>
      <c r="F209" t="n">
        <f>tbl_detail_2022!F209</f>
        <v>146299.049249559</v>
      </c>
      <c r="G209" t="n">
        <f>tbl_detail_2022!G209</f>
        <v>-171992.56483199901</v>
      </c>
      <c r="H209" t="n">
        <f>tbl_detail_2022!H209</f>
        <v>-47809.582127383102</v>
      </c>
      <c r="I209" t="n">
        <f>tbl_detail_2022!I209</f>
        <v>-1800.9869587385199</v>
      </c>
      <c r="J209" t="n">
        <f>tbl_detail_2022!J209</f>
        <v>-3900725.7552262498</v>
      </c>
      <c r="K209" t="n">
        <f>tbl_detail_2022!K209</f>
        <v>475578732.008883</v>
      </c>
      <c r="L209" t="n">
        <f>tbl_detail_2022!L209</f>
        <v>30531672.537172802</v>
      </c>
      <c r="M209" t="n">
        <f>tbl_detail_2022!M209</f>
        <v>445047059.47171098</v>
      </c>
      <c r="N209" t="n">
        <f>tbl_detail_2022!N209</f>
        <v>52189.805612672397</v>
      </c>
      <c r="O209" t="n">
        <f>tbl_detail_2022!O209</f>
        <v>460311784.86121899</v>
      </c>
      <c r="P209" t="n">
        <f t="shared" si="34"/>
        <v>9</v>
      </c>
      <c r="Q209" t="n">
        <f t="shared" si="35"/>
        <v>0.54393374258414806</v>
      </c>
      <c r="R209" t="n">
        <f t="shared" si="36"/>
        <v>258683319.59501529</v>
      </c>
      <c r="S209" t="n">
        <f t="shared" si="30"/>
        <v>16607206.910498053</v>
      </c>
      <c r="T209" t="n">
        <f t="shared" si="31"/>
        <v>242076112.68451768</v>
      </c>
      <c r="U209" t="n">
        <f t="shared" si="32"/>
        <v>28387.796291640072</v>
      </c>
      <c r="V209" t="n">
        <f t="shared" si="33"/>
        <v>250379111.89515203</v>
      </c>
      <c r="W209" t="n">
        <f t="shared" si="37"/>
        <v>1751.9236681211767</v>
      </c>
      <c r="X209" t="n">
        <f t="shared" si="38"/>
        <v>301317845.07004499</v>
      </c>
      <c r="Y209" t="n">
        <f t="shared" si="39"/>
        <v>0.76641673234362695</v>
      </c>
      <c r="Z209" t="n">
        <f t="shared" si="40"/>
        <v>230935038.21540713</v>
      </c>
    </row>
    <row r="210">
      <c r="B210" s="52" t="n">
        <v>2030</v>
      </c>
      <c r="C210" t="str">
        <f>tbl_detail_2022!C210</f>
        <v>compressors</v>
      </c>
      <c r="D210" t="str">
        <f>tbl_detail_2022!D210</f>
        <v>G&amp;B Station Recip Comp</v>
      </c>
      <c r="E210" t="n">
        <f>tbl_detail_2022!E210</f>
        <v>0</v>
      </c>
      <c r="F210" t="n">
        <f>tbl_detail_2022!F210</f>
        <v>26704.7934462503</v>
      </c>
      <c r="G210" t="n">
        <f>tbl_detail_2022!G210</f>
        <v>-181266.55465717</v>
      </c>
      <c r="H210" t="n">
        <f>tbl_detail_2022!H210</f>
        <v>-50387.516726009198</v>
      </c>
      <c r="I210" t="n">
        <f>tbl_detail_2022!I210</f>
        <v>-1898.3152234157001</v>
      </c>
      <c r="J210" t="n">
        <f>tbl_detail_2022!J210</f>
        <v>-4111056.3064340199</v>
      </c>
      <c r="K210" t="n">
        <f>tbl_detail_2022!K210</f>
        <v>32256828.607698299</v>
      </c>
      <c r="L210" t="n">
        <f>tbl_detail_2022!L210</f>
        <v>32177967.077473301</v>
      </c>
      <c r="M210" t="n">
        <f>tbl_detail_2022!M210</f>
        <v>78861.530225017501</v>
      </c>
      <c r="N210" t="n">
        <f>tbl_detail_2022!N210</f>
        <v>56535496.378312401</v>
      </c>
      <c r="O210" t="n">
        <f>tbl_detail_2022!O210</f>
        <v>15942761.6874114</v>
      </c>
      <c r="P210" t="n">
        <f t="shared" si="34"/>
        <v>9</v>
      </c>
      <c r="Q210" t="n">
        <f t="shared" si="35"/>
        <v>0.54393374258414806</v>
      </c>
      <c r="R210" t="n">
        <f t="shared" si="36"/>
        <v>17545577.50848075</v>
      </c>
      <c r="S210" t="n">
        <f t="shared" si="30"/>
        <v>17502682.061199553</v>
      </c>
      <c r="T210" t="n">
        <f t="shared" si="31"/>
        <v>42895.447281206682</v>
      </c>
      <c r="U210" t="n">
        <f t="shared" si="32"/>
        <v>30751564.133908011</v>
      </c>
      <c r="V210" t="n">
        <f t="shared" si="33"/>
        <v>8671806.0317608509</v>
      </c>
      <c r="W210" t="n">
        <f t="shared" si="37"/>
        <v>1751.9236681211767</v>
      </c>
      <c r="X210" t="n">
        <f t="shared" si="38"/>
        <v>317565167.342677</v>
      </c>
      <c r="Y210" t="n">
        <f t="shared" si="39"/>
        <v>0.76641673234362695</v>
      </c>
      <c r="Z210" t="n">
        <f t="shared" si="40"/>
        <v>243387257.86093158</v>
      </c>
    </row>
    <row r="211">
      <c r="B211" s="52" t="n">
        <v>2030</v>
      </c>
      <c r="C211" t="str">
        <f>tbl_detail_2022!C211</f>
        <v>compressors</v>
      </c>
      <c r="D211" t="str">
        <f>tbl_detail_2022!D211</f>
        <v>Proc Recip Comp</v>
      </c>
      <c r="E211" t="n">
        <f>tbl_detail_2022!E211</f>
        <v>0</v>
      </c>
      <c r="F211" t="n">
        <f>tbl_detail_2022!F211</f>
        <v>4103.8814535758702</v>
      </c>
      <c r="G211" t="n">
        <f>tbl_detail_2022!G211</f>
        <v>-66233.897271020105</v>
      </c>
      <c r="H211" t="n">
        <f>tbl_detail_2022!H211</f>
        <v>-18411.347933899098</v>
      </c>
      <c r="I211" t="n">
        <f>tbl_detail_2022!I211</f>
        <v>-693.63493852204397</v>
      </c>
      <c r="J211" t="n">
        <f>tbl_detail_2022!J211</f>
        <v>-1502159.52187493</v>
      </c>
      <c r="K211" t="n">
        <f>tbl_detail_2022!K211</f>
        <v>7048267.5870751701</v>
      </c>
      <c r="L211" t="n">
        <f>tbl_detail_2022!L211</f>
        <v>11203572.035969799</v>
      </c>
      <c r="M211" t="n">
        <f>tbl_detail_2022!M211</f>
        <v>-4155304.44889468</v>
      </c>
      <c r="N211" t="n">
        <f>tbl_detail_2022!N211</f>
        <v>0</v>
      </c>
      <c r="O211" t="n">
        <f>tbl_detail_2022!O211</f>
        <v>2450017.2277847901</v>
      </c>
      <c r="P211" t="n">
        <f t="shared" si="34"/>
        <v>9</v>
      </c>
      <c r="Q211" t="n">
        <f t="shared" si="35"/>
        <v>0.54393374258414806</v>
      </c>
      <c r="R211" t="n">
        <f t="shared" si="36"/>
        <v>3833790.5673723398</v>
      </c>
      <c r="S211" t="n">
        <f t="shared" ref="S211:S274" si="41">L211*$Q211</f>
        <v>6094000.8678361569</v>
      </c>
      <c r="T211" t="n">
        <f t="shared" ref="T211:T274" si="42">M211*$Q211</f>
        <v>-2260210.3004638441</v>
      </c>
      <c r="U211" t="n">
        <f t="shared" ref="U211:U274" si="43">N211*$Q211</f>
        <v>0</v>
      </c>
      <c r="V211" t="n">
        <f t="shared" ref="V211:V274" si="44">O211*$Q211</f>
        <v>1332647.0401046202</v>
      </c>
      <c r="W211" t="n">
        <f t="shared" si="37"/>
        <v>1751.9236681211767</v>
      </c>
      <c r="X211" t="n">
        <f t="shared" si="38"/>
        <v>116036732.26100673</v>
      </c>
      <c r="Y211" t="n">
        <f t="shared" si="39"/>
        <v>0.76641673234362695</v>
      </c>
      <c r="Z211" t="n">
        <f t="shared" si="40"/>
        <v>88932493.171313092</v>
      </c>
    </row>
    <row r="212">
      <c r="B212" s="52" t="n">
        <v>2030</v>
      </c>
      <c r="C212" t="str">
        <f>tbl_detail_2022!C212</f>
        <v>compressors</v>
      </c>
      <c r="D212" t="str">
        <f>tbl_detail_2022!D212</f>
        <v>T&amp;S Recip Comp</v>
      </c>
      <c r="E212" t="str">
        <f>tbl_detail_2022!E212</f>
        <v>Reciprocating Compressors (Transmission)</v>
      </c>
      <c r="F212" t="n">
        <f>tbl_detail_2022!F212</f>
        <v>8909.1028754861309</v>
      </c>
      <c r="G212" t="n">
        <f>tbl_detail_2022!G212</f>
        <v>-103713.454741794</v>
      </c>
      <c r="H212" t="n">
        <f>tbl_detail_2022!H212</f>
        <v>-2870.23758362536</v>
      </c>
      <c r="I212" t="n">
        <f>tbl_detail_2022!I212</f>
        <v>-85.250920836990602</v>
      </c>
      <c r="J212" t="n">
        <f>tbl_detail_2022!J212</f>
        <v>-2352181.5868609101</v>
      </c>
      <c r="K212" t="n">
        <f>tbl_detail_2022!K212</f>
        <v>11608066.7697255</v>
      </c>
      <c r="L212" t="n">
        <f>tbl_detail_2022!L212</f>
        <v>16446844.193093199</v>
      </c>
      <c r="M212" t="n">
        <f>tbl_detail_2022!M212</f>
        <v>-4838777.4233676996</v>
      </c>
      <c r="N212" t="n">
        <f>tbl_detail_2022!N212</f>
        <v>21795333.3283365</v>
      </c>
      <c r="O212" t="n">
        <f>tbl_detail_2022!O212</f>
        <v>5318734.4166652197</v>
      </c>
      <c r="P212" t="n">
        <f t="shared" si="34"/>
        <v>9</v>
      </c>
      <c r="Q212" t="n">
        <f t="shared" si="35"/>
        <v>0.54393374258414806</v>
      </c>
      <c r="R212" t="n">
        <f t="shared" si="36"/>
        <v>6314019.2022234732</v>
      </c>
      <c r="S212" t="n">
        <f t="shared" si="41"/>
        <v>8945993.5156475473</v>
      </c>
      <c r="T212" t="n">
        <f t="shared" si="42"/>
        <v>-2631974.3134240736</v>
      </c>
      <c r="U212" t="n">
        <f t="shared" si="43"/>
        <v>11855217.228151089</v>
      </c>
      <c r="V212" t="n">
        <f t="shared" si="44"/>
        <v>2893039.1170678283</v>
      </c>
      <c r="W212" t="n">
        <f t="shared" si="37"/>
        <v>1751.9236681211767</v>
      </c>
      <c r="X212" t="n">
        <f t="shared" si="38"/>
        <v>181698056.0647634</v>
      </c>
      <c r="Y212" t="n">
        <f t="shared" si="39"/>
        <v>0.76641673234362695</v>
      </c>
      <c r="Z212" t="n">
        <f t="shared" si="40"/>
        <v>139256430.40234509</v>
      </c>
    </row>
    <row r="213">
      <c r="B213" s="52" t="n">
        <v>2030</v>
      </c>
      <c r="C213" t="str">
        <f>tbl_detail_2022!C213</f>
        <v>compressors</v>
      </c>
      <c r="D213" t="str">
        <f>tbl_detail_2022!D213</f>
        <v>T&amp;S Recip Comp</v>
      </c>
      <c r="E213" t="str">
        <f>tbl_detail_2022!E213</f>
        <v>Reciprocating Compressors (Storage)</v>
      </c>
      <c r="F213" t="n">
        <f>tbl_detail_2022!F213</f>
        <v>1399.1658921117901</v>
      </c>
      <c r="G213" t="n">
        <f>tbl_detail_2022!G213</f>
        <v>-32254.9061633083</v>
      </c>
      <c r="H213" t="n">
        <f>tbl_detail_2022!H213</f>
        <v>-892.64449011675799</v>
      </c>
      <c r="I213" t="n">
        <f>tbl_detail_2022!I213</f>
        <v>-26.513054249119101</v>
      </c>
      <c r="J213" t="n">
        <f>tbl_detail_2022!J213</f>
        <v>-731528.96653712995</v>
      </c>
      <c r="K213" t="n">
        <f>tbl_detail_2022!K213</f>
        <v>3497194.2834664499</v>
      </c>
      <c r="L213" t="n">
        <f>tbl_detail_2022!L213</f>
        <v>5114971.9913533498</v>
      </c>
      <c r="M213" t="n">
        <f>tbl_detail_2022!M213</f>
        <v>-1617777.7078869001</v>
      </c>
      <c r="N213" t="n">
        <f>tbl_detail_2022!N213</f>
        <v>10476360.079492399</v>
      </c>
      <c r="O213" t="n">
        <f>tbl_detail_2022!O213</f>
        <v>835302.03759074002</v>
      </c>
      <c r="P213" t="n">
        <f t="shared" si="34"/>
        <v>9</v>
      </c>
      <c r="Q213" t="n">
        <f t="shared" si="35"/>
        <v>0.54393374258414806</v>
      </c>
      <c r="R213" t="n">
        <f t="shared" si="36"/>
        <v>1902241.975149794</v>
      </c>
      <c r="S213" t="n">
        <f t="shared" si="41"/>
        <v>2782205.8584699202</v>
      </c>
      <c r="T213" t="n">
        <f t="shared" si="42"/>
        <v>-879963.88332012622</v>
      </c>
      <c r="U213" t="n">
        <f t="shared" si="43"/>
        <v>5698445.746697464</v>
      </c>
      <c r="V213" t="n">
        <f t="shared" si="44"/>
        <v>454348.96349489596</v>
      </c>
      <c r="W213" t="n">
        <f t="shared" si="37"/>
        <v>1751.9236681211767</v>
      </c>
      <c r="X213" t="n">
        <f t="shared" si="38"/>
        <v>56508133.520527422</v>
      </c>
      <c r="Y213" t="n">
        <f t="shared" si="39"/>
        <v>0.76641673234362695</v>
      </c>
      <c r="Z213" t="n">
        <f t="shared" si="40"/>
        <v>43308779.043640003</v>
      </c>
    </row>
    <row r="214">
      <c r="B214" s="52" t="n">
        <v>2030</v>
      </c>
      <c r="C214" t="str">
        <f>tbl_detail_2022!C214</f>
        <v>compressors</v>
      </c>
      <c r="D214" t="str">
        <f>tbl_detail_2022!D214</f>
        <v>Wet Seal Centrifugal Compr</v>
      </c>
      <c r="E214" t="str">
        <f>tbl_detail_2022!E214</f>
        <v>G&amp;B WS Centrifugal Comp</v>
      </c>
      <c r="F214" t="n">
        <f>tbl_detail_2022!F214</f>
        <v>355.43747603936498</v>
      </c>
      <c r="G214" t="n">
        <f>tbl_detail_2022!G214</f>
        <v>-79706.134840240004</v>
      </c>
      <c r="H214" t="n">
        <f>tbl_detail_2022!H214</f>
        <v>-22156.289173278401</v>
      </c>
      <c r="I214" t="n">
        <f>tbl_detail_2022!I214</f>
        <v>-834.72303786553505</v>
      </c>
      <c r="J214" t="n">
        <f>tbl_detail_2022!J214</f>
        <v>-1807704.7302862001</v>
      </c>
      <c r="K214" t="n">
        <f>tbl_detail_2022!K214</f>
        <v>8885936.9009841308</v>
      </c>
      <c r="L214" t="n">
        <f>tbl_detail_2022!L214</f>
        <v>14149225.639625899</v>
      </c>
      <c r="M214" t="n">
        <f>tbl_detail_2022!M214</f>
        <v>-5263288.7386418097</v>
      </c>
      <c r="N214" t="n">
        <f>tbl_detail_2022!N214</f>
        <v>0</v>
      </c>
      <c r="O214" t="n">
        <f>tbl_detail_2022!O214</f>
        <v>8885936.9009841308</v>
      </c>
      <c r="P214" t="n">
        <f t="shared" si="34"/>
        <v>9</v>
      </c>
      <c r="Q214" t="n">
        <f t="shared" si="35"/>
        <v>0.54393374258414806</v>
      </c>
      <c r="R214" t="n">
        <f t="shared" si="36"/>
        <v>4833360.9149188846</v>
      </c>
      <c r="S214" t="n">
        <f t="shared" si="41"/>
        <v>7696241.2568293018</v>
      </c>
      <c r="T214" t="n">
        <f t="shared" si="42"/>
        <v>-2862880.3419104395</v>
      </c>
      <c r="U214" t="n">
        <f t="shared" si="43"/>
        <v>0</v>
      </c>
      <c r="V214" t="n">
        <f t="shared" si="44"/>
        <v>4833360.9149188846</v>
      </c>
      <c r="W214" t="n">
        <f t="shared" si="37"/>
        <v>1751.9236681211767</v>
      </c>
      <c r="X214" t="n">
        <f t="shared" si="38"/>
        <v>139639064.12107438</v>
      </c>
      <c r="Y214" t="n">
        <f t="shared" si="39"/>
        <v>0.76641673234362695</v>
      </c>
      <c r="Z214" t="n">
        <f t="shared" si="40"/>
        <v>107021715.23119602</v>
      </c>
    </row>
    <row r="215">
      <c r="B215" s="52" t="n">
        <v>2030</v>
      </c>
      <c r="C215" t="str">
        <f>tbl_detail_2022!C215</f>
        <v>compressors</v>
      </c>
      <c r="D215" t="str">
        <f>tbl_detail_2022!D215</f>
        <v>Wet Seal Centrifugal Compr</v>
      </c>
      <c r="E215" t="str">
        <f>tbl_detail_2022!E215</f>
        <v>Proc WS Centrifugal Comp</v>
      </c>
      <c r="F215" t="n">
        <f>tbl_detail_2022!F215</f>
        <v>278.38601383556897</v>
      </c>
      <c r="G215" t="n">
        <f>tbl_detail_2022!G215</f>
        <v>-37927.311134022901</v>
      </c>
      <c r="H215" t="n">
        <f>tbl_detail_2022!H215</f>
        <v>-10542.833054627899</v>
      </c>
      <c r="I215" t="n">
        <f>tbl_detail_2022!I215</f>
        <v>-2930.6408889621098</v>
      </c>
      <c r="J215" t="n">
        <f>tbl_detail_2022!J215</f>
        <v>-860176.947250442</v>
      </c>
      <c r="K215" t="n">
        <f>tbl_detail_2022!K215</f>
        <v>6959650.3458892303</v>
      </c>
      <c r="L215" t="n">
        <f>tbl_detail_2022!L215</f>
        <v>6415466.70101484</v>
      </c>
      <c r="M215" t="n">
        <f>tbl_detail_2022!M215</f>
        <v>544183.64487438905</v>
      </c>
      <c r="N215" t="n">
        <f>tbl_detail_2022!N215</f>
        <v>0</v>
      </c>
      <c r="O215" t="n">
        <f>tbl_detail_2022!O215</f>
        <v>6959650.3458892303</v>
      </c>
      <c r="P215" t="n">
        <f t="shared" si="34"/>
        <v>9</v>
      </c>
      <c r="Q215" t="n">
        <f t="shared" si="35"/>
        <v>0.54393374258414806</v>
      </c>
      <c r="R215" t="n">
        <f t="shared" si="36"/>
        <v>3785588.6597165894</v>
      </c>
      <c r="S215" t="n">
        <f t="shared" si="41"/>
        <v>3489588.8131069797</v>
      </c>
      <c r="T215" t="n">
        <f t="shared" si="42"/>
        <v>295999.84660960938</v>
      </c>
      <c r="U215" t="n">
        <f t="shared" si="43"/>
        <v>0</v>
      </c>
      <c r="V215" t="n">
        <f t="shared" si="44"/>
        <v>3785588.6597165894</v>
      </c>
      <c r="W215" t="n">
        <f t="shared" si="37"/>
        <v>1751.9236681211767</v>
      </c>
      <c r="X215" t="n">
        <f t="shared" si="38"/>
        <v>66445754.043890543</v>
      </c>
      <c r="Y215" t="n">
        <f t="shared" si="39"/>
        <v>0.76641673234362695</v>
      </c>
      <c r="Z215" t="n">
        <f t="shared" si="40"/>
        <v>50925137.692426927</v>
      </c>
    </row>
    <row r="216">
      <c r="B216" s="52" t="n">
        <v>2030</v>
      </c>
      <c r="C216" t="str">
        <f>tbl_detail_2022!C216</f>
        <v>compressors</v>
      </c>
      <c r="D216" t="str">
        <f>tbl_detail_2022!D216</f>
        <v>Wet Seal Centrifugal Compr</v>
      </c>
      <c r="E216" t="str">
        <f>tbl_detail_2022!E216</f>
        <v>T&amp;S WS Centrifugal Comp</v>
      </c>
      <c r="F216" t="n">
        <f>tbl_detail_2022!F216</f>
        <v>758.39817033699603</v>
      </c>
      <c r="G216" t="n">
        <f>tbl_detail_2022!G216</f>
        <v>-26684.905826529201</v>
      </c>
      <c r="H216" t="n">
        <f>tbl_detail_2022!H216</f>
        <v>-738.49646421953003</v>
      </c>
      <c r="I216" t="n">
        <f>tbl_detail_2022!I216</f>
        <v>-20.4376598220014</v>
      </c>
      <c r="J216" t="n">
        <f>tbl_detail_2022!J216</f>
        <v>-605203.48385411</v>
      </c>
      <c r="K216" t="n">
        <f>tbl_detail_2022!K216</f>
        <v>18959954.2584249</v>
      </c>
      <c r="L216" t="n">
        <f>tbl_detail_2022!L216</f>
        <v>4231683.2423424097</v>
      </c>
      <c r="M216" t="n">
        <f>tbl_detail_2022!M216</f>
        <v>14728271.016082499</v>
      </c>
      <c r="N216" t="n">
        <f>tbl_detail_2022!N216</f>
        <v>0</v>
      </c>
      <c r="O216" t="n">
        <f>tbl_detail_2022!O216</f>
        <v>18959954.2584249</v>
      </c>
      <c r="P216" t="n">
        <f t="shared" si="34"/>
        <v>9</v>
      </c>
      <c r="Q216" t="n">
        <f t="shared" si="35"/>
        <v>0.54393374258414806</v>
      </c>
      <c r="R216" t="n">
        <f t="shared" si="36"/>
        <v>10312958.879009312</v>
      </c>
      <c r="S216" t="n">
        <f t="shared" si="41"/>
        <v>2301755.3034379291</v>
      </c>
      <c r="T216" t="n">
        <f t="shared" si="42"/>
        <v>8011203.5755713871</v>
      </c>
      <c r="U216" t="n">
        <f t="shared" si="43"/>
        <v>0</v>
      </c>
      <c r="V216" t="n">
        <f t="shared" si="44"/>
        <v>10312958.879009312</v>
      </c>
      <c r="W216" t="n">
        <f t="shared" si="37"/>
        <v>1751.9236681211767</v>
      </c>
      <c r="X216" t="n">
        <f t="shared" si="38"/>
        <v>46749918.099081196</v>
      </c>
      <c r="Y216" t="n">
        <f t="shared" si="39"/>
        <v>0.76641673234362695</v>
      </c>
      <c r="Z216" t="n">
        <f t="shared" si="40"/>
        <v>35829919.466829993</v>
      </c>
    </row>
    <row r="217">
      <c r="B217" s="52" t="n">
        <v>2030</v>
      </c>
      <c r="C217" t="str">
        <f>tbl_detail_2022!C217</f>
        <v>compressors</v>
      </c>
      <c r="D217" t="str">
        <f>tbl_detail_2022!D217</f>
        <v>Dry Seal Centrifugal Compr</v>
      </c>
      <c r="E217" t="str">
        <f>tbl_detail_2022!E217</f>
        <v>G&amp;B DS Centrifugal Comp</v>
      </c>
      <c r="F217" t="n">
        <f>tbl_detail_2022!F217</f>
        <v>551.38887491973196</v>
      </c>
      <c r="G217" t="n">
        <f>tbl_detail_2022!G217</f>
        <v>-8891.88249881109</v>
      </c>
      <c r="H217" t="n">
        <f>tbl_detail_2022!H217</f>
        <v>-2471.7183982557199</v>
      </c>
      <c r="I217" t="n">
        <f>tbl_detail_2022!I217</f>
        <v>-93.120299794085795</v>
      </c>
      <c r="J217" t="n">
        <f>tbl_detail_2022!J217</f>
        <v>-201664.50281986201</v>
      </c>
      <c r="K217" t="n">
        <f>tbl_detail_2022!K217</f>
        <v>8270833.1237959703</v>
      </c>
      <c r="L217" t="n">
        <f>tbl_detail_2022!L217</f>
        <v>1578463.8420730699</v>
      </c>
      <c r="M217" t="n">
        <f>tbl_detail_2022!M217</f>
        <v>6692369.2817229098</v>
      </c>
      <c r="N217" t="n">
        <f>tbl_detail_2022!N217</f>
        <v>0</v>
      </c>
      <c r="O217" t="n">
        <f>tbl_detail_2022!O217</f>
        <v>8270833.1237959703</v>
      </c>
      <c r="P217" t="n">
        <f t="shared" si="34"/>
        <v>9</v>
      </c>
      <c r="Q217" t="n">
        <f t="shared" si="35"/>
        <v>0.54393374258414806</v>
      </c>
      <c r="R217" t="n">
        <f t="shared" si="36"/>
        <v>4498785.2153152823</v>
      </c>
      <c r="S217" t="n">
        <f t="shared" si="41"/>
        <v>858579.74515255855</v>
      </c>
      <c r="T217" t="n">
        <f t="shared" si="42"/>
        <v>3640205.4701627293</v>
      </c>
      <c r="U217" t="n">
        <f t="shared" si="43"/>
        <v>0</v>
      </c>
      <c r="V217" t="n">
        <f t="shared" si="44"/>
        <v>4498785.2153152823</v>
      </c>
      <c r="W217" t="n">
        <f t="shared" si="37"/>
        <v>1751.9236681211767</v>
      </c>
      <c r="X217" t="n">
        <f t="shared" si="38"/>
        <v>15577899.403819619</v>
      </c>
      <c r="Y217" t="n">
        <f t="shared" si="39"/>
        <v>0.76641673234362695</v>
      </c>
      <c r="Z217" t="n">
        <f t="shared" si="40"/>
        <v>11939162.757853167</v>
      </c>
    </row>
    <row r="218">
      <c r="B218" s="52" t="n">
        <v>2030</v>
      </c>
      <c r="C218" t="str">
        <f>tbl_detail_2022!C218</f>
        <v>compressors</v>
      </c>
      <c r="D218" t="str">
        <f>tbl_detail_2022!D218</f>
        <v>Dry Seal Centrifugal Compr</v>
      </c>
      <c r="E218" t="str">
        <f>tbl_detail_2022!E218</f>
        <v>Proc DS Centrifugal Comp</v>
      </c>
      <c r="F218" t="n">
        <f>tbl_detail_2022!F218</f>
        <v>415.937829921971</v>
      </c>
      <c r="G218" t="n">
        <f>tbl_detail_2022!G218</f>
        <v>-3236.9559803489401</v>
      </c>
      <c r="H218" t="n">
        <f>tbl_detail_2022!H218</f>
        <v>-899.79187782138604</v>
      </c>
      <c r="I218" t="n">
        <f>tbl_detail_2022!I218</f>
        <v>-250.11938015482599</v>
      </c>
      <c r="J218" t="n">
        <f>tbl_detail_2022!J218</f>
        <v>-73412.9267356075</v>
      </c>
      <c r="K218" t="n">
        <f>tbl_detail_2022!K218</f>
        <v>6239067.4488295596</v>
      </c>
      <c r="L218" t="n">
        <f>tbl_detail_2022!L218</f>
        <v>547536.39748404699</v>
      </c>
      <c r="M218" t="n">
        <f>tbl_detail_2022!M218</f>
        <v>5691531.0513455197</v>
      </c>
      <c r="N218" t="n">
        <f>tbl_detail_2022!N218</f>
        <v>0</v>
      </c>
      <c r="O218" t="n">
        <f>tbl_detail_2022!O218</f>
        <v>6239067.4488295596</v>
      </c>
      <c r="P218" t="n">
        <f t="shared" si="34"/>
        <v>9</v>
      </c>
      <c r="Q218" t="n">
        <f t="shared" si="35"/>
        <v>0.54393374258414806</v>
      </c>
      <c r="R218" t="n">
        <f t="shared" si="36"/>
        <v>3393639.3076767949</v>
      </c>
      <c r="S218" t="n">
        <f t="shared" si="41"/>
        <v>297823.5218845394</v>
      </c>
      <c r="T218" t="n">
        <f t="shared" si="42"/>
        <v>3095815.7857922595</v>
      </c>
      <c r="U218" t="n">
        <f t="shared" si="43"/>
        <v>0</v>
      </c>
      <c r="V218" t="n">
        <f t="shared" si="44"/>
        <v>3393639.3076767949</v>
      </c>
      <c r="W218" t="n">
        <f t="shared" si="37"/>
        <v>1751.9236681211767</v>
      </c>
      <c r="X218" t="n">
        <f t="shared" si="38"/>
        <v>5670899.7946396945</v>
      </c>
      <c r="Y218" t="n">
        <f t="shared" si="39"/>
        <v>0.76641673234362695</v>
      </c>
      <c r="Z218" t="n">
        <f t="shared" si="40"/>
        <v>4346272.4900559001</v>
      </c>
    </row>
    <row r="219">
      <c r="B219" s="52" t="n">
        <v>2030</v>
      </c>
      <c r="C219" t="str">
        <f>tbl_detail_2022!C219</f>
        <v>compressors</v>
      </c>
      <c r="D219" t="str">
        <f>tbl_detail_2022!D219</f>
        <v>Dry Seal Centrifugal Compr</v>
      </c>
      <c r="E219" t="str">
        <f>tbl_detail_2022!E219</f>
        <v>T&amp;S DS Centrifugal Comp</v>
      </c>
      <c r="F219" t="n">
        <f>tbl_detail_2022!F219</f>
        <v>2992.3229426624198</v>
      </c>
      <c r="G219" t="n">
        <f>tbl_detail_2022!G219</f>
        <v>-54017.890958254102</v>
      </c>
      <c r="H219" t="n">
        <f>tbl_detail_2022!H219</f>
        <v>-1494.92832152353</v>
      </c>
      <c r="I219" t="n">
        <f>tbl_detail_2022!I219</f>
        <v>-41.371676065995501</v>
      </c>
      <c r="J219" t="n">
        <f>tbl_detail_2022!J219</f>
        <v>-1225105.1591078001</v>
      </c>
      <c r="K219" t="n">
        <f>tbl_detail_2022!K219</f>
        <v>44884844.139936298</v>
      </c>
      <c r="L219" t="n">
        <f>tbl_detail_2022!L219</f>
        <v>8566138.6793230008</v>
      </c>
      <c r="M219" t="n">
        <f>tbl_detail_2022!M219</f>
        <v>36318705.460613303</v>
      </c>
      <c r="N219" t="n">
        <f>tbl_detail_2022!N219</f>
        <v>0</v>
      </c>
      <c r="O219" t="n">
        <f>tbl_detail_2022!O219</f>
        <v>44884844.139936298</v>
      </c>
      <c r="P219" t="n">
        <f t="shared" si="34"/>
        <v>9</v>
      </c>
      <c r="Q219" t="n">
        <f t="shared" si="35"/>
        <v>0.54393374258414806</v>
      </c>
      <c r="R219" t="n">
        <f t="shared" si="36"/>
        <v>24414381.258341718</v>
      </c>
      <c r="S219" t="n">
        <f t="shared" si="41"/>
        <v>4659411.8713389914</v>
      </c>
      <c r="T219" t="n">
        <f t="shared" si="42"/>
        <v>19754969.387002729</v>
      </c>
      <c r="U219" t="n">
        <f t="shared" si="43"/>
        <v>0</v>
      </c>
      <c r="V219" t="n">
        <f t="shared" si="44"/>
        <v>24414381.258341718</v>
      </c>
      <c r="W219" t="n">
        <f t="shared" si="37"/>
        <v>1751.9236681211767</v>
      </c>
      <c r="X219" t="n">
        <f t="shared" si="38"/>
        <v>94635221.671754271</v>
      </c>
      <c r="Y219" t="n">
        <f t="shared" si="39"/>
        <v>0.76641673234362695</v>
      </c>
      <c r="Z219" t="n">
        <f t="shared" si="40"/>
        <v>72530017.358280703</v>
      </c>
    </row>
    <row r="220">
      <c r="B220" s="52" t="n">
        <v>2030</v>
      </c>
      <c r="C220" t="str">
        <f>tbl_detail_2022!C220</f>
        <v>liquids_unloading</v>
      </c>
      <c r="D220" t="n">
        <f>tbl_detail_2022!D220</f>
        <v>0</v>
      </c>
      <c r="E220" t="n">
        <f>tbl_detail_2022!E220</f>
        <v>0</v>
      </c>
      <c r="F220" t="n">
        <f>tbl_detail_2022!F220</f>
        <v>252603.39344498</v>
      </c>
      <c r="G220" t="n">
        <f>tbl_detail_2022!G220</f>
        <v>-24999.49827624</v>
      </c>
      <c r="H220" t="n">
        <f>tbl_detail_2022!H220</f>
        <v>-6949.2281128103696</v>
      </c>
      <c r="I220" t="n">
        <f>tbl_detail_2022!I220</f>
        <v>-261.807415302268</v>
      </c>
      <c r="J220" t="n">
        <f>tbl_detail_2022!J220</f>
        <v>-566979.083596532</v>
      </c>
      <c r="K220" t="n">
        <f>tbl_detail_2022!K220</f>
        <v>16419220.5739237</v>
      </c>
      <c r="L220" t="n">
        <f>tbl_detail_2022!L220</f>
        <v>4437845.8784502596</v>
      </c>
      <c r="M220" t="n">
        <f>tbl_detail_2022!M220</f>
        <v>11981374.695473401</v>
      </c>
      <c r="N220" t="n">
        <f>tbl_detail_2022!N220</f>
        <v>0</v>
      </c>
      <c r="O220" t="n">
        <f>tbl_detail_2022!O220</f>
        <v>16419220.5739237</v>
      </c>
      <c r="P220" t="n">
        <f t="shared" si="34"/>
        <v>9</v>
      </c>
      <c r="Q220" t="n">
        <f t="shared" si="35"/>
        <v>0.54393374258414806</v>
      </c>
      <c r="R220" t="n">
        <f t="shared" si="36"/>
        <v>8930968.0970889609</v>
      </c>
      <c r="S220" t="n">
        <f t="shared" si="41"/>
        <v>2413894.117677086</v>
      </c>
      <c r="T220" t="n">
        <f t="shared" si="42"/>
        <v>6517073.9794118544</v>
      </c>
      <c r="U220" t="n">
        <f t="shared" si="43"/>
        <v>0</v>
      </c>
      <c r="V220" t="n">
        <f t="shared" si="44"/>
        <v>8930968.0970889609</v>
      </c>
      <c r="W220" t="n">
        <f t="shared" si="37"/>
        <v>1751.9236681211767</v>
      </c>
      <c r="X220" t="n">
        <f t="shared" si="38"/>
        <v>43797212.72129941</v>
      </c>
      <c r="Y220" t="n">
        <f t="shared" si="39"/>
        <v>0.76641673234362695</v>
      </c>
      <c r="Z220" t="n">
        <f t="shared" si="40"/>
        <v>33566916.659617022</v>
      </c>
    </row>
    <row r="221">
      <c r="B221" s="52" t="n">
        <v>2030</v>
      </c>
      <c r="C221" t="str">
        <f>tbl_detail_2022!C221</f>
        <v>pneucontr</v>
      </c>
      <c r="D221" t="str">
        <f>tbl_detail_2022!D221</f>
        <v>G&amp;B Pneumatic Controllers</v>
      </c>
      <c r="E221" t="n">
        <f>tbl_detail_2022!E221</f>
        <v>0</v>
      </c>
      <c r="F221" t="n">
        <f>tbl_detail_2022!F221</f>
        <v>5418.7873285325904</v>
      </c>
      <c r="G221" t="n">
        <f>tbl_detail_2022!G221</f>
        <v>-326374.35862219898</v>
      </c>
      <c r="H221" t="n">
        <f>tbl_detail_2022!H221</f>
        <v>-90723.815404821304</v>
      </c>
      <c r="I221" t="n">
        <f>tbl_detail_2022!I221</f>
        <v>-3417.56612629962</v>
      </c>
      <c r="J221" t="n">
        <f>tbl_detail_2022!J221</f>
        <v>-7402045.9417336602</v>
      </c>
      <c r="K221" t="n">
        <f>tbl_detail_2022!K221</f>
        <v>69251376.334581599</v>
      </c>
      <c r="L221" t="n">
        <f>tbl_detail_2022!L221</f>
        <v>57937126.8270595</v>
      </c>
      <c r="M221" t="n">
        <f>tbl_detail_2022!M221</f>
        <v>11314249.507522101</v>
      </c>
      <c r="N221" t="n">
        <f>tbl_detail_2022!N221</f>
        <v>34121964.070942901</v>
      </c>
      <c r="O221" t="n">
        <f>tbl_detail_2022!O221</f>
        <v>-13300574.7335124</v>
      </c>
      <c r="P221" t="n">
        <f t="shared" si="34"/>
        <v>9</v>
      </c>
      <c r="Q221" t="n">
        <f t="shared" si="35"/>
        <v>0.54393374258414806</v>
      </c>
      <c r="R221" t="n">
        <f t="shared" si="36"/>
        <v>37668160.308772273</v>
      </c>
      <c r="S221" t="n">
        <f t="shared" si="41"/>
        <v>31513958.229614921</v>
      </c>
      <c r="T221" t="n">
        <f t="shared" si="42"/>
        <v>6154202.0791573506</v>
      </c>
      <c r="U221" t="n">
        <f t="shared" si="43"/>
        <v>18560087.621429805</v>
      </c>
      <c r="V221" t="n">
        <f t="shared" si="44"/>
        <v>-7234631.3933195574</v>
      </c>
      <c r="W221" t="n">
        <f t="shared" si="37"/>
        <v>1751.9236681211767</v>
      </c>
      <c r="X221" t="n">
        <f t="shared" si="38"/>
        <v>571782963.53809917</v>
      </c>
      <c r="Y221" t="n">
        <f t="shared" si="39"/>
        <v>0.76641673234362695</v>
      </c>
      <c r="Z221" t="n">
        <f t="shared" si="40"/>
        <v>438224030.52462518</v>
      </c>
    </row>
    <row r="222">
      <c r="B222" s="52" t="n">
        <v>2030</v>
      </c>
      <c r="C222" t="str">
        <f>tbl_detail_2022!C222</f>
        <v>pneucontr</v>
      </c>
      <c r="D222" t="str">
        <f>tbl_detail_2022!D222</f>
        <v>T&amp;S Pneumatic Controllers</v>
      </c>
      <c r="E222" t="n">
        <f>tbl_detail_2022!E222</f>
        <v>0</v>
      </c>
      <c r="F222" t="n">
        <f>tbl_detail_2022!F222</f>
        <v>52168.893772893804</v>
      </c>
      <c r="G222" t="n">
        <f>tbl_detail_2022!G222</f>
        <v>-73731.858928889196</v>
      </c>
      <c r="H222" t="n">
        <f>tbl_detail_2022!H222</f>
        <v>-2040.50624998589</v>
      </c>
      <c r="I222" t="n">
        <f>tbl_detail_2022!I222</f>
        <v>-60.606493963197202</v>
      </c>
      <c r="J222" t="n">
        <f>tbl_detail_2022!J222</f>
        <v>-1672210.43180303</v>
      </c>
      <c r="K222" t="n">
        <f>tbl_detail_2022!K222</f>
        <v>21086108.954062399</v>
      </c>
      <c r="L222" t="n">
        <f>tbl_detail_2022!L222</f>
        <v>11692372.979856901</v>
      </c>
      <c r="M222" t="n">
        <f>tbl_detail_2022!M222</f>
        <v>9393735.9742054995</v>
      </c>
      <c r="N222" t="n">
        <f>tbl_detail_2022!N222</f>
        <v>7297754.6711309701</v>
      </c>
      <c r="O222" t="n">
        <f>tbl_detail_2022!O222</f>
        <v>-15669260.486806599</v>
      </c>
      <c r="P222" t="n">
        <f t="shared" si="34"/>
        <v>9</v>
      </c>
      <c r="Q222" t="n">
        <f t="shared" si="35"/>
        <v>0.54393374258414806</v>
      </c>
      <c r="R222" t="n">
        <f t="shared" si="36"/>
        <v>11469446.159920277</v>
      </c>
      <c r="S222" t="n">
        <f t="shared" si="41"/>
        <v>6359876.1946233315</v>
      </c>
      <c r="T222" t="n">
        <f t="shared" si="42"/>
        <v>5109569.9652969455</v>
      </c>
      <c r="U222" t="n">
        <f t="shared" si="43"/>
        <v>3969495.010729217</v>
      </c>
      <c r="V222" t="n">
        <f t="shared" si="44"/>
        <v>-8523039.5001146235</v>
      </c>
      <c r="W222" t="n">
        <f t="shared" si="37"/>
        <v>1751.9236681211767</v>
      </c>
      <c r="X222" t="n">
        <f t="shared" si="38"/>
        <v>129172588.75209269</v>
      </c>
      <c r="Y222" t="n">
        <f t="shared" si="39"/>
        <v>0.76641673234362695</v>
      </c>
      <c r="Z222" t="n">
        <f t="shared" si="40"/>
        <v>99000033.37974602</v>
      </c>
    </row>
    <row r="223">
      <c r="B223" s="52" t="n">
        <v>2030</v>
      </c>
      <c r="C223" t="str">
        <f>tbl_detail_2022!C223</f>
        <v>pneucontr</v>
      </c>
      <c r="D223" t="str">
        <f>tbl_detail_2022!D223</f>
        <v>Well Pad Pneumatic Controllers</v>
      </c>
      <c r="E223" t="n">
        <f>tbl_detail_2022!E223</f>
        <v>0</v>
      </c>
      <c r="F223" t="n">
        <f>tbl_detail_2022!F223</f>
        <v>1316892.96440599</v>
      </c>
      <c r="G223" t="n">
        <f>tbl_detail_2022!G223</f>
        <v>-1714783.73602423</v>
      </c>
      <c r="H223" t="n">
        <f>tbl_detail_2022!H223</f>
        <v>-476666.49973056401</v>
      </c>
      <c r="I223" t="n">
        <f>tbl_detail_2022!I223</f>
        <v>-17956.027044850402</v>
      </c>
      <c r="J223" t="n">
        <f>tbl_detail_2022!J223</f>
        <v>-38890640.943034098</v>
      </c>
      <c r="K223" t="n">
        <f>tbl_detail_2022!K223</f>
        <v>821067168.75493503</v>
      </c>
      <c r="L223" t="n">
        <f>tbl_detail_2022!L223</f>
        <v>304403946.48164898</v>
      </c>
      <c r="M223" t="n">
        <f>tbl_detail_2022!M223</f>
        <v>516663222.27328598</v>
      </c>
      <c r="N223" t="n">
        <f>tbl_detail_2022!N223</f>
        <v>361267341.34526902</v>
      </c>
      <c r="O223" t="n">
        <f>tbl_detail_2022!O223</f>
        <v>-79013577.864359602</v>
      </c>
      <c r="P223" t="n">
        <f t="shared" si="34"/>
        <v>9</v>
      </c>
      <c r="Q223" t="n">
        <f t="shared" si="35"/>
        <v>0.54393374258414806</v>
      </c>
      <c r="R223" t="n">
        <f t="shared" si="36"/>
        <v>446606138.01384211</v>
      </c>
      <c r="S223" t="n">
        <f t="shared" si="41"/>
        <v>165575577.86714804</v>
      </c>
      <c r="T223" t="n">
        <f t="shared" si="42"/>
        <v>281030560.146694</v>
      </c>
      <c r="U223" t="n">
        <f t="shared" si="43"/>
        <v>196505497.05135712</v>
      </c>
      <c r="V223" t="n">
        <f t="shared" si="44"/>
        <v>-42978151.122725114</v>
      </c>
      <c r="W223" t="n">
        <f t="shared" si="37"/>
        <v>1751.9236681211767</v>
      </c>
      <c r="X223" t="n">
        <f t="shared" si="38"/>
        <v>3004170212.8501043</v>
      </c>
      <c r="Y223" t="n">
        <f t="shared" si="39"/>
        <v>0.76641673234362695</v>
      </c>
      <c r="Z223" t="n">
        <f t="shared" si="40"/>
        <v>2302446317.936635</v>
      </c>
    </row>
    <row r="224">
      <c r="B224" s="52" t="n">
        <v>2030</v>
      </c>
      <c r="C224" t="str">
        <f>tbl_detail_2022!C224</f>
        <v>pumps</v>
      </c>
      <c r="D224" t="str">
        <f>tbl_detail_2022!D224</f>
        <v>G&amp;B Pneumatic Pumps</v>
      </c>
      <c r="E224" t="n">
        <f>tbl_detail_2022!E224</f>
        <v>0</v>
      </c>
      <c r="F224" t="n">
        <f>tbl_detail_2022!F224</f>
        <v>580.44378416484903</v>
      </c>
      <c r="G224" t="n">
        <f>tbl_detail_2022!G224</f>
        <v>-44567.142096575299</v>
      </c>
      <c r="H224" t="n">
        <f>tbl_detail_2022!H224</f>
        <v>-12388.5380878543</v>
      </c>
      <c r="I224" t="n">
        <f>tbl_detail_2022!I224</f>
        <v>-466.676229769472</v>
      </c>
      <c r="J224" t="n">
        <f>tbl_detail_2022!J224</f>
        <v>-1010765.78038562</v>
      </c>
      <c r="K224" t="n">
        <f>tbl_detail_2022!K224</f>
        <v>25058411.901273899</v>
      </c>
      <c r="L224" t="n">
        <f>tbl_detail_2022!L224</f>
        <v>7911443.0890626898</v>
      </c>
      <c r="M224" t="n">
        <f>tbl_detail_2022!M224</f>
        <v>17146968.812211201</v>
      </c>
      <c r="N224" t="n">
        <f>tbl_detail_2022!N224</f>
        <v>13004277.9558376</v>
      </c>
      <c r="O224" t="n">
        <f>tbl_detail_2022!O224</f>
        <v>-1424716.5392958799</v>
      </c>
      <c r="P224" t="n">
        <f t="shared" si="34"/>
        <v>9</v>
      </c>
      <c r="Q224" t="n">
        <f t="shared" si="35"/>
        <v>0.54393374258414806</v>
      </c>
      <c r="R224" t="n">
        <f t="shared" si="36"/>
        <v>13630115.768675068</v>
      </c>
      <c r="S224" t="n">
        <f t="shared" si="41"/>
        <v>4303300.8486753618</v>
      </c>
      <c r="T224" t="n">
        <f t="shared" si="42"/>
        <v>9326814.9199997019</v>
      </c>
      <c r="U224" t="n">
        <f t="shared" si="43"/>
        <v>7073465.5781232798</v>
      </c>
      <c r="V224" t="n">
        <f t="shared" si="44"/>
        <v>-774951.39934074343</v>
      </c>
      <c r="W224" t="n">
        <f t="shared" si="37"/>
        <v>1751.9236681211767</v>
      </c>
      <c r="X224" t="n">
        <f t="shared" si="38"/>
        <v>78078231.059509903</v>
      </c>
      <c r="Y224" t="n">
        <f t="shared" si="39"/>
        <v>0.76641673234362695</v>
      </c>
      <c r="Z224" t="n">
        <f t="shared" si="40"/>
        <v>59840462.715800263</v>
      </c>
    </row>
    <row r="225">
      <c r="B225" s="52" t="n">
        <v>2030</v>
      </c>
      <c r="C225" t="str">
        <f>tbl_detail_2022!C225</f>
        <v>pumps</v>
      </c>
      <c r="D225" t="str">
        <f>tbl_detail_2022!D225</f>
        <v>Well Pad Pumps</v>
      </c>
      <c r="E225" t="n">
        <f>tbl_detail_2022!E225</f>
        <v>0</v>
      </c>
      <c r="F225" t="n">
        <f>tbl_detail_2022!F225</f>
        <v>98876.577523292406</v>
      </c>
      <c r="G225" t="n">
        <f>tbl_detail_2022!G225</f>
        <v>-165795.43832525899</v>
      </c>
      <c r="H225" t="n">
        <f>tbl_detail_2022!H225</f>
        <v>-46086.937727218603</v>
      </c>
      <c r="I225" t="n">
        <f>tbl_detail_2022!I225</f>
        <v>-1736.09494418432</v>
      </c>
      <c r="J225" t="n">
        <f>tbl_detail_2022!J225</f>
        <v>-3760177.2902571401</v>
      </c>
      <c r="K225" t="n">
        <f>tbl_detail_2022!K225</f>
        <v>126032011.665837</v>
      </c>
      <c r="L225" t="n">
        <f>tbl_detail_2022!L225</f>
        <v>29431574.766318299</v>
      </c>
      <c r="M225" t="n">
        <f>tbl_detail_2022!M225</f>
        <v>96600436.899518803</v>
      </c>
      <c r="N225" t="n">
        <f>tbl_detail_2022!N225</f>
        <v>55294608.272318698</v>
      </c>
      <c r="O225" t="n">
        <f>tbl_detail_2022!O225</f>
        <v>-5932594.6513975402</v>
      </c>
      <c r="P225" t="n">
        <f t="shared" si="34"/>
        <v>9</v>
      </c>
      <c r="Q225" t="n">
        <f t="shared" si="35"/>
        <v>0.54393374258414806</v>
      </c>
      <c r="R225" t="n">
        <f t="shared" si="36"/>
        <v>68553063.790807724</v>
      </c>
      <c r="S225" t="n">
        <f t="shared" si="41"/>
        <v>16008826.612788685</v>
      </c>
      <c r="T225" t="n">
        <f t="shared" si="42"/>
        <v>52544237.178019099</v>
      </c>
      <c r="U225" t="n">
        <f t="shared" si="43"/>
        <v>30076603.222286701</v>
      </c>
      <c r="V225" t="n">
        <f t="shared" si="44"/>
        <v>-3226938.4119693632</v>
      </c>
      <c r="W225" t="n">
        <f t="shared" si="37"/>
        <v>1751.9236681211767</v>
      </c>
      <c r="X225" t="n">
        <f t="shared" si="38"/>
        <v>290460952.46854603</v>
      </c>
      <c r="Y225" t="n">
        <f t="shared" si="39"/>
        <v>0.76641673234362695</v>
      </c>
      <c r="Z225" t="n">
        <f t="shared" si="40"/>
        <v>222614134.06436059</v>
      </c>
    </row>
    <row r="226">
      <c r="B226" s="52" t="n">
        <v>2030</v>
      </c>
      <c r="C226" t="str">
        <f>tbl_detail_2022!C226</f>
        <v>Storage vessels</v>
      </c>
      <c r="D226" t="n">
        <f>tbl_detail_2022!D226</f>
        <v>0</v>
      </c>
      <c r="E226" t="n">
        <f>tbl_detail_2022!E226</f>
        <v>0</v>
      </c>
      <c r="F226" t="n">
        <f>tbl_detail_2022!F226</f>
        <v>10817.798881065401</v>
      </c>
      <c r="G226" t="n">
        <f>tbl_detail_2022!G226</f>
        <v>-15070.24794082</v>
      </c>
      <c r="H226" t="n">
        <f>tbl_detail_2022!H226</f>
        <v>-71763.277307784199</v>
      </c>
      <c r="I226" t="n">
        <f>tbl_detail_2022!I226</f>
        <v>-2703.3226561842298</v>
      </c>
      <c r="J226" t="n">
        <f>tbl_detail_2022!J226</f>
        <v>-341787.47399820801</v>
      </c>
      <c r="K226" t="n">
        <f>tbl_detail_2022!K226</f>
        <v>335162627.40673399</v>
      </c>
      <c r="L226" t="n">
        <f>tbl_detail_2022!L226</f>
        <v>0</v>
      </c>
      <c r="M226" t="n">
        <f>tbl_detail_2022!M226</f>
        <v>335162627.40673399</v>
      </c>
      <c r="N226" t="n">
        <f>tbl_detail_2022!N226</f>
        <v>104160031.393242</v>
      </c>
      <c r="O226" t="n">
        <f>tbl_detail_2022!O226</f>
        <v>247078526.44353399</v>
      </c>
      <c r="P226" t="n">
        <f t="shared" si="34"/>
        <v>9</v>
      </c>
      <c r="Q226" t="n">
        <f t="shared" si="35"/>
        <v>0.54393374258414806</v>
      </c>
      <c r="R226" t="n">
        <f t="shared" si="36"/>
        <v>182306262.29968119</v>
      </c>
      <c r="S226" t="n">
        <f t="shared" si="41"/>
        <v>0</v>
      </c>
      <c r="T226" t="n">
        <f t="shared" si="42"/>
        <v>182306262.29968119</v>
      </c>
      <c r="U226" t="n">
        <f t="shared" si="43"/>
        <v>56656155.703408472</v>
      </c>
      <c r="V226" t="n">
        <f t="shared" si="44"/>
        <v>134394347.60060784</v>
      </c>
      <c r="W226" t="n">
        <f t="shared" si="37"/>
        <v>1751.9236681211767</v>
      </c>
      <c r="X226" t="n">
        <f t="shared" si="38"/>
        <v>26401924.051976983</v>
      </c>
      <c r="Y226" t="n">
        <f t="shared" si="39"/>
        <v>0.76641673234362695</v>
      </c>
      <c r="Z226" t="n">
        <f t="shared" si="40"/>
        <v>20234876.359500811</v>
      </c>
    </row>
    <row r="227">
      <c r="B227" s="52" t="n">
        <v>2031</v>
      </c>
      <c r="C227" t="str">
        <f>tbl_detail_2022!C227</f>
        <v>fugitives</v>
      </c>
      <c r="D227" t="str">
        <f>tbl_detail_2022!D227</f>
        <v>G&amp;B Stations</v>
      </c>
      <c r="E227" t="n">
        <f>tbl_detail_2022!E227</f>
        <v>0</v>
      </c>
      <c r="F227" t="n">
        <f>tbl_detail_2022!F227</f>
        <v>5046.5407559544301</v>
      </c>
      <c r="G227" t="n">
        <f>tbl_detail_2022!G227</f>
        <v>-67147.380217115002</v>
      </c>
      <c r="H227" t="n">
        <f>tbl_detail_2022!H227</f>
        <v>-18665.273084693399</v>
      </c>
      <c r="I227" t="n">
        <f>tbl_detail_2022!I227</f>
        <v>-703.20139487237498</v>
      </c>
      <c r="J227" t="n">
        <f>tbl_detail_2022!J227</f>
        <v>-1522876.9665986199</v>
      </c>
      <c r="K227" t="n">
        <f>tbl_detail_2022!K227</f>
        <v>67346855.079228595</v>
      </c>
      <c r="L227" t="n">
        <f>tbl_detail_2022!L227</f>
        <v>12209888.153253</v>
      </c>
      <c r="M227" t="n">
        <f>tbl_detail_2022!M227</f>
        <v>55136966.925975598</v>
      </c>
      <c r="N227" t="n">
        <f>tbl_detail_2022!N227</f>
        <v>0</v>
      </c>
      <c r="O227" t="n">
        <f>tbl_detail_2022!O227</f>
        <v>64908607.203085802</v>
      </c>
      <c r="P227" t="n">
        <f t="shared" si="34"/>
        <v>10</v>
      </c>
      <c r="Q227" t="n">
        <f t="shared" si="35"/>
        <v>0.5083492921347178</v>
      </c>
      <c r="R227" t="n">
        <f t="shared" si="36"/>
        <v>34235726.107025281</v>
      </c>
      <c r="S227" t="n">
        <f t="shared" si="41"/>
        <v>6206887.9997502398</v>
      </c>
      <c r="T227" t="n">
        <f t="shared" si="42"/>
        <v>28028838.107275043</v>
      </c>
      <c r="U227" t="n">
        <f t="shared" si="43"/>
        <v>0</v>
      </c>
      <c r="V227" t="n">
        <f t="shared" si="44"/>
        <v>32996244.525139112</v>
      </c>
      <c r="W227" t="n">
        <f t="shared" si="37"/>
        <v>1801.5596379329102</v>
      </c>
      <c r="X227" t="n">
        <f t="shared" si="38"/>
        <v>120970009.99208915</v>
      </c>
      <c r="Y227" t="n">
        <f t="shared" si="39"/>
        <v>0.74409391489672516</v>
      </c>
      <c r="Z227" t="n">
        <f t="shared" si="40"/>
        <v>90013048.320109576</v>
      </c>
    </row>
    <row r="228">
      <c r="B228" s="52" t="n">
        <v>2031</v>
      </c>
      <c r="C228" t="str">
        <f>tbl_detail_2022!C228</f>
        <v>fugitives</v>
      </c>
      <c r="D228" t="str">
        <f>tbl_detail_2022!D228</f>
        <v>Processing Plants</v>
      </c>
      <c r="E228" t="str">
        <f>tbl_detail_2022!E228</f>
        <v>Large Plants</v>
      </c>
      <c r="F228" t="n">
        <f>tbl_detail_2022!F228</f>
        <v>230.58923427334699</v>
      </c>
      <c r="G228" t="n">
        <f>tbl_detail_2022!G228</f>
        <v>-5401.76503995455</v>
      </c>
      <c r="H228" t="n">
        <f>tbl_detail_2022!H228</f>
        <v>-642.41050804930705</v>
      </c>
      <c r="I228" t="n">
        <f>tbl_detail_2022!I228</f>
        <v>-23.470257575287199</v>
      </c>
      <c r="J228" t="n">
        <f>tbl_detail_2022!J228</f>
        <v>-122509.970332807</v>
      </c>
      <c r="K228" t="n">
        <f>tbl_detail_2022!K228</f>
        <v>1353695.9961452901</v>
      </c>
      <c r="L228" t="n">
        <f>tbl_detail_2022!L228</f>
        <v>935952.00774872303</v>
      </c>
      <c r="M228" t="n">
        <f>tbl_detail_2022!M228</f>
        <v>417743.988396567</v>
      </c>
      <c r="N228" t="n">
        <f>tbl_detail_2022!N228</f>
        <v>-2765772.8556624702</v>
      </c>
      <c r="O228" t="n">
        <f>tbl_detail_2022!O228</f>
        <v>2035982.83451001</v>
      </c>
      <c r="P228" t="n">
        <f t="shared" si="34"/>
        <v>10</v>
      </c>
      <c r="Q228" t="n">
        <f t="shared" si="35"/>
        <v>0.5083492921347178</v>
      </c>
      <c r="R228" t="n">
        <f t="shared" si="36"/>
        <v>688150.40140605986</v>
      </c>
      <c r="S228" t="n">
        <f t="shared" si="41"/>
        <v>475790.54061113123</v>
      </c>
      <c r="T228" t="n">
        <f t="shared" si="42"/>
        <v>212359.86079492859</v>
      </c>
      <c r="U228" t="n">
        <f t="shared" si="43"/>
        <v>-1405978.6733814338</v>
      </c>
      <c r="V228" t="n">
        <f t="shared" si="44"/>
        <v>1034990.4327215998</v>
      </c>
      <c r="W228" t="n">
        <f t="shared" si="37"/>
        <v>1801.5596379329102</v>
      </c>
      <c r="X228" t="n">
        <f t="shared" si="38"/>
        <v>9731601.8695791718</v>
      </c>
      <c r="Y228" t="n">
        <f t="shared" si="39"/>
        <v>0.74409391489672516</v>
      </c>
      <c r="Z228" t="n">
        <f t="shared" si="40"/>
        <v>7241225.733351456</v>
      </c>
    </row>
    <row r="229">
      <c r="B229" s="52" t="n">
        <v>2031</v>
      </c>
      <c r="C229" t="str">
        <f>tbl_detail_2022!C229</f>
        <v>fugitives</v>
      </c>
      <c r="D229" t="str">
        <f>tbl_detail_2022!D229</f>
        <v>Processing Plants</v>
      </c>
      <c r="E229" t="str">
        <f>tbl_detail_2022!E229</f>
        <v>Small Plants</v>
      </c>
      <c r="F229" t="n">
        <f>tbl_detail_2022!F229</f>
        <v>957.04735286902405</v>
      </c>
      <c r="G229" t="n">
        <f>tbl_detail_2022!G229</f>
        <v>-10768.264391353499</v>
      </c>
      <c r="H229" t="n">
        <f>tbl_detail_2022!H229</f>
        <v>-1290.51478571953</v>
      </c>
      <c r="I229" t="n">
        <f>tbl_detail_2022!I229</f>
        <v>-47.168893840255699</v>
      </c>
      <c r="J229" t="n">
        <f>tbl_detail_2022!J229</f>
        <v>-244220.12830303199</v>
      </c>
      <c r="K229" t="n">
        <f>tbl_detail_2022!K229</f>
        <v>3346663.2865316099</v>
      </c>
      <c r="L229" t="n">
        <f>tbl_detail_2022!L229</f>
        <v>1865793.60681359</v>
      </c>
      <c r="M229" t="n">
        <f>tbl_detail_2022!M229</f>
        <v>1480869.6797180199</v>
      </c>
      <c r="N229" t="n">
        <f>tbl_detail_2022!N229</f>
        <v>-5604183.7651990401</v>
      </c>
      <c r="O229" t="n">
        <f>tbl_detail_2022!O229</f>
        <v>4729156.0009800298</v>
      </c>
      <c r="P229" t="n">
        <f t="shared" si="34"/>
        <v>10</v>
      </c>
      <c r="Q229" t="n">
        <f t="shared" si="35"/>
        <v>0.5083492921347178</v>
      </c>
      <c r="R229" t="n">
        <f t="shared" si="36"/>
        <v>1701273.9127215922</v>
      </c>
      <c r="S229" t="n">
        <f t="shared" si="41"/>
        <v>948474.85929317051</v>
      </c>
      <c r="T229" t="n">
        <f t="shared" si="42"/>
        <v>752799.05342842173</v>
      </c>
      <c r="U229" t="n">
        <f t="shared" si="43"/>
        <v>-2848882.8500318094</v>
      </c>
      <c r="V229" t="n">
        <f t="shared" si="44"/>
        <v>2404063.1054928508</v>
      </c>
      <c r="W229" t="n">
        <f t="shared" si="37"/>
        <v>1801.5596379329102</v>
      </c>
      <c r="X229" t="n">
        <f t="shared" si="38"/>
        <v>19399670.49805266</v>
      </c>
      <c r="Y229" t="n">
        <f t="shared" si="39"/>
        <v>0.74409391489672516</v>
      </c>
      <c r="Z229" t="n">
        <f t="shared" si="40"/>
        <v>14435176.768602505</v>
      </c>
    </row>
    <row r="230">
      <c r="B230" s="52" t="n">
        <v>2031</v>
      </c>
      <c r="C230" t="str">
        <f>tbl_detail_2022!C230</f>
        <v>fugitives</v>
      </c>
      <c r="D230" t="str">
        <f>tbl_detail_2022!D230</f>
        <v>T&amp;S Compressor Stations</v>
      </c>
      <c r="E230" t="str">
        <f>tbl_detail_2022!E230</f>
        <v>Compressor Stations (Transmission)</v>
      </c>
      <c r="F230" t="n">
        <f>tbl_detail_2022!F230</f>
        <v>1553.60175325613</v>
      </c>
      <c r="G230" t="n">
        <f>tbl_detail_2022!G230</f>
        <v>-50201.517177433401</v>
      </c>
      <c r="H230" t="n">
        <f>tbl_detail_2022!H230</f>
        <v>-1389.3113648215799</v>
      </c>
      <c r="I230" t="n">
        <f>tbl_detail_2022!I230</f>
        <v>-41.264902200442798</v>
      </c>
      <c r="J230" t="n">
        <f>tbl_detail_2022!J230</f>
        <v>-1138551.25770539</v>
      </c>
      <c r="K230" t="n">
        <f>tbl_detail_2022!K230</f>
        <v>30556199.457936902</v>
      </c>
      <c r="L230" t="n">
        <f>tbl_detail_2022!L230</f>
        <v>8154662.8359053498</v>
      </c>
      <c r="M230" t="n">
        <f>tbl_detail_2022!M230</f>
        <v>22401536.622031499</v>
      </c>
      <c r="N230" t="n">
        <f>tbl_detail_2022!N230</f>
        <v>0</v>
      </c>
      <c r="O230" t="n">
        <f>tbl_detail_2022!O230</f>
        <v>24748875.929370198</v>
      </c>
      <c r="P230" t="n">
        <f t="shared" si="34"/>
        <v>10</v>
      </c>
      <c r="Q230" t="n">
        <f t="shared" si="35"/>
        <v>0.5083492921347178</v>
      </c>
      <c r="R230" t="n">
        <f t="shared" si="36"/>
        <v>15533222.364769472</v>
      </c>
      <c r="S230" t="n">
        <f t="shared" si="41"/>
        <v>4145417.080229775</v>
      </c>
      <c r="T230" t="n">
        <f t="shared" si="42"/>
        <v>11387805.28453967</v>
      </c>
      <c r="U230" t="n">
        <f t="shared" si="43"/>
        <v>0</v>
      </c>
      <c r="V230" t="n">
        <f t="shared" si="44"/>
        <v>12581073.559825296</v>
      </c>
      <c r="W230" t="n">
        <f t="shared" si="37"/>
        <v>1801.5596379329102</v>
      </c>
      <c r="X230" t="n">
        <f t="shared" si="38"/>
        <v>90441027.10985969</v>
      </c>
      <c r="Y230" t="n">
        <f t="shared" si="39"/>
        <v>0.74409391489672516</v>
      </c>
      <c r="Z230" t="n">
        <f t="shared" si="40"/>
        <v>67296617.929456353</v>
      </c>
    </row>
    <row r="231">
      <c r="B231" s="52" t="n">
        <v>2031</v>
      </c>
      <c r="C231" t="str">
        <f>tbl_detail_2022!C231</f>
        <v>fugitives</v>
      </c>
      <c r="D231" t="str">
        <f>tbl_detail_2022!D231</f>
        <v>T&amp;S Compressor Stations</v>
      </c>
      <c r="E231" t="str">
        <f>tbl_detail_2022!E231</f>
        <v>Compressor Stations (Storage)</v>
      </c>
      <c r="F231" t="n">
        <f>tbl_detail_2022!F231</f>
        <v>281.50742834011498</v>
      </c>
      <c r="G231" t="n">
        <f>tbl_detail_2022!G231</f>
        <v>-32078.048691249602</v>
      </c>
      <c r="H231" t="n">
        <f>tbl_detail_2022!H231</f>
        <v>-887.75001461681904</v>
      </c>
      <c r="I231" t="n">
        <f>tbl_detail_2022!I231</f>
        <v>-26.3676800314012</v>
      </c>
      <c r="J231" t="n">
        <f>tbl_detail_2022!J231</f>
        <v>-727517.90654196497</v>
      </c>
      <c r="K231" t="n">
        <f>tbl_detail_2022!K231</f>
        <v>6689735.3108990397</v>
      </c>
      <c r="L231" t="n">
        <f>tbl_detail_2022!L231</f>
        <v>5210712.4688351704</v>
      </c>
      <c r="M231" t="n">
        <f>tbl_detail_2022!M231</f>
        <v>1479022.8420638801</v>
      </c>
      <c r="N231" t="n">
        <f>tbl_detail_2022!N231</f>
        <v>0</v>
      </c>
      <c r="O231" t="n">
        <f>tbl_detail_2022!O231</f>
        <v>5637467.7599391397</v>
      </c>
      <c r="P231" t="n">
        <f t="shared" si="34"/>
        <v>10</v>
      </c>
      <c r="Q231" t="n">
        <f t="shared" si="35"/>
        <v>0.5083492921347178</v>
      </c>
      <c r="R231" t="n">
        <f t="shared" si="36"/>
        <v>3400722.2098641531</v>
      </c>
      <c r="S231" t="n">
        <f t="shared" si="41"/>
        <v>2648861.9950499064</v>
      </c>
      <c r="T231" t="n">
        <f t="shared" si="42"/>
        <v>751860.21481425199</v>
      </c>
      <c r="U231" t="n">
        <f t="shared" si="43"/>
        <v>0</v>
      </c>
      <c r="V231" t="n">
        <f t="shared" si="44"/>
        <v>2865802.7451973548</v>
      </c>
      <c r="W231" t="n">
        <f t="shared" si="37"/>
        <v>1801.5596379329102</v>
      </c>
      <c r="X231" t="n">
        <f t="shared" si="38"/>
        <v>57790517.785801895</v>
      </c>
      <c r="Y231" t="n">
        <f t="shared" si="39"/>
        <v>0.74409391489672516</v>
      </c>
      <c r="Z231" t="n">
        <f t="shared" si="40"/>
        <v>43001572.623146154</v>
      </c>
    </row>
    <row r="232">
      <c r="B232" s="52" t="n">
        <v>2031</v>
      </c>
      <c r="C232" t="str">
        <f>tbl_detail_2022!C232</f>
        <v>fugitives</v>
      </c>
      <c r="D232" t="str">
        <f>tbl_detail_2022!D232</f>
        <v>Wellpad Fugitives</v>
      </c>
      <c r="E232" t="str">
        <f>tbl_detail_2022!E232</f>
        <v>1: No equipment, no tanks</v>
      </c>
      <c r="F232" t="n">
        <f>tbl_detail_2022!F232</f>
        <v>185664.23330024301</v>
      </c>
      <c r="G232" t="n">
        <f>tbl_detail_2022!G232</f>
        <v>-41669.591039749299</v>
      </c>
      <c r="H232" t="n">
        <f>tbl_detail_2022!H232</f>
        <v>-11583.092193405801</v>
      </c>
      <c r="I232" t="n">
        <f>tbl_detail_2022!I232</f>
        <v>-436.33508292559497</v>
      </c>
      <c r="J232" t="n">
        <f>tbl_detail_2022!J232</f>
        <v>-945050.42783253198</v>
      </c>
      <c r="K232" t="n">
        <f>tbl_detail_2022!K232</f>
        <v>127996384.930381</v>
      </c>
      <c r="L232" t="n">
        <f>tbl_detail_2022!L232</f>
        <v>7577079.61713525</v>
      </c>
      <c r="M232" t="n">
        <f>tbl_detail_2022!M232</f>
        <v>120419305.313246</v>
      </c>
      <c r="N232" t="n">
        <f>tbl_detail_2022!N232</f>
        <v>832342.48854517995</v>
      </c>
      <c r="O232" t="n">
        <f>tbl_detail_2022!O232</f>
        <v>125006705.507312</v>
      </c>
      <c r="P232" t="n">
        <f t="shared" si="34"/>
        <v>10</v>
      </c>
      <c r="Q232" t="n">
        <f t="shared" si="35"/>
        <v>0.5083492921347178</v>
      </c>
      <c r="R232" t="n">
        <f t="shared" si="36"/>
        <v>65066871.67516204</v>
      </c>
      <c r="S232" t="n">
        <f t="shared" si="41"/>
        <v>3851803.0598191028</v>
      </c>
      <c r="T232" t="n">
        <f t="shared" si="42"/>
        <v>61215068.615343064</v>
      </c>
      <c r="U232" t="n">
        <f t="shared" si="43"/>
        <v>423120.71486559167</v>
      </c>
      <c r="V232" t="n">
        <f t="shared" si="44"/>
        <v>63547070.256735183</v>
      </c>
      <c r="W232" t="n">
        <f t="shared" si="37"/>
        <v>1801.5596379329102</v>
      </c>
      <c r="X232" t="n">
        <f t="shared" si="38"/>
        <v>75070253.346383184</v>
      </c>
      <c r="Y232" t="n">
        <f t="shared" si="39"/>
        <v>0.74409391489672516</v>
      </c>
      <c r="Z232" t="n">
        <f t="shared" si="40"/>
        <v>55859318.70479925</v>
      </c>
    </row>
    <row r="233">
      <c r="B233" s="52" t="n">
        <v>2031</v>
      </c>
      <c r="C233" t="str">
        <f>tbl_detail_2022!C233</f>
        <v>fugitives</v>
      </c>
      <c r="D233" t="str">
        <f>tbl_detail_2022!D233</f>
        <v>Wellpad Fugitives</v>
      </c>
      <c r="E233" t="str">
        <f>tbl_detail_2022!E233</f>
        <v>2: Tanks, no equipment</v>
      </c>
      <c r="F233" t="n">
        <f>tbl_detail_2022!F233</f>
        <v>29654.2373905329</v>
      </c>
      <c r="G233" t="n">
        <f>tbl_detail_2022!G233</f>
        <v>-9165.3957380350603</v>
      </c>
      <c r="H233" t="n">
        <f>tbl_detail_2022!H233</f>
        <v>-2547.7481581577599</v>
      </c>
      <c r="I233" t="n">
        <f>tbl_detail_2022!I233</f>
        <v>-95.973673117802903</v>
      </c>
      <c r="J233" t="n">
        <f>tbl_detail_2022!J233</f>
        <v>-207867.67874016101</v>
      </c>
      <c r="K233" t="n">
        <f>tbl_detail_2022!K233</f>
        <v>30419678.536163099</v>
      </c>
      <c r="L233" t="n">
        <f>tbl_detail_2022!L233</f>
        <v>1666609.4266055401</v>
      </c>
      <c r="M233" t="n">
        <f>tbl_detail_2022!M233</f>
        <v>28753069.109557599</v>
      </c>
      <c r="N233" t="n">
        <f>tbl_detail_2022!N233</f>
        <v>649518.60673055903</v>
      </c>
      <c r="O233" t="n">
        <f>tbl_detail_2022!O233</f>
        <v>29193017.138043702</v>
      </c>
      <c r="P233" t="n">
        <f t="shared" si="34"/>
        <v>10</v>
      </c>
      <c r="Q233" t="n">
        <f t="shared" si="35"/>
        <v>0.5083492921347178</v>
      </c>
      <c r="R233" t="n">
        <f t="shared" si="36"/>
        <v>15463822.05082418</v>
      </c>
      <c r="S233" t="n">
        <f t="shared" si="41"/>
        <v>847219.72227997426</v>
      </c>
      <c r="T233" t="n">
        <f t="shared" si="42"/>
        <v>14616602.328544226</v>
      </c>
      <c r="U233" t="n">
        <f t="shared" si="43"/>
        <v>330182.32395980781</v>
      </c>
      <c r="V233" t="n">
        <f t="shared" si="44"/>
        <v>14840249.597401202</v>
      </c>
      <c r="W233" t="n">
        <f t="shared" si="37"/>
        <v>1801.5596379329102</v>
      </c>
      <c r="X233" t="n">
        <f t="shared" si="38"/>
        <v>16512007.02732628</v>
      </c>
      <c r="Y233" t="n">
        <f t="shared" si="39"/>
        <v>0.74409391489672516</v>
      </c>
      <c r="Z233" t="n">
        <f t="shared" si="40"/>
        <v>12286483.95176545</v>
      </c>
    </row>
    <row r="234">
      <c r="B234" s="52" t="n">
        <v>2031</v>
      </c>
      <c r="C234" t="str">
        <f>tbl_detail_2022!C234</f>
        <v>fugitives</v>
      </c>
      <c r="D234" t="str">
        <f>tbl_detail_2022!D234</f>
        <v>Wellpad Fugitives</v>
      </c>
      <c r="E234" t="str">
        <f>tbl_detail_2022!E234</f>
        <v>3: Equipment = 1, no tanks</v>
      </c>
      <c r="F234" t="n">
        <f>tbl_detail_2022!F234</f>
        <v>24505.878068135</v>
      </c>
      <c r="G234" t="n">
        <f>tbl_detail_2022!G234</f>
        <v>-20508.295173897099</v>
      </c>
      <c r="H234" t="n">
        <f>tbl_detail_2022!H234</f>
        <v>-5700.7872600003902</v>
      </c>
      <c r="I234" t="n">
        <f>tbl_detail_2022!I234</f>
        <v>-214.74865608421501</v>
      </c>
      <c r="J234" t="n">
        <f>tbl_detail_2022!J234</f>
        <v>-465120.31062937801</v>
      </c>
      <c r="K234" t="n">
        <f>tbl_detail_2022!K234</f>
        <v>12884731.481468201</v>
      </c>
      <c r="L234" t="n">
        <f>tbl_detail_2022!L234</f>
        <v>3729169.9166449099</v>
      </c>
      <c r="M234" t="n">
        <f>tbl_detail_2022!M234</f>
        <v>9155561.5648232494</v>
      </c>
      <c r="N234" t="n">
        <f>tbl_detail_2022!N234</f>
        <v>-348359.21068556397</v>
      </c>
      <c r="O234" t="n">
        <f>tbl_detail_2022!O234</f>
        <v>12820853.153903199</v>
      </c>
      <c r="P234" t="n">
        <f t="shared" si="34"/>
        <v>10</v>
      </c>
      <c r="Q234" t="n">
        <f t="shared" si="35"/>
        <v>0.5083492921347178</v>
      </c>
      <c r="R234" t="n">
        <f t="shared" si="36"/>
        <v>6549944.1279502735</v>
      </c>
      <c r="S234" t="n">
        <f t="shared" si="41"/>
        <v>1895720.8873765245</v>
      </c>
      <c r="T234" t="n">
        <f t="shared" si="42"/>
        <v>4654223.2405737285</v>
      </c>
      <c r="U234" t="n">
        <f t="shared" si="43"/>
        <v>-177088.15816061548</v>
      </c>
      <c r="V234" t="n">
        <f t="shared" si="44"/>
        <v>6517471.625349856</v>
      </c>
      <c r="W234" t="n">
        <f t="shared" si="37"/>
        <v>1801.5596379329102</v>
      </c>
      <c r="X234" t="n">
        <f t="shared" si="38"/>
        <v>36946916.828107305</v>
      </c>
      <c r="Y234" t="n">
        <f t="shared" si="39"/>
        <v>0.74409391489672516</v>
      </c>
      <c r="Z234" t="n">
        <f t="shared" si="40"/>
        <v>27491975.985990059</v>
      </c>
    </row>
    <row r="235">
      <c r="B235" s="52" t="n">
        <v>2031</v>
      </c>
      <c r="C235" t="str">
        <f>tbl_detail_2022!C235</f>
        <v>fugitives</v>
      </c>
      <c r="D235" t="str">
        <f>tbl_detail_2022!D235</f>
        <v>Wellpad Fugitives</v>
      </c>
      <c r="E235" t="str">
        <f>tbl_detail_2022!E235</f>
        <v>4: Equipment &gt; 1, no tanks</v>
      </c>
      <c r="F235" t="n">
        <f>tbl_detail_2022!F235</f>
        <v>33922.450003833903</v>
      </c>
      <c r="G235" t="n">
        <f>tbl_detail_2022!G235</f>
        <v>-55996.711198829398</v>
      </c>
      <c r="H235" t="n">
        <f>tbl_detail_2022!H235</f>
        <v>-15565.669164471399</v>
      </c>
      <c r="I235" t="n">
        <f>tbl_detail_2022!I235</f>
        <v>-586.35875742563701</v>
      </c>
      <c r="J235" t="n">
        <f>tbl_detail_2022!J235</f>
        <v>-1269984.0472441299</v>
      </c>
      <c r="K235" t="n">
        <f>tbl_detail_2022!K235</f>
        <v>113698679.068076</v>
      </c>
      <c r="L235" t="n">
        <f>tbl_detail_2022!L235</f>
        <v>10182282.294216</v>
      </c>
      <c r="M235" t="n">
        <f>tbl_detail_2022!M235</f>
        <v>103516396.77385999</v>
      </c>
      <c r="N235" t="n">
        <f>tbl_detail_2022!N235</f>
        <v>25384.850407269001</v>
      </c>
      <c r="O235" t="n">
        <f>tbl_detail_2022!O235</f>
        <v>109943704.212216</v>
      </c>
      <c r="P235" t="n">
        <f t="shared" si="34"/>
        <v>10</v>
      </c>
      <c r="Q235" t="n">
        <f t="shared" si="35"/>
        <v>0.5083492921347178</v>
      </c>
      <c r="R235" t="n">
        <f t="shared" si="36"/>
        <v>57798643.020908892</v>
      </c>
      <c r="S235" t="n">
        <f t="shared" si="41"/>
        <v>5176155.9965805737</v>
      </c>
      <c r="T235" t="n">
        <f t="shared" si="42"/>
        <v>52622487.024328314</v>
      </c>
      <c r="U235" t="n">
        <f t="shared" si="43"/>
        <v>12904.370735480899</v>
      </c>
      <c r="V235" t="n">
        <f t="shared" si="44"/>
        <v>55889804.210948795</v>
      </c>
      <c r="W235" t="n">
        <f t="shared" si="37"/>
        <v>1801.5596379329102</v>
      </c>
      <c r="X235" t="n">
        <f t="shared" si="38"/>
        <v>100881414.75279683</v>
      </c>
      <c r="Y235" t="n">
        <f t="shared" si="39"/>
        <v>0.74409391489672516</v>
      </c>
      <c r="Z235" t="n">
        <f t="shared" si="40"/>
        <v>75065246.84372884</v>
      </c>
    </row>
    <row r="236">
      <c r="B236" s="52" t="n">
        <v>2031</v>
      </c>
      <c r="C236" t="str">
        <f>tbl_detail_2022!C236</f>
        <v>fugitives</v>
      </c>
      <c r="D236" t="str">
        <f>tbl_detail_2022!D236</f>
        <v>Wellpad Fugitives</v>
      </c>
      <c r="E236" t="str">
        <f>tbl_detail_2022!E236</f>
        <v>5: Equipment = 1 and tanks</v>
      </c>
      <c r="F236" t="n">
        <f>tbl_detail_2022!F236</f>
        <v>54743.282347177701</v>
      </c>
      <c r="G236" t="n">
        <f>tbl_detail_2022!G236</f>
        <v>-64568.268802623999</v>
      </c>
      <c r="H236" t="n">
        <f>tbl_detail_2022!H236</f>
        <v>-17948.345343633599</v>
      </c>
      <c r="I236" t="n">
        <f>tbl_detail_2022!I236</f>
        <v>-676.11416909467698</v>
      </c>
      <c r="J236" t="n">
        <f>tbl_detail_2022!J236</f>
        <v>-1464383.70364896</v>
      </c>
      <c r="K236" t="n">
        <f>tbl_detail_2022!K236</f>
        <v>209110837.030736</v>
      </c>
      <c r="L236" t="n">
        <f>tbl_detail_2022!L236</f>
        <v>11740909.887773501</v>
      </c>
      <c r="M236" t="n">
        <f>tbl_detail_2022!M236</f>
        <v>197369927.14296299</v>
      </c>
      <c r="N236" t="n">
        <f>tbl_detail_2022!N236</f>
        <v>17587.117890646201</v>
      </c>
      <c r="O236" t="n">
        <f>tbl_detail_2022!O236</f>
        <v>201442780.659823</v>
      </c>
      <c r="P236" t="n">
        <f t="shared" si="34"/>
        <v>10</v>
      </c>
      <c r="Q236" t="n">
        <f t="shared" si="35"/>
        <v>0.5083492921347178</v>
      </c>
      <c r="R236" t="n">
        <f t="shared" si="36"/>
        <v>106301345.98227298</v>
      </c>
      <c r="S236" t="n">
        <f t="shared" si="41"/>
        <v>5968483.2304671677</v>
      </c>
      <c r="T236" t="n">
        <f t="shared" si="42"/>
        <v>100332862.75180607</v>
      </c>
      <c r="U236" t="n">
        <f t="shared" si="43"/>
        <v>8940.3989303998278</v>
      </c>
      <c r="V236" t="n">
        <f t="shared" si="44"/>
        <v>102403294.95407024</v>
      </c>
      <c r="W236" t="n">
        <f t="shared" si="37"/>
        <v>1801.5596379329102</v>
      </c>
      <c r="X236" t="n">
        <f t="shared" si="38"/>
        <v>116323586.96601011</v>
      </c>
      <c r="Y236" t="n">
        <f t="shared" si="39"/>
        <v>0.74409391489672516</v>
      </c>
      <c r="Z236" t="n">
        <f t="shared" si="40"/>
        <v>86555673.220368132</v>
      </c>
    </row>
    <row r="237">
      <c r="B237" s="52" t="n">
        <v>2031</v>
      </c>
      <c r="C237" t="str">
        <f>tbl_detail_2022!C237</f>
        <v>fugitives</v>
      </c>
      <c r="D237" t="str">
        <f>tbl_detail_2022!D237</f>
        <v>Wellpad Fugitives</v>
      </c>
      <c r="E237" t="str">
        <f>tbl_detail_2022!E237</f>
        <v>6: Equipment &gt; 1 and tanks</v>
      </c>
      <c r="F237" t="n">
        <f>tbl_detail_2022!F237</f>
        <v>146653.06314860701</v>
      </c>
      <c r="G237" t="n">
        <f>tbl_detail_2022!G237</f>
        <v>-168465.92187854601</v>
      </c>
      <c r="H237" t="n">
        <f>tbl_detail_2022!H237</f>
        <v>-46829.264599809903</v>
      </c>
      <c r="I237" t="n">
        <f>tbl_detail_2022!I237</f>
        <v>-1764.0583974748399</v>
      </c>
      <c r="J237" t="n">
        <f>tbl_detail_2022!J237</f>
        <v>-3820742.83845622</v>
      </c>
      <c r="K237" t="n">
        <f>tbl_detail_2022!K237</f>
        <v>466727278.04885399</v>
      </c>
      <c r="L237" t="n">
        <f>tbl_detail_2022!L237</f>
        <v>30633362.867184699</v>
      </c>
      <c r="M237" t="n">
        <f>tbl_detail_2022!M237</f>
        <v>436093915.18167001</v>
      </c>
      <c r="N237" t="n">
        <f>tbl_detail_2022!N237</f>
        <v>132106.37537817701</v>
      </c>
      <c r="O237" t="n">
        <f>tbl_detail_2022!O237</f>
        <v>452051147.23083901</v>
      </c>
      <c r="P237" t="n">
        <f t="shared" si="34"/>
        <v>10</v>
      </c>
      <c r="Q237" t="n">
        <f t="shared" si="35"/>
        <v>0.5083492921347178</v>
      </c>
      <c r="R237" t="n">
        <f t="shared" si="36"/>
        <v>237260481.41609854</v>
      </c>
      <c r="S237" t="n">
        <f t="shared" si="41"/>
        <v>15572448.32923929</v>
      </c>
      <c r="T237" t="n">
        <f t="shared" si="42"/>
        <v>221688033.08685961</v>
      </c>
      <c r="U237" t="n">
        <f t="shared" si="43"/>
        <v>67156.182409979592</v>
      </c>
      <c r="V237" t="n">
        <f t="shared" si="44"/>
        <v>229799880.70348412</v>
      </c>
      <c r="W237" t="n">
        <f t="shared" si="37"/>
        <v>1801.5596379329102</v>
      </c>
      <c r="X237" t="n">
        <f t="shared" si="38"/>
        <v>303501405.22354728</v>
      </c>
      <c r="Y237" t="n">
        <f t="shared" si="39"/>
        <v>0.74409391489672516</v>
      </c>
      <c r="Z237" t="n">
        <f t="shared" si="40"/>
        <v>225833548.78944668</v>
      </c>
    </row>
    <row r="238">
      <c r="B238" s="52" t="n">
        <v>2031</v>
      </c>
      <c r="C238" t="str">
        <f>tbl_detail_2022!C238</f>
        <v>compressors</v>
      </c>
      <c r="D238" t="str">
        <f>tbl_detail_2022!D238</f>
        <v>G&amp;B Station Recip Comp</v>
      </c>
      <c r="E238" t="n">
        <f>tbl_detail_2022!E238</f>
        <v>0</v>
      </c>
      <c r="F238" t="n">
        <f>tbl_detail_2022!F238</f>
        <v>27616.866002882602</v>
      </c>
      <c r="G238" t="n">
        <f>tbl_detail_2022!G238</f>
        <v>-184762.67360216001</v>
      </c>
      <c r="H238" t="n">
        <f>tbl_detail_2022!H238</f>
        <v>-51359.349352000099</v>
      </c>
      <c r="I238" t="n">
        <f>tbl_detail_2022!I238</f>
        <v>-1934.9283527858599</v>
      </c>
      <c r="J238" t="n">
        <f>tbl_detail_2022!J238</f>
        <v>-4190346.95033701</v>
      </c>
      <c r="K238" t="n">
        <f>tbl_detail_2022!K238</f>
        <v>32638195.254804902</v>
      </c>
      <c r="L238" t="n">
        <f>tbl_detail_2022!L238</f>
        <v>33596717.7317122</v>
      </c>
      <c r="M238" t="n">
        <f>tbl_detail_2022!M238</f>
        <v>-958522.47690728004</v>
      </c>
      <c r="N238" t="n">
        <f>tbl_detail_2022!N238</f>
        <v>0</v>
      </c>
      <c r="O238" t="n">
        <f>tbl_detail_2022!O238</f>
        <v>16487269.0037209</v>
      </c>
      <c r="P238" t="n">
        <f t="shared" si="34"/>
        <v>10</v>
      </c>
      <c r="Q238" t="n">
        <f t="shared" si="35"/>
        <v>0.5083492921347178</v>
      </c>
      <c r="R238" t="n">
        <f t="shared" si="36"/>
        <v>16591603.454334777</v>
      </c>
      <c r="S238" t="n">
        <f t="shared" si="41"/>
        <v>17078867.676965818</v>
      </c>
      <c r="T238" t="n">
        <f t="shared" si="42"/>
        <v>-487264.22263103217</v>
      </c>
      <c r="U238" t="n">
        <f t="shared" si="43"/>
        <v>0</v>
      </c>
      <c r="V238" t="n">
        <f t="shared" si="44"/>
        <v>8381291.5272761937</v>
      </c>
      <c r="W238" t="n">
        <f t="shared" si="37"/>
        <v>1801.5596379329102</v>
      </c>
      <c r="X238" t="n">
        <f t="shared" si="38"/>
        <v>332860975.35822386</v>
      </c>
      <c r="Y238" t="n">
        <f t="shared" si="39"/>
        <v>0.74409391489672516</v>
      </c>
      <c r="Z238" t="n">
        <f t="shared" si="40"/>
        <v>247679826.27064314</v>
      </c>
    </row>
    <row r="239">
      <c r="B239" s="52" t="n">
        <v>2031</v>
      </c>
      <c r="C239" t="str">
        <f>tbl_detail_2022!C239</f>
        <v>compressors</v>
      </c>
      <c r="D239" t="str">
        <f>tbl_detail_2022!D239</f>
        <v>Proc Recip Comp</v>
      </c>
      <c r="E239" t="n">
        <f>tbl_detail_2022!E239</f>
        <v>0</v>
      </c>
      <c r="F239" t="n">
        <f>tbl_detail_2022!F239</f>
        <v>4116.6285050505303</v>
      </c>
      <c r="G239" t="n">
        <f>tbl_detail_2022!G239</f>
        <v>-65726.144746835897</v>
      </c>
      <c r="H239" t="n">
        <f>tbl_detail_2022!H239</f>
        <v>-18270.205576703702</v>
      </c>
      <c r="I239" t="n">
        <f>tbl_detail_2022!I239</f>
        <v>-688.31749676777395</v>
      </c>
      <c r="J239" t="n">
        <f>tbl_detail_2022!J239</f>
        <v>-1490643.88833402</v>
      </c>
      <c r="K239" t="n">
        <f>tbl_detail_2022!K239</f>
        <v>7009895.0732126404</v>
      </c>
      <c r="L239" t="n">
        <f>tbl_detail_2022!L239</f>
        <v>11388225.2712535</v>
      </c>
      <c r="M239" t="n">
        <f>tbl_detail_2022!M239</f>
        <v>-4378330.1980408896</v>
      </c>
      <c r="N239" t="n">
        <f>tbl_detail_2022!N239</f>
        <v>0</v>
      </c>
      <c r="O239" t="n">
        <f>tbl_detail_2022!O239</f>
        <v>2457627.2175151599</v>
      </c>
      <c r="P239" t="n">
        <f t="shared" si="34"/>
        <v>10</v>
      </c>
      <c r="Q239" t="n">
        <f t="shared" si="35"/>
        <v>0.5083492921347178</v>
      </c>
      <c r="R239" t="n">
        <f t="shared" si="36"/>
        <v>3563475.1984062917</v>
      </c>
      <c r="S239" t="n">
        <f t="shared" si="41"/>
        <v>5789196.2553124214</v>
      </c>
      <c r="T239" t="n">
        <f t="shared" si="42"/>
        <v>-2225721.0569061451</v>
      </c>
      <c r="U239" t="n">
        <f t="shared" si="43"/>
        <v>0</v>
      </c>
      <c r="V239" t="n">
        <f t="shared" si="44"/>
        <v>1249333.0563548477</v>
      </c>
      <c r="W239" t="n">
        <f t="shared" si="37"/>
        <v>1801.5596379329102</v>
      </c>
      <c r="X239" t="n">
        <f t="shared" si="38"/>
        <v>118409569.53283572</v>
      </c>
      <c r="Y239" t="n">
        <f t="shared" si="39"/>
        <v>0.74409391489672516</v>
      </c>
      <c r="Z239" t="n">
        <f t="shared" si="40"/>
        <v>88107840.154923722</v>
      </c>
    </row>
    <row r="240">
      <c r="B240" s="52" t="n">
        <v>2031</v>
      </c>
      <c r="C240" t="str">
        <f>tbl_detail_2022!C240</f>
        <v>compressors</v>
      </c>
      <c r="D240" t="str">
        <f>tbl_detail_2022!D240</f>
        <v>T&amp;S Recip Comp</v>
      </c>
      <c r="E240" t="str">
        <f>tbl_detail_2022!E240</f>
        <v>Reciprocating Compressors (Transmission)</v>
      </c>
      <c r="F240" t="n">
        <f>tbl_detail_2022!F240</f>
        <v>9160.9781199430108</v>
      </c>
      <c r="G240" t="n">
        <f>tbl_detail_2022!G240</f>
        <v>-103793.03615143</v>
      </c>
      <c r="H240" t="n">
        <f>tbl_detail_2022!H240</f>
        <v>-2872.4399743707299</v>
      </c>
      <c r="I240" t="n">
        <f>tbl_detail_2022!I240</f>
        <v>-85.316335574835406</v>
      </c>
      <c r="J240" t="n">
        <f>tbl_detail_2022!J240</f>
        <v>-2353986.4628711399</v>
      </c>
      <c r="K240" t="n">
        <f>tbl_detail_2022!K240</f>
        <v>11695542.967135601</v>
      </c>
      <c r="L240" t="n">
        <f>tbl_detail_2022!L240</f>
        <v>16859992.727676298</v>
      </c>
      <c r="M240" t="n">
        <f>tbl_detail_2022!M240</f>
        <v>-5164449.7605406903</v>
      </c>
      <c r="N240" t="n">
        <f>tbl_detail_2022!N240</f>
        <v>0</v>
      </c>
      <c r="O240" t="n">
        <f>tbl_detail_2022!O240</f>
        <v>5469103.9376059799</v>
      </c>
      <c r="P240" t="n">
        <f t="shared" si="34"/>
        <v>10</v>
      </c>
      <c r="Q240" t="n">
        <f t="shared" si="35"/>
        <v>0.5083492921347178</v>
      </c>
      <c r="R240" t="n">
        <f t="shared" si="36"/>
        <v>5945420.98847456</v>
      </c>
      <c r="S240" t="n">
        <f t="shared" si="41"/>
        <v>8570765.3685107362</v>
      </c>
      <c r="T240" t="n">
        <f t="shared" si="42"/>
        <v>-2625344.3800361729</v>
      </c>
      <c r="U240" t="n">
        <f t="shared" si="43"/>
        <v>0</v>
      </c>
      <c r="V240" t="n">
        <f t="shared" si="44"/>
        <v>2780215.1152931978</v>
      </c>
      <c r="W240" t="n">
        <f t="shared" si="37"/>
        <v>1801.5596379329102</v>
      </c>
      <c r="X240" t="n">
        <f t="shared" si="38"/>
        <v>186989344.62892768</v>
      </c>
      <c r="Y240" t="n">
        <f t="shared" si="39"/>
        <v>0.74409391489672516</v>
      </c>
      <c r="Z240" t="n">
        <f t="shared" si="40"/>
        <v>139137633.48891172</v>
      </c>
    </row>
    <row r="241">
      <c r="B241" s="52" t="n">
        <v>2031</v>
      </c>
      <c r="C241" t="str">
        <f>tbl_detail_2022!C241</f>
        <v>compressors</v>
      </c>
      <c r="D241" t="str">
        <f>tbl_detail_2022!D241</f>
        <v>T&amp;S Recip Comp</v>
      </c>
      <c r="E241" t="str">
        <f>tbl_detail_2022!E241</f>
        <v>Reciprocating Compressors (Storage)</v>
      </c>
      <c r="F241" t="n">
        <f>tbl_detail_2022!F241</f>
        <v>1397.2440361317199</v>
      </c>
      <c r="G241" t="n">
        <f>tbl_detail_2022!G241</f>
        <v>-31982.916326877901</v>
      </c>
      <c r="H241" t="n">
        <f>tbl_detail_2022!H241</f>
        <v>-885.11725603869195</v>
      </c>
      <c r="I241" t="n">
        <f>tbl_detail_2022!I241</f>
        <v>-26.289482639517299</v>
      </c>
      <c r="J241" t="n">
        <f>tbl_detail_2022!J241</f>
        <v>-725360.34081101301</v>
      </c>
      <c r="K241" t="n">
        <f>tbl_detail_2022!K241</f>
        <v>3469428.0129875899</v>
      </c>
      <c r="L241" t="n">
        <f>tbl_detail_2022!L241</f>
        <v>5195259.3032766199</v>
      </c>
      <c r="M241" t="n">
        <f>tbl_detail_2022!M241</f>
        <v>-1725831.2902890299</v>
      </c>
      <c r="N241" t="n">
        <f>tbl_detail_2022!N241</f>
        <v>0</v>
      </c>
      <c r="O241" t="n">
        <f>tbl_detail_2022!O241</f>
        <v>834154.68957063998</v>
      </c>
      <c r="P241" t="n">
        <f t="shared" si="34"/>
        <v>10</v>
      </c>
      <c r="Q241" t="n">
        <f t="shared" si="35"/>
        <v>0.5083492921347178</v>
      </c>
      <c r="R241" t="n">
        <f t="shared" si="36"/>
        <v>1763681.2745146018</v>
      </c>
      <c r="S241" t="n">
        <f t="shared" si="41"/>
        <v>2641006.3892769767</v>
      </c>
      <c r="T241" t="n">
        <f t="shared" si="42"/>
        <v>-877325.11476237501</v>
      </c>
      <c r="U241" t="n">
        <f t="shared" si="43"/>
        <v>0</v>
      </c>
      <c r="V241" t="n">
        <f t="shared" si="44"/>
        <v>424041.94597409008</v>
      </c>
      <c r="W241" t="n">
        <f t="shared" si="37"/>
        <v>1801.5596379329102</v>
      </c>
      <c r="X241" t="n">
        <f t="shared" si="38"/>
        <v>57619131.15788871</v>
      </c>
      <c r="Y241" t="n">
        <f t="shared" si="39"/>
        <v>0.74409391489672516</v>
      </c>
      <c r="Z241" t="n">
        <f t="shared" si="40"/>
        <v>42874044.876221284</v>
      </c>
    </row>
    <row r="242">
      <c r="B242" s="52" t="n">
        <v>2031</v>
      </c>
      <c r="C242" t="str">
        <f>tbl_detail_2022!C242</f>
        <v>compressors</v>
      </c>
      <c r="D242" t="str">
        <f>tbl_detail_2022!D242</f>
        <v>Wet Seal Centrifugal Compr</v>
      </c>
      <c r="E242" t="str">
        <f>tbl_detail_2022!E242</f>
        <v>G&amp;B WS Centrifugal Comp</v>
      </c>
      <c r="F242" t="n">
        <f>tbl_detail_2022!F242</f>
        <v>367.57704821567398</v>
      </c>
      <c r="G242" t="n">
        <f>tbl_detail_2022!G242</f>
        <v>-82428.409338611993</v>
      </c>
      <c r="H242" t="n">
        <f>tbl_detail_2022!H242</f>
        <v>-22913.012618918699</v>
      </c>
      <c r="I242" t="n">
        <f>tbl_detail_2022!I242</f>
        <v>-863.23207601848901</v>
      </c>
      <c r="J242" t="n">
        <f>tbl_detail_2022!J242</f>
        <v>-1869444.87736156</v>
      </c>
      <c r="K242" t="n">
        <f>tbl_detail_2022!K242</f>
        <v>9189426.2053918391</v>
      </c>
      <c r="L242" t="n">
        <f>tbl_detail_2022!L242</f>
        <v>14988546.916063899</v>
      </c>
      <c r="M242" t="n">
        <f>tbl_detail_2022!M242</f>
        <v>-5799120.7106720498</v>
      </c>
      <c r="N242" t="n">
        <f>tbl_detail_2022!N242</f>
        <v>0</v>
      </c>
      <c r="O242" t="n">
        <f>tbl_detail_2022!O242</f>
        <v>9189426.2053918391</v>
      </c>
      <c r="P242" t="n">
        <f t="shared" si="34"/>
        <v>10</v>
      </c>
      <c r="Q242" t="n">
        <f t="shared" si="35"/>
        <v>0.5083492921347178</v>
      </c>
      <c r="R242" t="n">
        <f t="shared" si="36"/>
        <v>4671438.3066351674</v>
      </c>
      <c r="S242" t="n">
        <f t="shared" si="41"/>
        <v>7619417.2149090907</v>
      </c>
      <c r="T242" t="n">
        <f t="shared" si="42"/>
        <v>-2947978.9082739181</v>
      </c>
      <c r="U242" t="n">
        <f t="shared" si="43"/>
        <v>0</v>
      </c>
      <c r="V242" t="n">
        <f t="shared" si="44"/>
        <v>4671438.3066351674</v>
      </c>
      <c r="W242" t="n">
        <f t="shared" si="37"/>
        <v>1801.5596379329102</v>
      </c>
      <c r="X242" t="n">
        <f t="shared" si="38"/>
        <v>148499695.28345552</v>
      </c>
      <c r="Y242" t="n">
        <f t="shared" si="39"/>
        <v>0.74409391489672516</v>
      </c>
      <c r="Z242" t="n">
        <f t="shared" si="40"/>
        <v>110497719.62443717</v>
      </c>
    </row>
    <row r="243">
      <c r="B243" s="52" t="n">
        <v>2031</v>
      </c>
      <c r="C243" t="str">
        <f>tbl_detail_2022!C243</f>
        <v>compressors</v>
      </c>
      <c r="D243" t="str">
        <f>tbl_detail_2022!D243</f>
        <v>Wet Seal Centrifugal Compr</v>
      </c>
      <c r="E243" t="str">
        <f>tbl_detail_2022!E243</f>
        <v>Proc WS Centrifugal Comp</v>
      </c>
      <c r="F243" t="n">
        <f>tbl_detail_2022!F243</f>
        <v>275.602153697213</v>
      </c>
      <c r="G243" t="n">
        <f>tbl_detail_2022!G243</f>
        <v>-37548.038022682696</v>
      </c>
      <c r="H243" t="n">
        <f>tbl_detail_2022!H243</f>
        <v>-10437.4047240817</v>
      </c>
      <c r="I243" t="n">
        <f>tbl_detail_2022!I243</f>
        <v>-2901.3344800724899</v>
      </c>
      <c r="J243" t="n">
        <f>tbl_detail_2022!J243</f>
        <v>-851575.17777793796</v>
      </c>
      <c r="K243" t="n">
        <f>tbl_detail_2022!K243</f>
        <v>6890053.8424303401</v>
      </c>
      <c r="L243" t="n">
        <f>tbl_detail_2022!L243</f>
        <v>6505866.3815283095</v>
      </c>
      <c r="M243" t="n">
        <f>tbl_detail_2022!M243</f>
        <v>384187.46090202598</v>
      </c>
      <c r="N243" t="n">
        <f>tbl_detail_2022!N243</f>
        <v>0</v>
      </c>
      <c r="O243" t="n">
        <f>tbl_detail_2022!O243</f>
        <v>6890053.8424303401</v>
      </c>
      <c r="P243" t="n">
        <f t="shared" si="34"/>
        <v>10</v>
      </c>
      <c r="Q243" t="n">
        <f t="shared" si="35"/>
        <v>0.5083492921347178</v>
      </c>
      <c r="R243" t="n">
        <f t="shared" si="36"/>
        <v>3502553.9935695557</v>
      </c>
      <c r="S243" t="n">
        <f t="shared" si="41"/>
        <v>3307252.5697729741</v>
      </c>
      <c r="T243" t="n">
        <f t="shared" si="42"/>
        <v>195301.42379657947</v>
      </c>
      <c r="U243" t="n">
        <f t="shared" si="43"/>
        <v>0</v>
      </c>
      <c r="V243" t="n">
        <f t="shared" si="44"/>
        <v>3502553.9935695557</v>
      </c>
      <c r="W243" t="n">
        <f t="shared" si="37"/>
        <v>1801.5596379329102</v>
      </c>
      <c r="X243" t="n">
        <f t="shared" si="38"/>
        <v>67645029.78523539</v>
      </c>
      <c r="Y243" t="n">
        <f t="shared" si="39"/>
        <v>0.74409391489672516</v>
      </c>
      <c r="Z243" t="n">
        <f t="shared" si="40"/>
        <v>50334255.03620138</v>
      </c>
    </row>
    <row r="244">
      <c r="B244" s="52" t="n">
        <v>2031</v>
      </c>
      <c r="C244" t="str">
        <f>tbl_detail_2022!C244</f>
        <v>compressors</v>
      </c>
      <c r="D244" t="str">
        <f>tbl_detail_2022!D244</f>
        <v>Wet Seal Centrifugal Compr</v>
      </c>
      <c r="E244" t="str">
        <f>tbl_detail_2022!E244</f>
        <v>T&amp;S WS Centrifugal Comp</v>
      </c>
      <c r="F244" t="n">
        <f>tbl_detail_2022!F244</f>
        <v>752.75460286963698</v>
      </c>
      <c r="G244" t="n">
        <f>tbl_detail_2022!G244</f>
        <v>-26486.331947685099</v>
      </c>
      <c r="H244" t="n">
        <f>tbl_detail_2022!H244</f>
        <v>-733.00099392009997</v>
      </c>
      <c r="I244" t="n">
        <f>tbl_detail_2022!I244</f>
        <v>-20.285574391693601</v>
      </c>
      <c r="J244" t="n">
        <f>tbl_detail_2022!J244</f>
        <v>-600699.90403785906</v>
      </c>
      <c r="K244" t="n">
        <f>tbl_detail_2022!K244</f>
        <v>18818865.071740899</v>
      </c>
      <c r="L244" t="n">
        <f>tbl_detail_2022!L244</f>
        <v>4302401.9778097495</v>
      </c>
      <c r="M244" t="n">
        <f>tbl_detail_2022!M244</f>
        <v>14516463.0939312</v>
      </c>
      <c r="N244" t="n">
        <f>tbl_detail_2022!N244</f>
        <v>0</v>
      </c>
      <c r="O244" t="n">
        <f>tbl_detail_2022!O244</f>
        <v>18818865.071740899</v>
      </c>
      <c r="P244" t="n">
        <f t="shared" si="34"/>
        <v>10</v>
      </c>
      <c r="Q244" t="n">
        <f t="shared" si="35"/>
        <v>0.5083492921347178</v>
      </c>
      <c r="R244" t="n">
        <f t="shared" si="36"/>
        <v>9566556.7379982509</v>
      </c>
      <c r="S244" t="n">
        <f t="shared" si="41"/>
        <v>2187122.9998985962</v>
      </c>
      <c r="T244" t="n">
        <f t="shared" si="42"/>
        <v>7379433.7380996812</v>
      </c>
      <c r="U244" t="n">
        <f t="shared" si="43"/>
        <v>0</v>
      </c>
      <c r="V244" t="n">
        <f t="shared" si="44"/>
        <v>9566556.7379982509</v>
      </c>
      <c r="W244" t="n">
        <f t="shared" si="37"/>
        <v>1801.5596379329102</v>
      </c>
      <c r="X244" t="n">
        <f t="shared" si="38"/>
        <v>47716706.593842439</v>
      </c>
      <c r="Y244" t="n">
        <f t="shared" si="39"/>
        <v>0.74409391489672516</v>
      </c>
      <c r="Z244" t="n">
        <f t="shared" si="40"/>
        <v>35505711.015390597</v>
      </c>
    </row>
    <row r="245">
      <c r="B245" s="52" t="n">
        <v>2031</v>
      </c>
      <c r="C245" t="str">
        <f>tbl_detail_2022!C245</f>
        <v>compressors</v>
      </c>
      <c r="D245" t="str">
        <f>tbl_detail_2022!D245</f>
        <v>Dry Seal Centrifugal Compr</v>
      </c>
      <c r="E245" t="str">
        <f>tbl_detail_2022!E245</f>
        <v>G&amp;B DS Centrifugal Comp</v>
      </c>
      <c r="F245" t="n">
        <f>tbl_detail_2022!F245</f>
        <v>569.94654024716203</v>
      </c>
      <c r="G245" t="n">
        <f>tbl_detail_2022!G245</f>
        <v>-9191.1496531725097</v>
      </c>
      <c r="H245" t="n">
        <f>tbl_detail_2022!H245</f>
        <v>-2554.9070966587401</v>
      </c>
      <c r="I245" t="n">
        <f>tbl_detail_2022!I245</f>
        <v>-96.254377098456899</v>
      </c>
      <c r="J245" t="n">
        <f>tbl_detail_2022!J245</f>
        <v>-208451.76771036</v>
      </c>
      <c r="K245" t="n">
        <f>tbl_detail_2022!K245</f>
        <v>8549198.1037074309</v>
      </c>
      <c r="L245" t="n">
        <f>tbl_detail_2022!L245</f>
        <v>1671292.44509888</v>
      </c>
      <c r="M245" t="n">
        <f>tbl_detail_2022!M245</f>
        <v>6877905.6586085502</v>
      </c>
      <c r="N245" t="n">
        <f>tbl_detail_2022!N245</f>
        <v>0</v>
      </c>
      <c r="O245" t="n">
        <f>tbl_detail_2022!O245</f>
        <v>8549198.1037074309</v>
      </c>
      <c r="P245" t="n">
        <f t="shared" si="34"/>
        <v>10</v>
      </c>
      <c r="Q245" t="n">
        <f t="shared" si="35"/>
        <v>0.5083492921347178</v>
      </c>
      <c r="R245" t="n">
        <f t="shared" si="36"/>
        <v>4345978.8043391444</v>
      </c>
      <c r="S245" t="n">
        <f t="shared" si="41"/>
        <v>849600.33141611738</v>
      </c>
      <c r="T245" t="n">
        <f t="shared" si="42"/>
        <v>3496378.4729230264</v>
      </c>
      <c r="U245" t="n">
        <f t="shared" si="43"/>
        <v>0</v>
      </c>
      <c r="V245" t="n">
        <f t="shared" si="44"/>
        <v>4345978.8043391444</v>
      </c>
      <c r="W245" t="n">
        <f t="shared" si="37"/>
        <v>1801.5596379329102</v>
      </c>
      <c r="X245" t="n">
        <f t="shared" si="38"/>
        <v>16558404.24135666</v>
      </c>
      <c r="Y245" t="n">
        <f t="shared" si="39"/>
        <v>0.74409391489672516</v>
      </c>
      <c r="Z245" t="n">
        <f t="shared" si="40"/>
        <v>12321007.836393615</v>
      </c>
    </row>
    <row r="246">
      <c r="B246" s="52" t="n">
        <v>2031</v>
      </c>
      <c r="C246" t="str">
        <f>tbl_detail_2022!C246</f>
        <v>compressors</v>
      </c>
      <c r="D246" t="str">
        <f>tbl_detail_2022!D246</f>
        <v>Dry Seal Centrifugal Compr</v>
      </c>
      <c r="E246" t="str">
        <f>tbl_detail_2022!E246</f>
        <v>Proc DS Centrifugal Comp</v>
      </c>
      <c r="F246" t="n">
        <f>tbl_detail_2022!F246</f>
        <v>420.76477939792602</v>
      </c>
      <c r="G246" t="n">
        <f>tbl_detail_2022!G246</f>
        <v>-3274.5207841465799</v>
      </c>
      <c r="H246" t="n">
        <f>tbl_detail_2022!H246</f>
        <v>-910.23394300678501</v>
      </c>
      <c r="I246" t="n">
        <f>tbl_detail_2022!I246</f>
        <v>-253.02201012525001</v>
      </c>
      <c r="J246" t="n">
        <f>tbl_detail_2022!J246</f>
        <v>-74264.882154765306</v>
      </c>
      <c r="K246" t="n">
        <f>tbl_detail_2022!K246</f>
        <v>6311471.6909688897</v>
      </c>
      <c r="L246" t="n">
        <f>tbl_detail_2022!L246</f>
        <v>567369.05060992797</v>
      </c>
      <c r="M246" t="n">
        <f>tbl_detail_2022!M246</f>
        <v>5744102.6403589603</v>
      </c>
      <c r="N246" t="n">
        <f>tbl_detail_2022!N246</f>
        <v>0</v>
      </c>
      <c r="O246" t="n">
        <f>tbl_detail_2022!O246</f>
        <v>6311471.6909688897</v>
      </c>
      <c r="P246" t="n">
        <f t="shared" si="34"/>
        <v>10</v>
      </c>
      <c r="Q246" t="n">
        <f t="shared" si="35"/>
        <v>0.5083492921347178</v>
      </c>
      <c r="R246" t="n">
        <f t="shared" si="36"/>
        <v>3208432.1664323453</v>
      </c>
      <c r="S246" t="n">
        <f t="shared" si="41"/>
        <v>288421.65525670379</v>
      </c>
      <c r="T246" t="n">
        <f t="shared" si="42"/>
        <v>2920010.5111756409</v>
      </c>
      <c r="U246" t="n">
        <f t="shared" si="43"/>
        <v>0</v>
      </c>
      <c r="V246" t="n">
        <f t="shared" si="44"/>
        <v>3208432.1664323453</v>
      </c>
      <c r="W246" t="n">
        <f t="shared" si="37"/>
        <v>1801.5596379329102</v>
      </c>
      <c r="X246" t="n">
        <f t="shared" si="38"/>
        <v>5899244.4782909015</v>
      </c>
      <c r="Y246" t="n">
        <f t="shared" si="39"/>
        <v>0.74409391489672516</v>
      </c>
      <c r="Z246" t="n">
        <f t="shared" si="40"/>
        <v>4389591.918784366</v>
      </c>
    </row>
    <row r="247">
      <c r="B247" s="52" t="n">
        <v>2031</v>
      </c>
      <c r="C247" t="str">
        <f>tbl_detail_2022!C247</f>
        <v>compressors</v>
      </c>
      <c r="D247" t="str">
        <f>tbl_detail_2022!D247</f>
        <v>Dry Seal Centrifugal Compr</v>
      </c>
      <c r="E247" t="str">
        <f>tbl_detail_2022!E247</f>
        <v>T&amp;S DS Centrifugal Comp</v>
      </c>
      <c r="F247" t="n">
        <f>tbl_detail_2022!F247</f>
        <v>3104.4054464186402</v>
      </c>
      <c r="G247" t="n">
        <f>tbl_detail_2022!G247</f>
        <v>-56041.222190291599</v>
      </c>
      <c r="H247" t="n">
        <f>tbl_detail_2022!H247</f>
        <v>-1550.9233836953099</v>
      </c>
      <c r="I247" t="n">
        <f>tbl_detail_2022!I247</f>
        <v>-42.921321985543997</v>
      </c>
      <c r="J247" t="n">
        <f>tbl_detail_2022!J247</f>
        <v>-1270993.53954955</v>
      </c>
      <c r="K247" t="n">
        <f>tbl_detail_2022!K247</f>
        <v>46566081.696279503</v>
      </c>
      <c r="L247" t="n">
        <f>tbl_detail_2022!L247</f>
        <v>9103256.1876300201</v>
      </c>
      <c r="M247" t="n">
        <f>tbl_detail_2022!M247</f>
        <v>37462825.508649498</v>
      </c>
      <c r="N247" t="n">
        <f>tbl_detail_2022!N247</f>
        <v>0</v>
      </c>
      <c r="O247" t="n">
        <f>tbl_detail_2022!O247</f>
        <v>46566081.696279503</v>
      </c>
      <c r="P247" t="n">
        <f t="shared" si="34"/>
        <v>10</v>
      </c>
      <c r="Q247" t="n">
        <f t="shared" si="35"/>
        <v>0.5083492921347178</v>
      </c>
      <c r="R247" t="n">
        <f t="shared" si="36"/>
        <v>23671834.667791124</v>
      </c>
      <c r="S247" t="n">
        <f t="shared" si="41"/>
        <v>4627633.8391027106</v>
      </c>
      <c r="T247" t="n">
        <f t="shared" si="42"/>
        <v>19044200.82868842</v>
      </c>
      <c r="U247" t="n">
        <f t="shared" si="43"/>
        <v>0</v>
      </c>
      <c r="V247" t="n">
        <f t="shared" si="44"/>
        <v>23671834.667791124</v>
      </c>
      <c r="W247" t="n">
        <f t="shared" si="37"/>
        <v>1801.5596379329102</v>
      </c>
      <c r="X247" t="n">
        <f t="shared" si="38"/>
        <v>100961603.9584595</v>
      </c>
      <c r="Y247" t="n">
        <f t="shared" si="39"/>
        <v>0.74409391489672516</v>
      </c>
      <c r="Z247" t="n">
        <f t="shared" si="40"/>
        <v>75124915.143702835</v>
      </c>
    </row>
    <row r="248">
      <c r="B248" s="52" t="n">
        <v>2031</v>
      </c>
      <c r="C248" t="str">
        <f>tbl_detail_2022!C248</f>
        <v>liquids_unloading</v>
      </c>
      <c r="D248" t="n">
        <f>tbl_detail_2022!D248</f>
        <v>0</v>
      </c>
      <c r="E248" t="n">
        <f>tbl_detail_2022!E248</f>
        <v>0</v>
      </c>
      <c r="F248" t="n">
        <f>tbl_detail_2022!F248</f>
        <v>250488.94618177501</v>
      </c>
      <c r="G248" t="n">
        <f>tbl_detail_2022!G248</f>
        <v>-24790.2369516363</v>
      </c>
      <c r="H248" t="n">
        <f>tbl_detail_2022!H248</f>
        <v>-6891.0587582180797</v>
      </c>
      <c r="I248" t="n">
        <f>tbl_detail_2022!I248</f>
        <v>-259.61592466066202</v>
      </c>
      <c r="J248" t="n">
        <f>tbl_detail_2022!J248</f>
        <v>-562233.11658771499</v>
      </c>
      <c r="K248" t="n">
        <f>tbl_detail_2022!K248</f>
        <v>16281781.501815399</v>
      </c>
      <c r="L248" t="n">
        <f>tbl_detail_2022!L248</f>
        <v>4507785.9998917598</v>
      </c>
      <c r="M248" t="n">
        <f>tbl_detail_2022!M248</f>
        <v>11773995.5019236</v>
      </c>
      <c r="N248" t="n">
        <f>tbl_detail_2022!N248</f>
        <v>0</v>
      </c>
      <c r="O248" t="n">
        <f>tbl_detail_2022!O248</f>
        <v>16281781.501815399</v>
      </c>
      <c r="P248" t="n">
        <f t="shared" si="34"/>
        <v>10</v>
      </c>
      <c r="Q248" t="n">
        <f t="shared" si="35"/>
        <v>0.5083492921347178</v>
      </c>
      <c r="R248" t="n">
        <f t="shared" si="36"/>
        <v>8276832.1011400009</v>
      </c>
      <c r="S248" t="n">
        <f t="shared" si="41"/>
        <v>2291529.822139767</v>
      </c>
      <c r="T248" t="n">
        <f t="shared" si="42"/>
        <v>5985302.2790002134</v>
      </c>
      <c r="U248" t="n">
        <f t="shared" si="43"/>
        <v>0</v>
      </c>
      <c r="V248" t="n">
        <f t="shared" si="44"/>
        <v>8276832.1011400009</v>
      </c>
      <c r="W248" t="n">
        <f t="shared" si="37"/>
        <v>1801.5596379329102</v>
      </c>
      <c r="X248" t="n">
        <f t="shared" si="38"/>
        <v>44661090.306860946</v>
      </c>
      <c r="Y248" t="n">
        <f t="shared" si="39"/>
        <v>0.74409391489672516</v>
      </c>
      <c r="Z248" t="n">
        <f t="shared" si="40"/>
        <v>33232045.529988345</v>
      </c>
    </row>
    <row r="249">
      <c r="B249" s="52" t="n">
        <v>2031</v>
      </c>
      <c r="C249" t="str">
        <f>tbl_detail_2022!C249</f>
        <v>pneucontr</v>
      </c>
      <c r="D249" t="str">
        <f>tbl_detail_2022!D249</f>
        <v>G&amp;B Pneumatic Controllers</v>
      </c>
      <c r="E249" t="n">
        <f>tbl_detail_2022!E249</f>
        <v>0</v>
      </c>
      <c r="F249" t="n">
        <f>tbl_detail_2022!F249</f>
        <v>5805.8435662849197</v>
      </c>
      <c r="G249" t="n">
        <f>tbl_detail_2022!G249</f>
        <v>-336622.65102174802</v>
      </c>
      <c r="H249" t="n">
        <f>tbl_detail_2022!H249</f>
        <v>-93572.581440843001</v>
      </c>
      <c r="I249" t="n">
        <f>tbl_detail_2022!I249</f>
        <v>-3524.8791428765599</v>
      </c>
      <c r="J249" t="n">
        <f>tbl_detail_2022!J249</f>
        <v>-7634473.3036318803</v>
      </c>
      <c r="K249" t="n">
        <f>tbl_detail_2022!K249</f>
        <v>70612594.196645603</v>
      </c>
      <c r="L249" t="n">
        <f>tbl_detail_2022!L249</f>
        <v>61210503.009013101</v>
      </c>
      <c r="M249" t="n">
        <f>tbl_detail_2022!M249</f>
        <v>9402091.1876325198</v>
      </c>
      <c r="N249" t="n">
        <f>tbl_detail_2022!N249</f>
        <v>21937004.3531585</v>
      </c>
      <c r="O249" t="n">
        <f>tbl_detail_2022!O249</f>
        <v>-13748221.8040177</v>
      </c>
      <c r="P249" t="n">
        <f t="shared" si="34"/>
        <v>10</v>
      </c>
      <c r="Q249" t="n">
        <f t="shared" si="35"/>
        <v>0.5083492921347178</v>
      </c>
      <c r="R249" t="n">
        <f t="shared" si="36"/>
        <v>35895862.275660872</v>
      </c>
      <c r="S249" t="n">
        <f t="shared" si="41"/>
        <v>31116315.875841822</v>
      </c>
      <c r="T249" t="n">
        <f t="shared" si="42"/>
        <v>4779546.3998190593</v>
      </c>
      <c r="U249" t="n">
        <f t="shared" si="43"/>
        <v>11151660.634484347</v>
      </c>
      <c r="V249" t="n">
        <f t="shared" si="44"/>
        <v>-6988898.8221834907</v>
      </c>
      <c r="W249" t="n">
        <f t="shared" si="37"/>
        <v>1801.5596379329102</v>
      </c>
      <c r="X249" t="n">
        <f t="shared" si="38"/>
        <v>606445781.29475677</v>
      </c>
      <c r="Y249" t="n">
        <f t="shared" si="39"/>
        <v>0.74409391489672516</v>
      </c>
      <c r="Z249" t="n">
        <f t="shared" si="40"/>
        <v>451252615.57621872</v>
      </c>
    </row>
    <row r="250">
      <c r="B250" s="52" t="n">
        <v>2031</v>
      </c>
      <c r="C250" t="str">
        <f>tbl_detail_2022!C250</f>
        <v>pneucontr</v>
      </c>
      <c r="D250" t="str">
        <f>tbl_detail_2022!D250</f>
        <v>T&amp;S Pneumatic Controllers</v>
      </c>
      <c r="E250" t="n">
        <f>tbl_detail_2022!E250</f>
        <v>0</v>
      </c>
      <c r="F250" t="n">
        <f>tbl_detail_2022!F250</f>
        <v>55895.2433281005</v>
      </c>
      <c r="G250" t="n">
        <f>tbl_detail_2022!G250</f>
        <v>-74664.638831327902</v>
      </c>
      <c r="H250" t="n">
        <f>tbl_detail_2022!H250</f>
        <v>-2066.3206434982399</v>
      </c>
      <c r="I250" t="n">
        <f>tbl_detail_2022!I250</f>
        <v>-61.373225201869303</v>
      </c>
      <c r="J250" t="n">
        <f>tbl_detail_2022!J250</f>
        <v>-1693365.5241348001</v>
      </c>
      <c r="K250" t="n">
        <f>tbl_detail_2022!K250</f>
        <v>21230950.660312001</v>
      </c>
      <c r="L250" t="n">
        <f>tbl_detail_2022!L250</f>
        <v>12128417.4197791</v>
      </c>
      <c r="M250" t="n">
        <f>tbl_detail_2022!M250</f>
        <v>9102533.2405328192</v>
      </c>
      <c r="N250" t="n">
        <f>tbl_detail_2022!N250</f>
        <v>7297754.6711309701</v>
      </c>
      <c r="O250" t="n">
        <f>tbl_detail_2022!O250</f>
        <v>-16062832.770795999</v>
      </c>
      <c r="P250" t="n">
        <f t="shared" si="34"/>
        <v>10</v>
      </c>
      <c r="Q250" t="n">
        <f t="shared" si="35"/>
        <v>0.5083492921347178</v>
      </c>
      <c r="R250" t="n">
        <f t="shared" si="36"/>
        <v>10792738.739516726</v>
      </c>
      <c r="S250" t="n">
        <f t="shared" si="41"/>
        <v>6165472.410059086</v>
      </c>
      <c r="T250" t="n">
        <f t="shared" si="42"/>
        <v>4627266.3294575978</v>
      </c>
      <c r="U250" t="n">
        <f t="shared" si="43"/>
        <v>3709808.421242259</v>
      </c>
      <c r="V250" t="n">
        <f t="shared" si="44"/>
        <v>-8165529.668712494</v>
      </c>
      <c r="W250" t="n">
        <f t="shared" si="37"/>
        <v>1801.5596379329102</v>
      </c>
      <c r="X250" t="n">
        <f t="shared" si="38"/>
        <v>134512799.69935861</v>
      </c>
      <c r="Y250" t="n">
        <f t="shared" si="39"/>
        <v>0.74409391489672516</v>
      </c>
      <c r="Z250" t="n">
        <f t="shared" si="40"/>
        <v>100090155.73201479</v>
      </c>
    </row>
    <row r="251">
      <c r="B251" s="52" t="n">
        <v>2031</v>
      </c>
      <c r="C251" t="str">
        <f>tbl_detail_2022!C251</f>
        <v>pneucontr</v>
      </c>
      <c r="D251" t="str">
        <f>tbl_detail_2022!D251</f>
        <v>Well Pad Pneumatic Controllers</v>
      </c>
      <c r="E251" t="n">
        <f>tbl_detail_2022!E251</f>
        <v>0</v>
      </c>
      <c r="F251" t="n">
        <f>tbl_detail_2022!F251</f>
        <v>1318122.26388696</v>
      </c>
      <c r="G251" t="n">
        <f>tbl_detail_2022!G251</f>
        <v>-1712229.1510389</v>
      </c>
      <c r="H251" t="n">
        <f>tbl_detail_2022!H251</f>
        <v>-475956.389727981</v>
      </c>
      <c r="I251" t="n">
        <f>tbl_detail_2022!I251</f>
        <v>-17929.277201053101</v>
      </c>
      <c r="J251" t="n">
        <f>tbl_detail_2022!J251</f>
        <v>-38832703.930141203</v>
      </c>
      <c r="K251" t="n">
        <f>tbl_detail_2022!K251</f>
        <v>804889816.26717901</v>
      </c>
      <c r="L251" t="n">
        <f>tbl_detail_2022!L251</f>
        <v>311346866.53933901</v>
      </c>
      <c r="M251" t="n">
        <f>tbl_detail_2022!M251</f>
        <v>493542949.72784001</v>
      </c>
      <c r="N251" t="n">
        <f>tbl_detail_2022!N251</f>
        <v>157476490.955228</v>
      </c>
      <c r="O251" t="n">
        <f>tbl_detail_2022!O251</f>
        <v>-79087335.8332178</v>
      </c>
      <c r="P251" t="n">
        <f t="shared" si="34"/>
        <v>10</v>
      </c>
      <c r="Q251" t="n">
        <f t="shared" si="35"/>
        <v>0.5083492921347178</v>
      </c>
      <c r="R251" t="n">
        <f t="shared" si="36"/>
        <v>409165168.34586352</v>
      </c>
      <c r="S251" t="n">
        <f t="shared" si="41"/>
        <v>158272959.21363544</v>
      </c>
      <c r="T251" t="n">
        <f t="shared" si="42"/>
        <v>250892209.13222808</v>
      </c>
      <c r="U251" t="n">
        <f t="shared" si="43"/>
        <v>80053062.704949439</v>
      </c>
      <c r="V251" t="n">
        <f t="shared" si="44"/>
        <v>-40203991.187636971</v>
      </c>
      <c r="W251" t="n">
        <f t="shared" si="37"/>
        <v>1801.5596379329102</v>
      </c>
      <c r="X251" t="n">
        <f t="shared" si="38"/>
        <v>3084682929.4038148</v>
      </c>
      <c r="Y251" t="n">
        <f t="shared" si="39"/>
        <v>0.74409391489672516</v>
      </c>
      <c r="Z251" t="n">
        <f t="shared" si="40"/>
        <v>2295293797.1551828</v>
      </c>
    </row>
    <row r="252">
      <c r="B252" s="52" t="n">
        <v>2031</v>
      </c>
      <c r="C252" t="str">
        <f>tbl_detail_2022!C252</f>
        <v>pumps</v>
      </c>
      <c r="D252" t="str">
        <f>tbl_detail_2022!D252</f>
        <v>G&amp;B Pneumatic Pumps</v>
      </c>
      <c r="E252" t="n">
        <f>tbl_detail_2022!E252</f>
        <v>0</v>
      </c>
      <c r="F252" t="n">
        <f>tbl_detail_2022!F252</f>
        <v>621.90405446233797</v>
      </c>
      <c r="G252" t="n">
        <f>tbl_detail_2022!G252</f>
        <v>-46067.103639594599</v>
      </c>
      <c r="H252" t="n">
        <f>tbl_detail_2022!H252</f>
        <v>-12805.4894522865</v>
      </c>
      <c r="I252" t="n">
        <f>tbl_detail_2022!I252</f>
        <v>-482.38278766763398</v>
      </c>
      <c r="J252" t="n">
        <f>tbl_detail_2022!J252</f>
        <v>-1044784.33594597</v>
      </c>
      <c r="K252" t="n">
        <f>tbl_detail_2022!K252</f>
        <v>25592985.0712501</v>
      </c>
      <c r="L252" t="n">
        <f>tbl_detail_2022!L252</f>
        <v>8376710.7691328498</v>
      </c>
      <c r="M252" t="n">
        <f>tbl_detail_2022!M252</f>
        <v>17216274.302117299</v>
      </c>
      <c r="N252" t="n">
        <f>tbl_detail_2022!N252</f>
        <v>7233690.4087638697</v>
      </c>
      <c r="O252" t="n">
        <f>tbl_detail_2022!O252</f>
        <v>-1472667.112703</v>
      </c>
      <c r="P252" t="n">
        <f t="shared" si="34"/>
        <v>10</v>
      </c>
      <c r="Q252" t="n">
        <f t="shared" si="35"/>
        <v>0.5083492921347178</v>
      </c>
      <c r="R252" t="n">
        <f t="shared" si="36"/>
        <v>13010175.844584389</v>
      </c>
      <c r="S252" t="n">
        <f t="shared" si="41"/>
        <v>4258294.9899059515</v>
      </c>
      <c r="T252" t="n">
        <f t="shared" si="42"/>
        <v>8751880.8546784613</v>
      </c>
      <c r="U252" t="n">
        <f t="shared" si="43"/>
        <v>3677241.3988168105</v>
      </c>
      <c r="V252" t="n">
        <f t="shared" si="44"/>
        <v>-748629.28429264866</v>
      </c>
      <c r="W252" t="n">
        <f t="shared" si="37"/>
        <v>1801.5596379329102</v>
      </c>
      <c r="X252" t="n">
        <f t="shared" si="38"/>
        <v>82992634.55356589</v>
      </c>
      <c r="Y252" t="n">
        <f t="shared" si="39"/>
        <v>0.74409391489672516</v>
      </c>
      <c r="Z252" t="n">
        <f t="shared" si="40"/>
        <v>61754314.352556072</v>
      </c>
    </row>
    <row r="253">
      <c r="B253" s="52" t="n">
        <v>2031</v>
      </c>
      <c r="C253" t="str">
        <f>tbl_detail_2022!C253</f>
        <v>pumps</v>
      </c>
      <c r="D253" t="str">
        <f>tbl_detail_2022!D253</f>
        <v>Well Pad Pumps</v>
      </c>
      <c r="E253" t="n">
        <f>tbl_detail_2022!E253</f>
        <v>0</v>
      </c>
      <c r="F253" t="n">
        <f>tbl_detail_2022!F253</f>
        <v>98020.231508122801</v>
      </c>
      <c r="G253" t="n">
        <f>tbl_detail_2022!G253</f>
        <v>-164359.524315091</v>
      </c>
      <c r="H253" t="n">
        <f>tbl_detail_2022!H253</f>
        <v>-45687.789956708701</v>
      </c>
      <c r="I253" t="n">
        <f>tbl_detail_2022!I253</f>
        <v>-1721.05904766922</v>
      </c>
      <c r="J253" t="n">
        <f>tbl_detail_2022!J253</f>
        <v>-3727611.3083077399</v>
      </c>
      <c r="K253" t="n">
        <f>tbl_detail_2022!K253</f>
        <v>123678125.118551</v>
      </c>
      <c r="L253" t="n">
        <f>tbl_detail_2022!L253</f>
        <v>29886667.243312899</v>
      </c>
      <c r="M253" t="n">
        <f>tbl_detail_2022!M253</f>
        <v>93791457.875238299</v>
      </c>
      <c r="N253" t="n">
        <f>tbl_detail_2022!N253</f>
        <v>18936883.8620327</v>
      </c>
      <c r="O253" t="n">
        <f>tbl_detail_2022!O253</f>
        <v>-5881213.8904873701</v>
      </c>
      <c r="P253" t="n">
        <f t="shared" si="34"/>
        <v>10</v>
      </c>
      <c r="Q253" t="n">
        <f t="shared" si="35"/>
        <v>0.5083492921347178</v>
      </c>
      <c r="R253" t="n">
        <f t="shared" si="36"/>
        <v>62871687.356564462</v>
      </c>
      <c r="S253" t="n">
        <f t="shared" si="41"/>
        <v>15192866.137403971</v>
      </c>
      <c r="T253" t="n">
        <f t="shared" si="42"/>
        <v>47678821.219160594</v>
      </c>
      <c r="U253" t="n">
        <f t="shared" si="43"/>
        <v>9626551.506501684</v>
      </c>
      <c r="V253" t="n">
        <f t="shared" si="44"/>
        <v>-2989710.9181221244</v>
      </c>
      <c r="W253" t="n">
        <f t="shared" si="37"/>
        <v>1801.5596379329102</v>
      </c>
      <c r="X253" t="n">
        <f t="shared" si="38"/>
        <v>296103485.11592066</v>
      </c>
      <c r="Y253" t="n">
        <f t="shared" si="39"/>
        <v>0.74409391489672516</v>
      </c>
      <c r="Z253" t="n">
        <f t="shared" si="40"/>
        <v>220328801.45446959</v>
      </c>
    </row>
    <row r="254">
      <c r="B254" s="52" t="n">
        <v>2031</v>
      </c>
      <c r="C254" t="str">
        <f>tbl_detail_2022!C254</f>
        <v>Storage vessels</v>
      </c>
      <c r="D254" t="n">
        <f>tbl_detail_2022!D254</f>
        <v>0</v>
      </c>
      <c r="E254" t="n">
        <f>tbl_detail_2022!E254</f>
        <v>0</v>
      </c>
      <c r="F254" t="n">
        <f>tbl_detail_2022!F254</f>
        <v>12073.175591807099</v>
      </c>
      <c r="G254" t="n">
        <f>tbl_detail_2022!G254</f>
        <v>-15668.755360205199</v>
      </c>
      <c r="H254" t="n">
        <f>tbl_detail_2022!H254</f>
        <v>-74632.833671369197</v>
      </c>
      <c r="I254" t="n">
        <f>tbl_detail_2022!I254</f>
        <v>-2811.4188444004799</v>
      </c>
      <c r="J254" t="n">
        <f>tbl_detail_2022!J254</f>
        <v>-355361.39393928298</v>
      </c>
      <c r="K254" t="n">
        <f>tbl_detail_2022!K254</f>
        <v>374057271.04821497</v>
      </c>
      <c r="L254" t="n">
        <f>tbl_detail_2022!L254</f>
        <v>0</v>
      </c>
      <c r="M254" t="n">
        <f>tbl_detail_2022!M254</f>
        <v>374057271.04821497</v>
      </c>
      <c r="N254" t="n">
        <f>tbl_detail_2022!N254</f>
        <v>103651848.77484</v>
      </c>
      <c r="O254" t="n">
        <f>tbl_detail_2022!O254</f>
        <v>275751330.516873</v>
      </c>
      <c r="P254" t="n">
        <f t="shared" si="34"/>
        <v>10</v>
      </c>
      <c r="Q254" t="n">
        <f t="shared" si="35"/>
        <v>0.5083492921347178</v>
      </c>
      <c r="R254" t="n">
        <f t="shared" si="36"/>
        <v>190151748.95520434</v>
      </c>
      <c r="S254" t="n">
        <f t="shared" si="41"/>
        <v>0</v>
      </c>
      <c r="T254" t="n">
        <f t="shared" si="42"/>
        <v>190151748.95520434</v>
      </c>
      <c r="U254" t="n">
        <f t="shared" si="43"/>
        <v>52691343.953144729</v>
      </c>
      <c r="V254" t="n">
        <f t="shared" si="44"/>
        <v>140177993.67345899</v>
      </c>
      <c r="W254" t="n">
        <f t="shared" si="37"/>
        <v>1801.5596379329102</v>
      </c>
      <c r="X254" t="n">
        <f t="shared" si="38"/>
        <v>28228197.233590625</v>
      </c>
      <c r="Y254" t="n">
        <f t="shared" si="39"/>
        <v>0.74409391489672516</v>
      </c>
      <c r="Z254" t="n">
        <f t="shared" si="40"/>
        <v>21004429.790019356</v>
      </c>
    </row>
    <row r="255">
      <c r="B255" s="52" t="n">
        <v>2032</v>
      </c>
      <c r="C255" t="str">
        <f>tbl_detail_2022!C255</f>
        <v>fugitives</v>
      </c>
      <c r="D255" t="str">
        <f>tbl_detail_2022!D255</f>
        <v>G&amp;B Stations</v>
      </c>
      <c r="E255" t="n">
        <f>tbl_detail_2022!E255</f>
        <v>0</v>
      </c>
      <c r="F255" t="n">
        <f>tbl_detail_2022!F255</f>
        <v>5007.8553996977298</v>
      </c>
      <c r="G255" t="n">
        <f>tbl_detail_2022!G255</f>
        <v>-66632.647363261</v>
      </c>
      <c r="H255" t="n">
        <f>tbl_detail_2022!H255</f>
        <v>-18522.190372429999</v>
      </c>
      <c r="I255" t="n">
        <f>tbl_detail_2022!I255</f>
        <v>-697.81085156828101</v>
      </c>
      <c r="J255" t="n">
        <f>tbl_detail_2022!J255</f>
        <v>-1511203.0218437901</v>
      </c>
      <c r="K255" t="n">
        <f>tbl_detail_2022!K255</f>
        <v>66830593.1074147</v>
      </c>
      <c r="L255" t="n">
        <f>tbl_detail_2022!L255</f>
        <v>12230973.1848242</v>
      </c>
      <c r="M255" t="n">
        <f>tbl_detail_2022!M255</f>
        <v>54599619.922590502</v>
      </c>
      <c r="N255" t="n">
        <f>tbl_detail_2022!N255</f>
        <v>0</v>
      </c>
      <c r="O255" t="n">
        <f>tbl_detail_2022!O255</f>
        <v>64411036.150912203</v>
      </c>
      <c r="P255" t="n">
        <f t="shared" si="34"/>
        <v>11</v>
      </c>
      <c r="Q255" t="n">
        <f t="shared" si="35"/>
        <v>0.47509279638758667</v>
      </c>
      <c r="R255" t="n">
        <f t="shared" si="36"/>
        <v>31750733.363642626</v>
      </c>
      <c r="S255" t="n">
        <f t="shared" si="41"/>
        <v>5810847.2529197158</v>
      </c>
      <c r="T255" t="n">
        <f t="shared" si="42"/>
        <v>25939886.110722911</v>
      </c>
      <c r="U255" t="n">
        <f t="shared" si="43"/>
        <v>0</v>
      </c>
      <c r="V255" t="n">
        <f t="shared" si="44"/>
        <v>30601219.283158816</v>
      </c>
      <c r="W255" t="n">
        <f t="shared" si="37"/>
        <v>1851.1956077446432</v>
      </c>
      <c r="X255" t="n">
        <f t="shared" si="38"/>
        <v>123350064.13126644</v>
      </c>
      <c r="Y255" t="n">
        <f t="shared" si="39"/>
        <v>0.72242127659876232</v>
      </c>
      <c r="Z255" t="n">
        <f t="shared" si="40"/>
        <v>89110710.798248708</v>
      </c>
    </row>
    <row r="256">
      <c r="B256" s="52" t="n">
        <v>2032</v>
      </c>
      <c r="C256" t="str">
        <f>tbl_detail_2022!C256</f>
        <v>fugitives</v>
      </c>
      <c r="D256" t="str">
        <f>tbl_detail_2022!D256</f>
        <v>Processing Plants</v>
      </c>
      <c r="E256" t="str">
        <f>tbl_detail_2022!E256</f>
        <v>Large Plants</v>
      </c>
      <c r="F256" t="n">
        <f>tbl_detail_2022!F256</f>
        <v>231.11109891475201</v>
      </c>
      <c r="G256" t="n">
        <f>tbl_detail_2022!G256</f>
        <v>-5392.4015259389198</v>
      </c>
      <c r="H256" t="n">
        <f>tbl_detail_2022!H256</f>
        <v>-637.86926977193605</v>
      </c>
      <c r="I256" t="n">
        <f>tbl_detail_2022!I256</f>
        <v>-23.297287431906501</v>
      </c>
      <c r="J256" t="n">
        <f>tbl_detail_2022!J256</f>
        <v>-122297.60940711301</v>
      </c>
      <c r="K256" t="n">
        <f>tbl_detail_2022!K256</f>
        <v>1258529.77186957</v>
      </c>
      <c r="L256" t="n">
        <f>tbl_detail_2022!L256</f>
        <v>943173.18811159697</v>
      </c>
      <c r="M256" t="n">
        <f>tbl_detail_2022!M256</f>
        <v>315356.58375797502</v>
      </c>
      <c r="N256" t="n">
        <f>tbl_detail_2022!N256</f>
        <v>-56890.910437103601</v>
      </c>
      <c r="O256" t="n">
        <f>tbl_detail_2022!O256</f>
        <v>1942360.7472681</v>
      </c>
      <c r="P256" t="n">
        <f t="shared" si="34"/>
        <v>11</v>
      </c>
      <c r="Q256" t="n">
        <f t="shared" si="35"/>
        <v>0.47509279638758667</v>
      </c>
      <c r="R256" t="n">
        <f t="shared" si="36"/>
        <v>597918.42865454557</v>
      </c>
      <c r="S256" t="n">
        <f t="shared" si="41"/>
        <v>448094.78741773393</v>
      </c>
      <c r="T256" t="n">
        <f t="shared" si="42"/>
        <v>149823.64123681255</v>
      </c>
      <c r="U256" t="n">
        <f t="shared" si="43"/>
        <v>-27028.46172859929</v>
      </c>
      <c r="V256" t="n">
        <f t="shared" si="44"/>
        <v>922801.5990130842</v>
      </c>
      <c r="W256" t="n">
        <f t="shared" si="37"/>
        <v>1851.1956077446432</v>
      </c>
      <c r="X256" t="n">
        <f t="shared" si="38"/>
        <v>9982390.0200136397</v>
      </c>
      <c r="Y256" t="n">
        <f t="shared" si="39"/>
        <v>0.72242127659876232</v>
      </c>
      <c r="Z256" t="n">
        <f t="shared" si="40"/>
        <v>7211490.9417649982</v>
      </c>
    </row>
    <row r="257">
      <c r="B257" s="52" t="n">
        <v>2032</v>
      </c>
      <c r="C257" t="str">
        <f>tbl_detail_2022!C257</f>
        <v>fugitives</v>
      </c>
      <c r="D257" t="str">
        <f>tbl_detail_2022!D257</f>
        <v>Processing Plants</v>
      </c>
      <c r="E257" t="str">
        <f>tbl_detail_2022!E257</f>
        <v>Small Plants</v>
      </c>
      <c r="F257" t="n">
        <f>tbl_detail_2022!F257</f>
        <v>959.21332204441103</v>
      </c>
      <c r="G257" t="n">
        <f>tbl_detail_2022!G257</f>
        <v>-10749.5017003545</v>
      </c>
      <c r="H257" t="n">
        <f>tbl_detail_2022!H257</f>
        <v>-1281.45745542794</v>
      </c>
      <c r="I257" t="n">
        <f>tbl_detail_2022!I257</f>
        <v>-46.823932772129602</v>
      </c>
      <c r="J257" t="n">
        <f>tbl_detail_2022!J257</f>
        <v>-243794.59762914301</v>
      </c>
      <c r="K257" t="n">
        <f>tbl_detail_2022!K257</f>
        <v>3156026.9773554401</v>
      </c>
      <c r="L257" t="n">
        <f>tbl_detail_2022!L257</f>
        <v>1880171.8938333499</v>
      </c>
      <c r="M257" t="n">
        <f>tbl_detail_2022!M257</f>
        <v>1275855.08352209</v>
      </c>
      <c r="N257" t="n">
        <f>tbl_detail_2022!N257</f>
        <v>-115275.95840210099</v>
      </c>
      <c r="O257" t="n">
        <f>tbl_detail_2022!O257</f>
        <v>4541648.5198557898</v>
      </c>
      <c r="P257" t="n">
        <f t="shared" si="34"/>
        <v>11</v>
      </c>
      <c r="Q257" t="n">
        <f t="shared" si="35"/>
        <v>0.47509279638758667</v>
      </c>
      <c r="R257" t="n">
        <f t="shared" si="36"/>
        <v>1499405.6821464587</v>
      </c>
      <c r="S257" t="n">
        <f t="shared" si="41"/>
        <v>893256.12273063092</v>
      </c>
      <c r="T257" t="n">
        <f t="shared" si="42"/>
        <v>606149.55941582774</v>
      </c>
      <c r="U257" t="n">
        <f t="shared" si="43"/>
        <v>-54766.777433513278</v>
      </c>
      <c r="V257" t="n">
        <f t="shared" si="44"/>
        <v>2157704.4955078312</v>
      </c>
      <c r="W257" t="n">
        <f t="shared" si="37"/>
        <v>1851.1956077446432</v>
      </c>
      <c r="X257" t="n">
        <f t="shared" si="38"/>
        <v>19899430.333139826</v>
      </c>
      <c r="Y257" t="n">
        <f t="shared" si="39"/>
        <v>0.72242127659876232</v>
      </c>
      <c r="Z257" t="n">
        <f t="shared" si="40"/>
        <v>14375771.864855006</v>
      </c>
    </row>
    <row r="258">
      <c r="B258" s="52" t="n">
        <v>2032</v>
      </c>
      <c r="C258" t="str">
        <f>tbl_detail_2022!C258</f>
        <v>fugitives</v>
      </c>
      <c r="D258" t="str">
        <f>tbl_detail_2022!D258</f>
        <v>T&amp;S Compressor Stations</v>
      </c>
      <c r="E258" t="str">
        <f>tbl_detail_2022!E258</f>
        <v>Compressor Stations (Transmission)</v>
      </c>
      <c r="F258" t="n">
        <f>tbl_detail_2022!F258</f>
        <v>1542.0705348275801</v>
      </c>
      <c r="G258" t="n">
        <f>tbl_detail_2022!G258</f>
        <v>-49828.909037152604</v>
      </c>
      <c r="H258" t="n">
        <f>tbl_detail_2022!H258</f>
        <v>-1378.99955049757</v>
      </c>
      <c r="I258" t="n">
        <f>tbl_detail_2022!I258</f>
        <v>-40.958623838108998</v>
      </c>
      <c r="J258" t="n">
        <f>tbl_detail_2022!J258</f>
        <v>-1130100.6472338201</v>
      </c>
      <c r="K258" t="n">
        <f>tbl_detail_2022!K258</f>
        <v>30329403.7494759</v>
      </c>
      <c r="L258" t="n">
        <f>tbl_detail_2022!L258</f>
        <v>8170749.1731578596</v>
      </c>
      <c r="M258" t="n">
        <f>tbl_detail_2022!M258</f>
        <v>22158654.576318</v>
      </c>
      <c r="N258" t="n">
        <f>tbl_detail_2022!N258</f>
        <v>0</v>
      </c>
      <c r="O258" t="n">
        <f>tbl_detail_2022!O258</f>
        <v>24565183.619803298</v>
      </c>
      <c r="P258" t="n">
        <f t="shared" si="34"/>
        <v>11</v>
      </c>
      <c r="Q258" t="n">
        <f t="shared" si="35"/>
        <v>0.47509279638758667</v>
      </c>
      <c r="R258" t="n">
        <f t="shared" si="36"/>
        <v>14409281.240106661</v>
      </c>
      <c r="S258" t="n">
        <f t="shared" si="41"/>
        <v>3881864.0732571292</v>
      </c>
      <c r="T258" t="n">
        <f t="shared" si="42"/>
        <v>10527417.166849513</v>
      </c>
      <c r="U258" t="n">
        <f t="shared" si="43"/>
        <v>0</v>
      </c>
      <c r="V258" t="n">
        <f t="shared" si="44"/>
        <v>11670741.779706888</v>
      </c>
      <c r="W258" t="n">
        <f t="shared" si="37"/>
        <v>1851.1956077446432</v>
      </c>
      <c r="X258" t="n">
        <f t="shared" si="38"/>
        <v>92243057.548284262</v>
      </c>
      <c r="Y258" t="n">
        <f t="shared" si="39"/>
        <v>0.72242127659876232</v>
      </c>
      <c r="Z258" t="n">
        <f t="shared" si="40"/>
        <v>66638347.391404614</v>
      </c>
    </row>
    <row r="259">
      <c r="B259" s="52" t="n">
        <v>2032</v>
      </c>
      <c r="C259" t="str">
        <f>tbl_detail_2022!C259</f>
        <v>fugitives</v>
      </c>
      <c r="D259" t="str">
        <f>tbl_detail_2022!D259</f>
        <v>T&amp;S Compressor Stations</v>
      </c>
      <c r="E259" t="str">
        <f>tbl_detail_2022!E259</f>
        <v>Compressor Stations (Storage)</v>
      </c>
      <c r="F259" t="n">
        <f>tbl_detail_2022!F259</f>
        <v>278.77366961395199</v>
      </c>
      <c r="G259" t="n">
        <f>tbl_detail_2022!G259</f>
        <v>-31766.534192165</v>
      </c>
      <c r="H259" t="n">
        <f>tbl_detail_2022!H259</f>
        <v>-879.12894780014699</v>
      </c>
      <c r="I259" t="n">
        <f>tbl_detail_2022!I259</f>
        <v>-26.111619735587599</v>
      </c>
      <c r="J259" t="n">
        <f>tbl_detail_2022!J259</f>
        <v>-720452.876545507</v>
      </c>
      <c r="K259" t="n">
        <f>tbl_detail_2022!K259</f>
        <v>6624770.33860783</v>
      </c>
      <c r="L259" t="n">
        <f>tbl_detail_2022!L259</f>
        <v>5208951.7511048997</v>
      </c>
      <c r="M259" t="n">
        <f>tbl_detail_2022!M259</f>
        <v>1415818.5875029301</v>
      </c>
      <c r="N259" t="n">
        <f>tbl_detail_2022!N259</f>
        <v>0</v>
      </c>
      <c r="O259" t="n">
        <f>tbl_detail_2022!O259</f>
        <v>5582721.5076890104</v>
      </c>
      <c r="P259" t="n">
        <f t="shared" si="34"/>
        <v>11</v>
      </c>
      <c r="Q259" t="n">
        <f t="shared" si="35"/>
        <v>0.47509279638758667</v>
      </c>
      <c r="R259" t="n">
        <f t="shared" si="36"/>
        <v>3147380.6655947333</v>
      </c>
      <c r="S259" t="n">
        <f t="shared" si="41"/>
        <v>2474735.4536804431</v>
      </c>
      <c r="T259" t="n">
        <f t="shared" si="42"/>
        <v>672645.21191429009</v>
      </c>
      <c r="U259" t="n">
        <f t="shared" si="43"/>
        <v>0</v>
      </c>
      <c r="V259" t="n">
        <f t="shared" si="44"/>
        <v>2652310.772541096</v>
      </c>
      <c r="W259" t="n">
        <f t="shared" si="37"/>
        <v>1851.1956077446432</v>
      </c>
      <c r="X259" t="n">
        <f t="shared" si="38"/>
        <v>58806068.569805875</v>
      </c>
      <c r="Y259" t="n">
        <f t="shared" si="39"/>
        <v>0.72242127659876232</v>
      </c>
      <c r="Z259" t="n">
        <f t="shared" si="40"/>
        <v>42482755.127953514</v>
      </c>
    </row>
    <row r="260">
      <c r="B260" s="52" t="n">
        <v>2032</v>
      </c>
      <c r="C260" t="str">
        <f>tbl_detail_2022!C260</f>
        <v>fugitives</v>
      </c>
      <c r="D260" t="str">
        <f>tbl_detail_2022!D260</f>
        <v>Wellpad Fugitives</v>
      </c>
      <c r="E260" t="str">
        <f>tbl_detail_2022!E260</f>
        <v>1: No equipment, no tanks</v>
      </c>
      <c r="F260" t="n">
        <f>tbl_detail_2022!F260</f>
        <v>180104.77896197399</v>
      </c>
      <c r="G260" t="n">
        <f>tbl_detail_2022!G260</f>
        <v>-40447.002541761198</v>
      </c>
      <c r="H260" t="n">
        <f>tbl_detail_2022!H260</f>
        <v>-11243.243518786299</v>
      </c>
      <c r="I260" t="n">
        <f>tbl_detail_2022!I260</f>
        <v>-423.53298335268101</v>
      </c>
      <c r="J260" t="n">
        <f>tbl_detail_2022!J260</f>
        <v>-917322.58711567405</v>
      </c>
      <c r="K260" t="n">
        <f>tbl_detail_2022!K260</f>
        <v>124468203.445786</v>
      </c>
      <c r="L260" t="n">
        <f>tbl_detail_2022!L260</f>
        <v>7424381.6367945001</v>
      </c>
      <c r="M260" t="n">
        <f>tbl_detail_2022!M260</f>
        <v>117043821.808991</v>
      </c>
      <c r="N260" t="n">
        <f>tbl_detail_2022!N260</f>
        <v>623319.24746876606</v>
      </c>
      <c r="O260" t="n">
        <f>tbl_detail_2022!O260</f>
        <v>121545180.288643</v>
      </c>
      <c r="P260" t="n">
        <f t="shared" ref="P260:P323" si="45">B260-2021</f>
        <v>11</v>
      </c>
      <c r="Q260" t="n">
        <f t="shared" ref="Q260:Q323" si="46" xml:space="preserve"> 1/(1+0.07)^P260</f>
        <v>0.47509279638758667</v>
      </c>
      <c r="R260" t="n">
        <f t="shared" ref="R260:R323" si="47">K260*$Q260</f>
        <v>59133946.836397521</v>
      </c>
      <c r="S260" t="n">
        <f t="shared" si="41"/>
        <v>3527270.2332733469</v>
      </c>
      <c r="T260" t="n">
        <f t="shared" si="42"/>
        <v>55606676.603123941</v>
      </c>
      <c r="U260" t="n">
        <f t="shared" si="43"/>
        <v>296134.48432214221</v>
      </c>
      <c r="V260" t="n">
        <f t="shared" si="44"/>
        <v>57745239.590764783</v>
      </c>
      <c r="W260" t="n">
        <f t="shared" ref="W260:W323" si="48">VLOOKUP(B260, $AD$3:$AE$15, 2)</f>
        <v>1851.1956077446432</v>
      </c>
      <c r="X260" t="n">
        <f t="shared" ref="X260:X323" si="49" xml:space="preserve"> -W260*G260</f>
        <v>74875313.45174475</v>
      </c>
      <c r="Y260" t="n">
        <f t="shared" ref="Y260:Y323" si="50">1/(1+0.03)^P260</f>
        <v>0.72242127659876232</v>
      </c>
      <c r="Z260" t="n">
        <f t="shared" ref="Z260:Z323" si="51">X260*Y260</f>
        <v>54091519.529541925</v>
      </c>
    </row>
    <row r="261">
      <c r="B261" s="52" t="n">
        <v>2032</v>
      </c>
      <c r="C261" t="str">
        <f>tbl_detail_2022!C261</f>
        <v>fugitives</v>
      </c>
      <c r="D261" t="str">
        <f>tbl_detail_2022!D261</f>
        <v>Wellpad Fugitives</v>
      </c>
      <c r="E261" t="str">
        <f>tbl_detail_2022!E261</f>
        <v>2: Tanks, no equipment</v>
      </c>
      <c r="F261" t="n">
        <f>tbl_detail_2022!F261</f>
        <v>28786.392431549099</v>
      </c>
      <c r="G261" t="n">
        <f>tbl_detail_2022!G261</f>
        <v>-9019.6861491827804</v>
      </c>
      <c r="H261" t="n">
        <f>tbl_detail_2022!H261</f>
        <v>-2507.2445784723</v>
      </c>
      <c r="I261" t="n">
        <f>tbl_detail_2022!I261</f>
        <v>-94.447903271051402</v>
      </c>
      <c r="J261" t="n">
        <f>tbl_detail_2022!J261</f>
        <v>-204563.040853199</v>
      </c>
      <c r="K261" t="n">
        <f>tbl_detail_2022!K261</f>
        <v>30035106.490705699</v>
      </c>
      <c r="L261" t="n">
        <f>tbl_detail_2022!L261</f>
        <v>1655637.94613707</v>
      </c>
      <c r="M261" t="n">
        <f>tbl_detail_2022!M261</f>
        <v>28379468.544568598</v>
      </c>
      <c r="N261" t="n">
        <f>tbl_detail_2022!N261</f>
        <v>484141.480592812</v>
      </c>
      <c r="O261" t="n">
        <f>tbl_detail_2022!O261</f>
        <v>28806370.680734299</v>
      </c>
      <c r="P261" t="n">
        <f t="shared" si="45"/>
        <v>11</v>
      </c>
      <c r="Q261" t="n">
        <f t="shared" si="46"/>
        <v>0.47509279638758667</v>
      </c>
      <c r="R261" t="n">
        <f t="shared" si="47"/>
        <v>14269462.732468326</v>
      </c>
      <c r="S261" t="n">
        <f t="shared" si="41"/>
        <v>786581.66163566115</v>
      </c>
      <c r="T261" t="n">
        <f t="shared" si="42"/>
        <v>13482881.070832649</v>
      </c>
      <c r="U261" t="n">
        <f t="shared" si="43"/>
        <v>230012.12986206557</v>
      </c>
      <c r="V261" t="n">
        <f t="shared" si="44"/>
        <v>13685699.200487446</v>
      </c>
      <c r="W261" t="n">
        <f t="shared" si="48"/>
        <v>1851.1956077446432</v>
      </c>
      <c r="X261" t="n">
        <f t="shared" si="49"/>
        <v>16697203.382602358</v>
      </c>
      <c r="Y261" t="n">
        <f t="shared" si="50"/>
        <v>0.72242127659876232</v>
      </c>
      <c r="Z261" t="n">
        <f t="shared" si="51"/>
        <v>12062414.983288769</v>
      </c>
    </row>
    <row r="262">
      <c r="B262" s="52" t="n">
        <v>2032</v>
      </c>
      <c r="C262" t="str">
        <f>tbl_detail_2022!C262</f>
        <v>fugitives</v>
      </c>
      <c r="D262" t="str">
        <f>tbl_detail_2022!D262</f>
        <v>Wellpad Fugitives</v>
      </c>
      <c r="E262" t="str">
        <f>tbl_detail_2022!E262</f>
        <v>3: Equipment = 1, no tanks</v>
      </c>
      <c r="F262" t="n">
        <f>tbl_detail_2022!F262</f>
        <v>23792.921775808099</v>
      </c>
      <c r="G262" t="n">
        <f>tbl_detail_2022!G262</f>
        <v>-19686.796239080901</v>
      </c>
      <c r="H262" t="n">
        <f>tbl_detail_2022!H262</f>
        <v>-5472.4313375800202</v>
      </c>
      <c r="I262" t="n">
        <f>tbl_detail_2022!I262</f>
        <v>-206.14648848663899</v>
      </c>
      <c r="J262" t="n">
        <f>tbl_detail_2022!J262</f>
        <v>-446489.02818958898</v>
      </c>
      <c r="K262" t="n">
        <f>tbl_detail_2022!K262</f>
        <v>12117627.1634102</v>
      </c>
      <c r="L262" t="n">
        <f>tbl_detail_2022!L262</f>
        <v>3613674.1736012599</v>
      </c>
      <c r="M262" t="n">
        <f>tbl_detail_2022!M262</f>
        <v>8503952.9898089394</v>
      </c>
      <c r="N262" t="n">
        <f>tbl_detail_2022!N262</f>
        <v>-260582.807121377</v>
      </c>
      <c r="O262" t="n">
        <f>tbl_detail_2022!O262</f>
        <v>12085297.5891659</v>
      </c>
      <c r="P262" t="n">
        <f t="shared" si="45"/>
        <v>11</v>
      </c>
      <c r="Q262" t="n">
        <f t="shared" si="46"/>
        <v>0.47509279638758667</v>
      </c>
      <c r="R262" t="n">
        <f t="shared" si="47"/>
        <v>5756997.3746467317</v>
      </c>
      <c r="S262" t="n">
        <f t="shared" si="41"/>
        <v>1716830.568369824</v>
      </c>
      <c r="T262" t="n">
        <f t="shared" si="42"/>
        <v>4040166.8062769072</v>
      </c>
      <c r="U262" t="n">
        <f t="shared" si="43"/>
        <v>-123801.01452582213</v>
      </c>
      <c r="V262" t="n">
        <f t="shared" si="44"/>
        <v>5741637.8268129872</v>
      </c>
      <c r="W262" t="n">
        <f t="shared" si="48"/>
        <v>1851.1956077446432</v>
      </c>
      <c r="X262" t="n">
        <f t="shared" si="49"/>
        <v>36444110.728350326</v>
      </c>
      <c r="Y262" t="n">
        <f t="shared" si="50"/>
        <v>0.72242127659876232</v>
      </c>
      <c r="Z262" t="n">
        <f t="shared" si="51"/>
        <v>26328000.996881492</v>
      </c>
    </row>
    <row r="263">
      <c r="B263" s="52" t="n">
        <v>2032</v>
      </c>
      <c r="C263" t="str">
        <f>tbl_detail_2022!C263</f>
        <v>fugitives</v>
      </c>
      <c r="D263" t="str">
        <f>tbl_detail_2022!D263</f>
        <v>Wellpad Fugitives</v>
      </c>
      <c r="E263" t="str">
        <f>tbl_detail_2022!E263</f>
        <v>4: Equipment &gt; 1, no tanks</v>
      </c>
      <c r="F263" t="n">
        <f>tbl_detail_2022!F263</f>
        <v>33865.561587771001</v>
      </c>
      <c r="G263" t="n">
        <f>tbl_detail_2022!G263</f>
        <v>-54236.213341353803</v>
      </c>
      <c r="H263" t="n">
        <f>tbl_detail_2022!H263</f>
        <v>-15076.295295407501</v>
      </c>
      <c r="I263" t="n">
        <f>tbl_detail_2022!I263</f>
        <v>-567.92404377799903</v>
      </c>
      <c r="J263" t="n">
        <f>tbl_detail_2022!J263</f>
        <v>-1230056.62746651</v>
      </c>
      <c r="K263" t="n">
        <f>tbl_detail_2022!K263</f>
        <v>111439203.397323</v>
      </c>
      <c r="L263" t="n">
        <f>tbl_detail_2022!L263</f>
        <v>9955505.2556752991</v>
      </c>
      <c r="M263" t="n">
        <f>tbl_detail_2022!M263</f>
        <v>101483698.14164799</v>
      </c>
      <c r="N263" t="n">
        <f>tbl_detail_2022!N263</f>
        <v>18804.825412466202</v>
      </c>
      <c r="O263" t="n">
        <f>tbl_detail_2022!O263</f>
        <v>107820367.29175401</v>
      </c>
      <c r="P263" t="n">
        <f t="shared" si="45"/>
        <v>11</v>
      </c>
      <c r="Q263" t="n">
        <f t="shared" si="46"/>
        <v>0.47509279638758667</v>
      </c>
      <c r="R263" t="n">
        <f t="shared" si="47"/>
        <v>52943962.769239232</v>
      </c>
      <c r="S263" t="n">
        <f t="shared" si="41"/>
        <v>4729788.8313700939</v>
      </c>
      <c r="T263" t="n">
        <f t="shared" si="42"/>
        <v>48214173.937869281</v>
      </c>
      <c r="U263" t="n">
        <f t="shared" si="43"/>
        <v>8934.037090788921</v>
      </c>
      <c r="V263" t="n">
        <f t="shared" si="44"/>
        <v>51224679.8041761</v>
      </c>
      <c r="W263" t="n">
        <f t="shared" si="48"/>
        <v>1851.1956077446432</v>
      </c>
      <c r="X263" t="n">
        <f t="shared" si="49"/>
        <v>100401839.91821557</v>
      </c>
      <c r="Y263" t="n">
        <f t="shared" si="50"/>
        <v>0.72242127659876232</v>
      </c>
      <c r="Z263" t="n">
        <f t="shared" si="51"/>
        <v>72532425.366581872</v>
      </c>
    </row>
    <row r="264">
      <c r="B264" s="52" t="n">
        <v>2032</v>
      </c>
      <c r="C264" t="str">
        <f>tbl_detail_2022!C264</f>
        <v>fugitives</v>
      </c>
      <c r="D264" t="str">
        <f>tbl_detail_2022!D264</f>
        <v>Wellpad Fugitives</v>
      </c>
      <c r="E264" t="str">
        <f>tbl_detail_2022!E264</f>
        <v>5: Equipment = 1 and tanks</v>
      </c>
      <c r="F264" t="n">
        <f>tbl_detail_2022!F264</f>
        <v>53281.080549165599</v>
      </c>
      <c r="G264" t="n">
        <f>tbl_detail_2022!G264</f>
        <v>-62305.333323674196</v>
      </c>
      <c r="H264" t="n">
        <f>tbl_detail_2022!H264</f>
        <v>-17319.306525964301</v>
      </c>
      <c r="I264" t="n">
        <f>tbl_detail_2022!I264</f>
        <v>-652.41827683307702</v>
      </c>
      <c r="J264" t="n">
        <f>tbl_detail_2022!J264</f>
        <v>-1413061.19029627</v>
      </c>
      <c r="K264" t="n">
        <f>tbl_detail_2022!K264</f>
        <v>201730706.32978201</v>
      </c>
      <c r="L264" t="n">
        <f>tbl_detail_2022!L264</f>
        <v>11436658.9248496</v>
      </c>
      <c r="M264" t="n">
        <f>tbl_detail_2022!M264</f>
        <v>190294047.40493301</v>
      </c>
      <c r="N264" t="n">
        <f>tbl_detail_2022!N264</f>
        <v>13180.874131795401</v>
      </c>
      <c r="O264" t="n">
        <f>tbl_detail_2022!O264</f>
        <v>194380106.43090701</v>
      </c>
      <c r="P264" t="n">
        <f t="shared" si="45"/>
        <v>11</v>
      </c>
      <c r="Q264" t="n">
        <f t="shared" si="46"/>
        <v>0.47509279638758667</v>
      </c>
      <c r="R264" t="n">
        <f t="shared" si="47"/>
        <v>95840805.387459159</v>
      </c>
      <c r="S264" t="n">
        <f t="shared" si="41"/>
        <v>5433474.2699378468</v>
      </c>
      <c r="T264" t="n">
        <f t="shared" si="42"/>
        <v>90407331.117521599</v>
      </c>
      <c r="U264" t="n">
        <f t="shared" si="43"/>
        <v>6262.1383501074806</v>
      </c>
      <c r="V264" t="n">
        <f t="shared" si="44"/>
        <v>92348588.326376334</v>
      </c>
      <c r="W264" t="n">
        <f t="shared" si="48"/>
        <v>1851.1956077446432</v>
      </c>
      <c r="X264" t="n">
        <f t="shared" si="49"/>
        <v>115339359.38785163</v>
      </c>
      <c r="Y264" t="n">
        <f t="shared" si="50"/>
        <v>0.72242127659876232</v>
      </c>
      <c r="Z264" t="n">
        <f t="shared" si="51"/>
        <v>83323607.251055211</v>
      </c>
    </row>
    <row r="265">
      <c r="B265" s="52" t="n">
        <v>2032</v>
      </c>
      <c r="C265" t="str">
        <f>tbl_detail_2022!C265</f>
        <v>fugitives</v>
      </c>
      <c r="D265" t="str">
        <f>tbl_detail_2022!D265</f>
        <v>Wellpad Fugitives</v>
      </c>
      <c r="E265" t="str">
        <f>tbl_detail_2022!E265</f>
        <v>6: Equipment &gt; 1 and tanks</v>
      </c>
      <c r="F265" t="n">
        <f>tbl_detail_2022!F265</f>
        <v>147126.06786015799</v>
      </c>
      <c r="G265" t="n">
        <f>tbl_detail_2022!G265</f>
        <v>-165028.318832491</v>
      </c>
      <c r="H265" t="n">
        <f>tbl_detail_2022!H265</f>
        <v>-45873.697914051001</v>
      </c>
      <c r="I265" t="n">
        <f>tbl_detail_2022!I265</f>
        <v>-1728.0622004223001</v>
      </c>
      <c r="J265" t="n">
        <f>tbl_detail_2022!J265</f>
        <v>-3742779.3128172602</v>
      </c>
      <c r="K265" t="n">
        <f>tbl_detail_2022!K265</f>
        <v>458347510.110506</v>
      </c>
      <c r="L265" t="n">
        <f>tbl_detail_2022!L265</f>
        <v>30292311.985936899</v>
      </c>
      <c r="M265" t="n">
        <f>tbl_detail_2022!M265</f>
        <v>428055198.124569</v>
      </c>
      <c r="N265" t="n">
        <f>tbl_detail_2022!N265</f>
        <v>98068.422613657502</v>
      </c>
      <c r="O265" t="n">
        <f>tbl_detail_2022!O265</f>
        <v>444244451.25439</v>
      </c>
      <c r="P265" t="n">
        <f t="shared" si="45"/>
        <v>11</v>
      </c>
      <c r="Q265" t="n">
        <f t="shared" si="46"/>
        <v>0.47509279638758667</v>
      </c>
      <c r="R265" t="n">
        <f t="shared" si="47"/>
        <v>217757600.29568794</v>
      </c>
      <c r="S265" t="n">
        <f t="shared" si="41"/>
        <v>14391659.21044397</v>
      </c>
      <c r="T265" t="n">
        <f t="shared" si="42"/>
        <v>203365941.08524394</v>
      </c>
      <c r="U265" t="n">
        <f t="shared" si="43"/>
        <v>46591.601136842182</v>
      </c>
      <c r="V265" t="n">
        <f t="shared" si="44"/>
        <v>211057338.62611708</v>
      </c>
      <c r="W265" t="n">
        <f t="shared" si="48"/>
        <v>1851.1956077446432</v>
      </c>
      <c r="X265" t="n">
        <f t="shared" si="49"/>
        <v>305499698.97618991</v>
      </c>
      <c r="Y265" t="n">
        <f t="shared" si="50"/>
        <v>0.72242127659876232</v>
      </c>
      <c r="Z265" t="n">
        <f t="shared" si="51"/>
        <v>220699482.53491673</v>
      </c>
    </row>
    <row r="266">
      <c r="B266" s="52" t="n">
        <v>2032</v>
      </c>
      <c r="C266" t="str">
        <f>tbl_detail_2022!C266</f>
        <v>compressors</v>
      </c>
      <c r="D266" t="str">
        <f>tbl_detail_2022!D266</f>
        <v>G&amp;B Station Recip Comp</v>
      </c>
      <c r="E266" t="n">
        <f>tbl_detail_2022!E266</f>
        <v>0</v>
      </c>
      <c r="F266" t="n">
        <f>tbl_detail_2022!F266</f>
        <v>28529.829517137601</v>
      </c>
      <c r="G266" t="n">
        <f>tbl_detail_2022!G266</f>
        <v>-188268.90721623099</v>
      </c>
      <c r="H266" t="n">
        <f>tbl_detail_2022!H266</f>
        <v>-52333.993600126603</v>
      </c>
      <c r="I266" t="n">
        <f>tbl_detail_2022!I266</f>
        <v>-1971.6474080966</v>
      </c>
      <c r="J266" t="n">
        <f>tbl_detail_2022!J266</f>
        <v>-4269866.9910760298</v>
      </c>
      <c r="K266" t="n">
        <f>tbl_detail_2022!K266</f>
        <v>33021725.210304301</v>
      </c>
      <c r="L266" t="n">
        <f>tbl_detail_2022!L266</f>
        <v>34558314.0820475</v>
      </c>
      <c r="M266" t="n">
        <f>tbl_detail_2022!M266</f>
        <v>-1536588.8717432001</v>
      </c>
      <c r="N266" t="n">
        <f>tbl_detail_2022!N266</f>
        <v>0</v>
      </c>
      <c r="O266" t="n">
        <f>tbl_detail_2022!O266</f>
        <v>17032308.2217311</v>
      </c>
      <c r="P266" t="n">
        <f t="shared" si="45"/>
        <v>11</v>
      </c>
      <c r="Q266" t="n">
        <f t="shared" si="46"/>
        <v>0.47509279638758667</v>
      </c>
      <c r="R266" t="n">
        <f t="shared" si="47"/>
        <v>15688383.771705939</v>
      </c>
      <c r="S266" t="n">
        <f t="shared" si="41"/>
        <v>16418406.075680463</v>
      </c>
      <c r="T266" t="n">
        <f t="shared" si="42"/>
        <v>-730022.30397452367</v>
      </c>
      <c r="U266" t="n">
        <f t="shared" si="43"/>
        <v>0</v>
      </c>
      <c r="V266" t="n">
        <f t="shared" si="44"/>
        <v>8091926.9419975122</v>
      </c>
      <c r="W266" t="n">
        <f t="shared" si="48"/>
        <v>1851.1956077446432</v>
      </c>
      <c r="X266" t="n">
        <f t="shared" si="49"/>
        <v>348522574.11357057</v>
      </c>
      <c r="Y266" t="n">
        <f t="shared" si="50"/>
        <v>0.72242127659876232</v>
      </c>
      <c r="Z266" t="n">
        <f t="shared" si="51"/>
        <v>251780122.91461241</v>
      </c>
    </row>
    <row r="267">
      <c r="B267" s="52" t="n">
        <v>2032</v>
      </c>
      <c r="C267" t="str">
        <f>tbl_detail_2022!C267</f>
        <v>compressors</v>
      </c>
      <c r="D267" t="str">
        <f>tbl_detail_2022!D267</f>
        <v>Proc Recip Comp</v>
      </c>
      <c r="E267" t="n">
        <f>tbl_detail_2022!E267</f>
        <v>0</v>
      </c>
      <c r="F267" t="n">
        <f>tbl_detail_2022!F267</f>
        <v>4129.6681360001803</v>
      </c>
      <c r="G267" t="n">
        <f>tbl_detail_2022!G267</f>
        <v>-65224.677017403803</v>
      </c>
      <c r="H267" t="n">
        <f>tbl_detail_2022!H267</f>
        <v>-18130.810233463999</v>
      </c>
      <c r="I267" t="n">
        <f>tbl_detail_2022!I267</f>
        <v>-683.06587256918397</v>
      </c>
      <c r="J267" t="n">
        <f>tbl_detail_2022!J267</f>
        <v>-1479270.7915404399</v>
      </c>
      <c r="K267" t="n">
        <f>tbl_detail_2022!K267</f>
        <v>6972157.0543326</v>
      </c>
      <c r="L267" t="n">
        <f>tbl_detail_2022!L267</f>
        <v>11408305.978353901</v>
      </c>
      <c r="M267" t="n">
        <f>tbl_detail_2022!M267</f>
        <v>-4436148.9240213297</v>
      </c>
      <c r="N267" t="n">
        <f>tbl_detail_2022!N267</f>
        <v>13784927.1733166</v>
      </c>
      <c r="O267" t="n">
        <f>tbl_detail_2022!O267</f>
        <v>2465411.8771921098</v>
      </c>
      <c r="P267" t="n">
        <f t="shared" si="45"/>
        <v>11</v>
      </c>
      <c r="Q267" t="n">
        <f t="shared" si="46"/>
        <v>0.47509279638758667</v>
      </c>
      <c r="R267" t="n">
        <f t="shared" si="47"/>
        <v>3312421.5917963139</v>
      </c>
      <c r="S267" t="n">
        <f t="shared" si="41"/>
        <v>5420003.9893013779</v>
      </c>
      <c r="T267" t="n">
        <f t="shared" si="42"/>
        <v>-2107582.3975050771</v>
      </c>
      <c r="U267" t="n">
        <f t="shared" si="43"/>
        <v>6549119.5987702142</v>
      </c>
      <c r="V267" t="n">
        <f t="shared" si="44"/>
        <v>1171299.4229823689</v>
      </c>
      <c r="W267" t="n">
        <f t="shared" si="48"/>
        <v>1851.1956077446432</v>
      </c>
      <c r="X267" t="n">
        <f t="shared" si="49"/>
        <v>120743635.6111809</v>
      </c>
      <c r="Y267" t="n">
        <f t="shared" si="50"/>
        <v>0.72242127659876232</v>
      </c>
      <c r="Z267" t="n">
        <f t="shared" si="51"/>
        <v>87227771.379405081</v>
      </c>
    </row>
    <row r="268">
      <c r="B268" s="52" t="n">
        <v>2032</v>
      </c>
      <c r="C268" t="str">
        <f>tbl_detail_2022!C268</f>
        <v>compressors</v>
      </c>
      <c r="D268" t="str">
        <f>tbl_detail_2022!D268</f>
        <v>T&amp;S Recip Comp</v>
      </c>
      <c r="E268" t="str">
        <f>tbl_detail_2022!E268</f>
        <v>Reciprocating Compressors (Transmission)</v>
      </c>
      <c r="F268" t="n">
        <f>tbl_detail_2022!F268</f>
        <v>9413.19684273848</v>
      </c>
      <c r="G268" t="n">
        <f>tbl_detail_2022!G268</f>
        <v>-103881.195984363</v>
      </c>
      <c r="H268" t="n">
        <f>tbl_detail_2022!H268</f>
        <v>-2874.87977031118</v>
      </c>
      <c r="I268" t="n">
        <f>tbl_detail_2022!I268</f>
        <v>-85.388801649339101</v>
      </c>
      <c r="J268" t="n">
        <f>tbl_detail_2022!J268</f>
        <v>-2355985.89424907</v>
      </c>
      <c r="K268" t="n">
        <f>tbl_detail_2022!K268</f>
        <v>11783853.1543492</v>
      </c>
      <c r="L268" t="n">
        <f>tbl_detail_2022!L268</f>
        <v>17034031.300244201</v>
      </c>
      <c r="M268" t="n">
        <f>tbl_detail_2022!M268</f>
        <v>-5250178.1458949903</v>
      </c>
      <c r="N268" t="n">
        <f>tbl_detail_2022!N268</f>
        <v>0</v>
      </c>
      <c r="O268" t="n">
        <f>tbl_detail_2022!O268</f>
        <v>5619678.5151148802</v>
      </c>
      <c r="P268" t="n">
        <f t="shared" si="45"/>
        <v>11</v>
      </c>
      <c r="Q268" t="n">
        <f t="shared" si="46"/>
        <v>0.47509279638758667</v>
      </c>
      <c r="R268" t="n">
        <f t="shared" si="47"/>
        <v>5598423.7473204453</v>
      </c>
      <c r="S268" t="n">
        <f t="shared" si="41"/>
        <v>8092745.564186696</v>
      </c>
      <c r="T268" t="n">
        <f t="shared" si="42"/>
        <v>-2494321.8168662461</v>
      </c>
      <c r="U268" t="n">
        <f t="shared" si="43"/>
        <v>0</v>
      </c>
      <c r="V268" t="n">
        <f t="shared" si="44"/>
        <v>2669868.780545169</v>
      </c>
      <c r="W268" t="n">
        <f t="shared" si="48"/>
        <v>1851.1956077446432</v>
      </c>
      <c r="X268" t="n">
        <f t="shared" si="49"/>
        <v>192304413.73351327</v>
      </c>
      <c r="Y268" t="n">
        <f t="shared" si="50"/>
        <v>0.72242127659876232</v>
      </c>
      <c r="Z268" t="n">
        <f t="shared" si="51"/>
        <v>138924800.06494123</v>
      </c>
    </row>
    <row r="269">
      <c r="B269" s="52" t="n">
        <v>2032</v>
      </c>
      <c r="C269" t="str">
        <f>tbl_detail_2022!C269</f>
        <v>compressors</v>
      </c>
      <c r="D269" t="str">
        <f>tbl_detail_2022!D269</f>
        <v>T&amp;S Recip Comp</v>
      </c>
      <c r="E269" t="str">
        <f>tbl_detail_2022!E269</f>
        <v>Reciprocating Compressors (Storage)</v>
      </c>
      <c r="F269" t="n">
        <f>tbl_detail_2022!F269</f>
        <v>1395.4432532569399</v>
      </c>
      <c r="G269" t="n">
        <f>tbl_detail_2022!G269</f>
        <v>-31714.073047550901</v>
      </c>
      <c r="H269" t="n">
        <f>tbl_detail_2022!H269</f>
        <v>-877.67710194922904</v>
      </c>
      <c r="I269" t="n">
        <f>tbl_detail_2022!I269</f>
        <v>-26.0684974531639</v>
      </c>
      <c r="J269" t="n">
        <f>tbl_detail_2022!J269</f>
        <v>-719263.07779958704</v>
      </c>
      <c r="K269" t="n">
        <f>tbl_detail_2022!K269</f>
        <v>3442000.2123771701</v>
      </c>
      <c r="L269" t="n">
        <f>tbl_detail_2022!L269</f>
        <v>5200349.37826028</v>
      </c>
      <c r="M269" t="n">
        <f>tbl_detail_2022!M269</f>
        <v>-1758349.1658831099</v>
      </c>
      <c r="N269" t="n">
        <f>tbl_detail_2022!N269</f>
        <v>0</v>
      </c>
      <c r="O269" t="n">
        <f>tbl_detail_2022!O269</f>
        <v>833079.62219439202</v>
      </c>
      <c r="P269" t="n">
        <f t="shared" si="45"/>
        <v>11</v>
      </c>
      <c r="Q269" t="n">
        <f t="shared" si="46"/>
        <v>0.47509279638758667</v>
      </c>
      <c r="R269" t="n">
        <f t="shared" si="47"/>
        <v>1635269.506064937</v>
      </c>
      <c r="S269" t="n">
        <f t="shared" si="41"/>
        <v>2470648.5283101243</v>
      </c>
      <c r="T269" t="n">
        <f t="shared" si="42"/>
        <v>-835379.0222451872</v>
      </c>
      <c r="U269" t="n">
        <f t="shared" si="43"/>
        <v>0</v>
      </c>
      <c r="V269" t="n">
        <f t="shared" si="44"/>
        <v>395790.12732184789</v>
      </c>
      <c r="W269" t="n">
        <f t="shared" si="48"/>
        <v>1851.1956077446432</v>
      </c>
      <c r="X269" t="n">
        <f t="shared" si="49"/>
        <v>58708952.729318999</v>
      </c>
      <c r="Y269" t="n">
        <f t="shared" si="50"/>
        <v>0.72242127659876232</v>
      </c>
      <c r="Z269" t="n">
        <f t="shared" si="51"/>
        <v>42412596.578491025</v>
      </c>
    </row>
    <row r="270">
      <c r="B270" s="52" t="n">
        <v>2032</v>
      </c>
      <c r="C270" t="str">
        <f>tbl_detail_2022!C270</f>
        <v>compressors</v>
      </c>
      <c r="D270" t="str">
        <f>tbl_detail_2022!D270</f>
        <v>Wet Seal Centrifugal Compr</v>
      </c>
      <c r="E270" t="str">
        <f>tbl_detail_2022!E270</f>
        <v>G&amp;B WS Centrifugal Comp</v>
      </c>
      <c r="F270" t="n">
        <f>tbl_detail_2022!F270</f>
        <v>379.728478927016</v>
      </c>
      <c r="G270" t="n">
        <f>tbl_detail_2022!G270</f>
        <v>-85153.343089471804</v>
      </c>
      <c r="H270" t="n">
        <f>tbl_detail_2022!H270</f>
        <v>-23670.475269479801</v>
      </c>
      <c r="I270" t="n">
        <f>tbl_detail_2022!I270</f>
        <v>-891.76896321116305</v>
      </c>
      <c r="J270" t="n">
        <f>tbl_detail_2022!J270</f>
        <v>-1931245.3352688299</v>
      </c>
      <c r="K270" t="n">
        <f>tbl_detail_2022!K270</f>
        <v>9493211.9731754009</v>
      </c>
      <c r="L270" t="n">
        <f>tbl_detail_2022!L270</f>
        <v>15630599.970724201</v>
      </c>
      <c r="M270" t="n">
        <f>tbl_detail_2022!M270</f>
        <v>-6137387.9975488503</v>
      </c>
      <c r="N270" t="n">
        <f>tbl_detail_2022!N270</f>
        <v>0</v>
      </c>
      <c r="O270" t="n">
        <f>tbl_detail_2022!O270</f>
        <v>9493211.9731754009</v>
      </c>
      <c r="P270" t="n">
        <f t="shared" si="45"/>
        <v>11</v>
      </c>
      <c r="Q270" t="n">
        <f t="shared" si="46"/>
        <v>0.47509279638758667</v>
      </c>
      <c r="R270" t="n">
        <f t="shared" si="47"/>
        <v>4510156.6230360204</v>
      </c>
      <c r="S270" t="n">
        <f t="shared" si="41"/>
        <v>7425985.4493070906</v>
      </c>
      <c r="T270" t="n">
        <f t="shared" si="42"/>
        <v>-2915828.8262710944</v>
      </c>
      <c r="U270" t="n">
        <f t="shared" si="43"/>
        <v>0</v>
      </c>
      <c r="V270" t="n">
        <f t="shared" si="44"/>
        <v>4510156.6230360204</v>
      </c>
      <c r="W270" t="n">
        <f t="shared" si="48"/>
        <v>1851.1956077446432</v>
      </c>
      <c r="X270" t="n">
        <f t="shared" si="49"/>
        <v>157635494.71200287</v>
      </c>
      <c r="Y270" t="n">
        <f t="shared" si="50"/>
        <v>0.72242127659876232</v>
      </c>
      <c r="Z270" t="n">
        <f t="shared" si="51"/>
        <v>113879235.32712257</v>
      </c>
    </row>
    <row r="271">
      <c r="B271" s="52" t="n">
        <v>2032</v>
      </c>
      <c r="C271" t="str">
        <f>tbl_detail_2022!C271</f>
        <v>compressors</v>
      </c>
      <c r="D271" t="str">
        <f>tbl_detail_2022!D271</f>
        <v>Wet Seal Centrifugal Compr</v>
      </c>
      <c r="E271" t="str">
        <f>tbl_detail_2022!E271</f>
        <v>Proc WS Centrifugal Comp</v>
      </c>
      <c r="F271" t="n">
        <f>tbl_detail_2022!F271</f>
        <v>272.84613216024098</v>
      </c>
      <c r="G271" t="n">
        <f>tbl_detail_2022!G271</f>
        <v>-37172.557642455897</v>
      </c>
      <c r="H271" t="n">
        <f>tbl_detail_2022!H271</f>
        <v>-10333.030676840801</v>
      </c>
      <c r="I271" t="n">
        <f>tbl_detail_2022!I271</f>
        <v>-2872.3211352717699</v>
      </c>
      <c r="J271" t="n">
        <f>tbl_detail_2022!J271</f>
        <v>-843059.42600015795</v>
      </c>
      <c r="K271" t="n">
        <f>tbl_detail_2022!K271</f>
        <v>6821153.3040060299</v>
      </c>
      <c r="L271" t="n">
        <f>tbl_detail_2022!L271</f>
        <v>6501770.9703641804</v>
      </c>
      <c r="M271" t="n">
        <f>tbl_detail_2022!M271</f>
        <v>319382.33364185598</v>
      </c>
      <c r="N271" t="n">
        <f>tbl_detail_2022!N271</f>
        <v>0</v>
      </c>
      <c r="O271" t="n">
        <f>tbl_detail_2022!O271</f>
        <v>6821153.3040060299</v>
      </c>
      <c r="P271" t="n">
        <f t="shared" si="45"/>
        <v>11</v>
      </c>
      <c r="Q271" t="n">
        <f t="shared" si="46"/>
        <v>0.47509279638758667</v>
      </c>
      <c r="R271" t="n">
        <f t="shared" si="47"/>
        <v>3240680.7977886507</v>
      </c>
      <c r="S271" t="n">
        <f t="shared" si="41"/>
        <v>3088944.5517819514</v>
      </c>
      <c r="T271" t="n">
        <f t="shared" si="42"/>
        <v>151736.24600670257</v>
      </c>
      <c r="U271" t="n">
        <f t="shared" si="43"/>
        <v>0</v>
      </c>
      <c r="V271" t="n">
        <f t="shared" si="44"/>
        <v>3240680.7977886507</v>
      </c>
      <c r="W271" t="n">
        <f t="shared" si="48"/>
        <v>1851.1956077446432</v>
      </c>
      <c r="X271" t="n">
        <f t="shared" si="49"/>
        <v>68813675.43634893</v>
      </c>
      <c r="Y271" t="n">
        <f t="shared" si="50"/>
        <v>0.72242127659876232</v>
      </c>
      <c r="Z271" t="n">
        <f t="shared" si="51"/>
        <v>49712463.256180085</v>
      </c>
    </row>
    <row r="272">
      <c r="B272" s="52" t="n">
        <v>2032</v>
      </c>
      <c r="C272" t="str">
        <f>tbl_detail_2022!C272</f>
        <v>compressors</v>
      </c>
      <c r="D272" t="str">
        <f>tbl_detail_2022!D272</f>
        <v>Wet Seal Centrifugal Compr</v>
      </c>
      <c r="E272" t="str">
        <f>tbl_detail_2022!E272</f>
        <v>T&amp;S WS Centrifugal Comp</v>
      </c>
      <c r="F272" t="n">
        <f>tbl_detail_2022!F272</f>
        <v>747.16747107695096</v>
      </c>
      <c r="G272" t="n">
        <f>tbl_detail_2022!G272</f>
        <v>-26289.7438076293</v>
      </c>
      <c r="H272" t="n">
        <f>tbl_detail_2022!H272</f>
        <v>-727.56047832366505</v>
      </c>
      <c r="I272" t="n">
        <f>tbl_detail_2022!I272</f>
        <v>-20.1350098156888</v>
      </c>
      <c r="J272" t="n">
        <f>tbl_detail_2022!J272</f>
        <v>-596241.36001977103</v>
      </c>
      <c r="K272" t="n">
        <f>tbl_detail_2022!K272</f>
        <v>18679186.776923802</v>
      </c>
      <c r="L272" t="n">
        <f>tbl_detail_2022!L272</f>
        <v>4310889.1330243303</v>
      </c>
      <c r="M272" t="n">
        <f>tbl_detail_2022!M272</f>
        <v>14368297.6438995</v>
      </c>
      <c r="N272" t="n">
        <f>tbl_detail_2022!N272</f>
        <v>0</v>
      </c>
      <c r="O272" t="n">
        <f>tbl_detail_2022!O272</f>
        <v>18679186.776923802</v>
      </c>
      <c r="P272" t="n">
        <f t="shared" si="45"/>
        <v>11</v>
      </c>
      <c r="Q272" t="n">
        <f t="shared" si="46"/>
        <v>0.47509279638758667</v>
      </c>
      <c r="R272" t="n">
        <f t="shared" si="47"/>
        <v>8874347.0800947603</v>
      </c>
      <c r="S272" t="n">
        <f t="shared" si="41"/>
        <v>2048072.3731253881</v>
      </c>
      <c r="T272" t="n">
        <f t="shared" si="42"/>
        <v>6826274.7069693869</v>
      </c>
      <c r="U272" t="n">
        <f t="shared" si="43"/>
        <v>0</v>
      </c>
      <c r="V272" t="n">
        <f t="shared" si="44"/>
        <v>8874347.0800947603</v>
      </c>
      <c r="W272" t="n">
        <f t="shared" si="48"/>
        <v>1851.1956077446432</v>
      </c>
      <c r="X272" t="n">
        <f t="shared" si="49"/>
        <v>48667458.265415296</v>
      </c>
      <c r="Y272" t="n">
        <f t="shared" si="50"/>
        <v>0.72242127659876232</v>
      </c>
      <c r="Z272" t="n">
        <f t="shared" si="51"/>
        <v>35158407.328918308</v>
      </c>
    </row>
    <row r="273">
      <c r="B273" s="52" t="n">
        <v>2032</v>
      </c>
      <c r="C273" t="str">
        <f>tbl_detail_2022!C273</f>
        <v>compressors</v>
      </c>
      <c r="D273" t="str">
        <f>tbl_detail_2022!D273</f>
        <v>Dry Seal Centrifugal Compr</v>
      </c>
      <c r="E273" t="str">
        <f>tbl_detail_2022!E273</f>
        <v>G&amp;B DS Centrifugal Comp</v>
      </c>
      <c r="F273" t="n">
        <f>tbl_detail_2022!F273</f>
        <v>588.52301581400798</v>
      </c>
      <c r="G273" t="n">
        <f>tbl_detail_2022!G273</f>
        <v>-9490.7201477830095</v>
      </c>
      <c r="H273" t="n">
        <f>tbl_detail_2022!H273</f>
        <v>-2638.18011597747</v>
      </c>
      <c r="I273" t="n">
        <f>tbl_detail_2022!I273</f>
        <v>-99.391631135644403</v>
      </c>
      <c r="J273" t="n">
        <f>tbl_detail_2022!J273</f>
        <v>-215245.91224198201</v>
      </c>
      <c r="K273" t="n">
        <f>tbl_detail_2022!K273</f>
        <v>8827845.2372101303</v>
      </c>
      <c r="L273" t="n">
        <f>tbl_detail_2022!L273</f>
        <v>1742100.1299763501</v>
      </c>
      <c r="M273" t="n">
        <f>tbl_detail_2022!M273</f>
        <v>7085745.1072337804</v>
      </c>
      <c r="N273" t="n">
        <f>tbl_detail_2022!N273</f>
        <v>0</v>
      </c>
      <c r="O273" t="n">
        <f>tbl_detail_2022!O273</f>
        <v>8827845.2372101303</v>
      </c>
      <c r="P273" t="n">
        <f t="shared" si="45"/>
        <v>11</v>
      </c>
      <c r="Q273" t="n">
        <f t="shared" si="46"/>
        <v>0.47509279638758667</v>
      </c>
      <c r="R273" t="n">
        <f t="shared" si="47"/>
        <v>4194045.6798229991</v>
      </c>
      <c r="S273" t="n">
        <f t="shared" si="41"/>
        <v>827659.22233764234</v>
      </c>
      <c r="T273" t="n">
        <f t="shared" si="42"/>
        <v>3366386.4574853568</v>
      </c>
      <c r="U273" t="n">
        <f t="shared" si="43"/>
        <v>0</v>
      </c>
      <c r="V273" t="n">
        <f t="shared" si="44"/>
        <v>4194045.6798229991</v>
      </c>
      <c r="W273" t="n">
        <f t="shared" si="48"/>
        <v>1851.1956077446432</v>
      </c>
      <c r="X273" t="n">
        <f t="shared" si="49"/>
        <v>17569179.451909497</v>
      </c>
      <c r="Y273" t="n">
        <f t="shared" si="50"/>
        <v>0.72242127659876232</v>
      </c>
      <c r="Z273" t="n">
        <f t="shared" si="51"/>
        <v>12692349.048441201</v>
      </c>
    </row>
    <row r="274">
      <c r="B274" s="52" t="n">
        <v>2032</v>
      </c>
      <c r="C274" t="str">
        <f>tbl_detail_2022!C274</f>
        <v>compressors</v>
      </c>
      <c r="D274" t="str">
        <f>tbl_detail_2022!D274</f>
        <v>Dry Seal Centrifugal Compr</v>
      </c>
      <c r="E274" t="str">
        <f>tbl_detail_2022!E274</f>
        <v>Proc DS Centrifugal Comp</v>
      </c>
      <c r="F274" t="n">
        <f>tbl_detail_2022!F274</f>
        <v>425.61363965453199</v>
      </c>
      <c r="G274" t="n">
        <f>tbl_detail_2022!G274</f>
        <v>-3312.2561043708602</v>
      </c>
      <c r="H274" t="n">
        <f>tbl_detail_2022!H274</f>
        <v>-920.723407445264</v>
      </c>
      <c r="I274" t="n">
        <f>tbl_detail_2022!I274</f>
        <v>-255.93781588898</v>
      </c>
      <c r="J274" t="n">
        <f>tbl_detail_2022!J274</f>
        <v>-75120.704821427295</v>
      </c>
      <c r="K274" t="n">
        <f>tbl_detail_2022!K274</f>
        <v>6384204.5948179802</v>
      </c>
      <c r="L274" t="n">
        <f>tbl_detail_2022!L274</f>
        <v>579339.48997939401</v>
      </c>
      <c r="M274" t="n">
        <f>tbl_detail_2022!M274</f>
        <v>5804865.1048385799</v>
      </c>
      <c r="N274" t="n">
        <f>tbl_detail_2022!N274</f>
        <v>0</v>
      </c>
      <c r="O274" t="n">
        <f>tbl_detail_2022!O274</f>
        <v>6384204.5948179802</v>
      </c>
      <c r="P274" t="n">
        <f t="shared" si="45"/>
        <v>11</v>
      </c>
      <c r="Q274" t="n">
        <f t="shared" si="46"/>
        <v>0.47509279638758667</v>
      </c>
      <c r="R274" t="n">
        <f t="shared" si="47"/>
        <v>3033089.613662554</v>
      </c>
      <c r="S274" t="n">
        <f t="shared" si="41"/>
        <v>275240.01835206855</v>
      </c>
      <c r="T274" t="n">
        <f t="shared" si="42"/>
        <v>2757849.5953104822</v>
      </c>
      <c r="U274" t="n">
        <f t="shared" si="43"/>
        <v>0</v>
      </c>
      <c r="V274" t="n">
        <f t="shared" si="44"/>
        <v>3033089.613662554</v>
      </c>
      <c r="W274" t="n">
        <f t="shared" si="48"/>
        <v>1851.1956077446432</v>
      </c>
      <c r="X274" t="n">
        <f t="shared" si="49"/>
        <v>6131633.9521367187</v>
      </c>
      <c r="Y274" t="n">
        <f t="shared" si="50"/>
        <v>0.72242127659876232</v>
      </c>
      <c r="Z274" t="n">
        <f t="shared" si="51"/>
        <v>4429622.8273389228</v>
      </c>
    </row>
    <row r="275">
      <c r="B275" s="52" t="n">
        <v>2032</v>
      </c>
      <c r="C275" t="str">
        <f>tbl_detail_2022!C275</f>
        <v>compressors</v>
      </c>
      <c r="D275" t="str">
        <f>tbl_detail_2022!D275</f>
        <v>Dry Seal Centrifugal Compr</v>
      </c>
      <c r="E275" t="str">
        <f>tbl_detail_2022!E275</f>
        <v>T&amp;S DS Centrifugal Comp</v>
      </c>
      <c r="F275" t="n">
        <f>tbl_detail_2022!F275</f>
        <v>3216.57571702223</v>
      </c>
      <c r="G275" t="n">
        <f>tbl_detail_2022!G275</f>
        <v>-58066.137803454498</v>
      </c>
      <c r="H275" t="n">
        <f>tbl_detail_2022!H275</f>
        <v>-1606.96229312167</v>
      </c>
      <c r="I275" t="n">
        <f>tbl_detail_2022!I275</f>
        <v>-44.4721813642171</v>
      </c>
      <c r="J275" t="n">
        <f>tbl_detail_2022!J275</f>
        <v>-1316917.8531507801</v>
      </c>
      <c r="K275" t="n">
        <f>tbl_detail_2022!K275</f>
        <v>48248635.755333401</v>
      </c>
      <c r="L275" t="n">
        <f>tbl_detail_2022!L275</f>
        <v>9521457.6560827103</v>
      </c>
      <c r="M275" t="n">
        <f>tbl_detail_2022!M275</f>
        <v>38727178.099250697</v>
      </c>
      <c r="N275" t="n">
        <f>tbl_detail_2022!N275</f>
        <v>0</v>
      </c>
      <c r="O275" t="n">
        <f>tbl_detail_2022!O275</f>
        <v>48248635.755333401</v>
      </c>
      <c r="P275" t="n">
        <f t="shared" si="45"/>
        <v>11</v>
      </c>
      <c r="Q275" t="n">
        <f t="shared" si="46"/>
        <v>0.47509279638758667</v>
      </c>
      <c r="R275" t="n">
        <f t="shared" si="47"/>
        <v>22922579.282887444</v>
      </c>
      <c r="S275" t="n">
        <f t="shared" ref="S275:S338" si="52">L275*$Q275</f>
        <v>4523575.9435143312</v>
      </c>
      <c r="T275" t="n">
        <f t="shared" ref="T275:T338" si="53">M275*$Q275</f>
        <v>18399003.339373115</v>
      </c>
      <c r="U275" t="n">
        <f t="shared" ref="U275:U338" si="54">N275*$Q275</f>
        <v>0</v>
      </c>
      <c r="V275" t="n">
        <f t="shared" ref="V275:V338" si="55">O275*$Q275</f>
        <v>22922579.282887444</v>
      </c>
      <c r="W275" t="n">
        <f t="shared" si="48"/>
        <v>1851.1956077446432</v>
      </c>
      <c r="X275" t="n">
        <f t="shared" si="49"/>
        <v>107491779.26045015</v>
      </c>
      <c r="Y275" t="n">
        <f t="shared" si="50"/>
        <v>0.72242127659876232</v>
      </c>
      <c r="Z275" t="n">
        <f t="shared" si="51"/>
        <v>77654348.397206768</v>
      </c>
    </row>
    <row r="276">
      <c r="B276" s="52" t="n">
        <v>2032</v>
      </c>
      <c r="C276" t="str">
        <f>tbl_detail_2022!C276</f>
        <v>liquids_unloading</v>
      </c>
      <c r="D276" t="n">
        <f>tbl_detail_2022!D276</f>
        <v>0</v>
      </c>
      <c r="E276" t="n">
        <f>tbl_detail_2022!E276</f>
        <v>0</v>
      </c>
      <c r="F276" t="n">
        <f>tbl_detail_2022!F276</f>
        <v>248540.92286881901</v>
      </c>
      <c r="G276" t="n">
        <f>tbl_detail_2022!G276</f>
        <v>-24597.446170839001</v>
      </c>
      <c r="H276" t="n">
        <f>tbl_detail_2022!H276</f>
        <v>-6837.4677981514596</v>
      </c>
      <c r="I276" t="n">
        <f>tbl_detail_2022!I276</f>
        <v>-257.59692190080898</v>
      </c>
      <c r="J276" t="n">
        <f>tbl_detail_2022!J276</f>
        <v>-557860.69522891403</v>
      </c>
      <c r="K276" t="n">
        <f>tbl_detail_2022!K276</f>
        <v>16155159.9864733</v>
      </c>
      <c r="L276" t="n">
        <f>tbl_detail_2022!L276</f>
        <v>4515064.5582268704</v>
      </c>
      <c r="M276" t="n">
        <f>tbl_detail_2022!M276</f>
        <v>11640095.428246399</v>
      </c>
      <c r="N276" t="n">
        <f>tbl_detail_2022!N276</f>
        <v>0</v>
      </c>
      <c r="O276" t="n">
        <f>tbl_detail_2022!O276</f>
        <v>16155159.9864733</v>
      </c>
      <c r="P276" t="n">
        <f t="shared" si="45"/>
        <v>11</v>
      </c>
      <c r="Q276" t="n">
        <f t="shared" si="46"/>
        <v>0.47509279638758667</v>
      </c>
      <c r="R276" t="n">
        <f t="shared" si="47"/>
        <v>7675200.1340624467</v>
      </c>
      <c r="S276" t="n">
        <f t="shared" si="52"/>
        <v>2145074.6468384876</v>
      </c>
      <c r="T276" t="n">
        <f t="shared" si="53"/>
        <v>5530125.4872239446</v>
      </c>
      <c r="U276" t="n">
        <f t="shared" si="54"/>
        <v>0</v>
      </c>
      <c r="V276" t="n">
        <f t="shared" si="55"/>
        <v>7675200.1340624467</v>
      </c>
      <c r="W276" t="n">
        <f t="shared" si="48"/>
        <v>1851.1956077446432</v>
      </c>
      <c r="X276" t="n">
        <f t="shared" si="49"/>
        <v>45534684.31319245</v>
      </c>
      <c r="Y276" t="n">
        <f t="shared" si="50"/>
        <v>0.72242127659876232</v>
      </c>
      <c r="Z276" t="n">
        <f t="shared" si="51"/>
        <v>32895224.771058127</v>
      </c>
    </row>
    <row r="277">
      <c r="B277" s="52" t="n">
        <v>2032</v>
      </c>
      <c r="C277" t="str">
        <f>tbl_detail_2022!C277</f>
        <v>pneucontr</v>
      </c>
      <c r="D277" t="str">
        <f>tbl_detail_2022!D277</f>
        <v>G&amp;B Pneumatic Controllers</v>
      </c>
      <c r="E277" t="n">
        <f>tbl_detail_2022!E277</f>
        <v>0</v>
      </c>
      <c r="F277" t="n">
        <f>tbl_detail_2022!F277</f>
        <v>6192.8998040372499</v>
      </c>
      <c r="G277" t="n">
        <f>tbl_detail_2022!G277</f>
        <v>-346883.18857178499</v>
      </c>
      <c r="H277" t="n">
        <f>tbl_detail_2022!H277</f>
        <v>-96424.751318934897</v>
      </c>
      <c r="I277" t="n">
        <f>tbl_detail_2022!I277</f>
        <v>-3632.3203821842799</v>
      </c>
      <c r="J277" t="n">
        <f>tbl_detail_2022!J277</f>
        <v>-7867178.3808716396</v>
      </c>
      <c r="K277" t="n">
        <f>tbl_detail_2022!K277</f>
        <v>71976580.942170396</v>
      </c>
      <c r="L277" t="n">
        <f>tbl_detail_2022!L277</f>
        <v>63673276.472984903</v>
      </c>
      <c r="M277" t="n">
        <f>tbl_detail_2022!M277</f>
        <v>8303304.4691854799</v>
      </c>
      <c r="N277" t="n">
        <f>tbl_detail_2022!N277</f>
        <v>21174381.575905599</v>
      </c>
      <c r="O277" t="n">
        <f>tbl_detail_2022!O277</f>
        <v>-14196322.6141729</v>
      </c>
      <c r="P277" t="n">
        <f t="shared" si="45"/>
        <v>11</v>
      </c>
      <c r="Q277" t="n">
        <f t="shared" si="46"/>
        <v>0.47509279638758667</v>
      </c>
      <c r="R277" t="n">
        <f t="shared" si="47"/>
        <v>34195555.114233211</v>
      </c>
      <c r="S277" t="n">
        <f t="shared" si="52"/>
        <v>30250714.97471033</v>
      </c>
      <c r="T277" t="n">
        <f t="shared" si="53"/>
        <v>3944840.1395228757</v>
      </c>
      <c r="U277" t="n">
        <f t="shared" si="54"/>
        <v>10059796.154674785</v>
      </c>
      <c r="V277" t="n">
        <f t="shared" si="55"/>
        <v>-6744570.609187738</v>
      </c>
      <c r="W277" t="n">
        <f t="shared" si="48"/>
        <v>1851.1956077446432</v>
      </c>
      <c r="X277" t="n">
        <f t="shared" si="49"/>
        <v>642148635.08454525</v>
      </c>
      <c r="Y277" t="n">
        <f t="shared" si="50"/>
        <v>0.72242127659876232</v>
      </c>
      <c r="Z277" t="n">
        <f t="shared" si="51"/>
        <v>463901836.72392994</v>
      </c>
    </row>
    <row r="278">
      <c r="B278" s="52" t="n">
        <v>2032</v>
      </c>
      <c r="C278" t="str">
        <f>tbl_detail_2022!C278</f>
        <v>pneucontr</v>
      </c>
      <c r="D278" t="str">
        <f>tbl_detail_2022!D278</f>
        <v>T&amp;S Pneumatic Controllers</v>
      </c>
      <c r="E278" t="n">
        <f>tbl_detail_2022!E278</f>
        <v>0</v>
      </c>
      <c r="F278" t="n">
        <f>tbl_detail_2022!F278</f>
        <v>59621.592883307203</v>
      </c>
      <c r="G278" t="n">
        <f>tbl_detail_2022!G278</f>
        <v>-75601.872521981699</v>
      </c>
      <c r="H278" t="n">
        <f>tbl_detail_2022!H278</f>
        <v>-2092.2582942133999</v>
      </c>
      <c r="I278" t="n">
        <f>tbl_detail_2022!I278</f>
        <v>-62.143617388366302</v>
      </c>
      <c r="J278" t="n">
        <f>tbl_detail_2022!J278</f>
        <v>-1714621.62668418</v>
      </c>
      <c r="K278" t="n">
        <f>tbl_detail_2022!K278</f>
        <v>18498249.919754699</v>
      </c>
      <c r="L278" t="n">
        <f>tbl_detail_2022!L278</f>
        <v>12396898.694643101</v>
      </c>
      <c r="M278" t="n">
        <f>tbl_detail_2022!M278</f>
        <v>6101351.2251116103</v>
      </c>
      <c r="N278" t="n">
        <f>tbl_detail_2022!N278</f>
        <v>9971356.8520393707</v>
      </c>
      <c r="O278" t="n">
        <f>tbl_detail_2022!O278</f>
        <v>-16457090.363248199</v>
      </c>
      <c r="P278" t="n">
        <f t="shared" si="45"/>
        <v>11</v>
      </c>
      <c r="Q278" t="n">
        <f t="shared" si="46"/>
        <v>0.47509279638758667</v>
      </c>
      <c r="R278" t="n">
        <f t="shared" si="47"/>
        <v>8788385.2826527115</v>
      </c>
      <c r="S278" t="n">
        <f t="shared" si="52"/>
        <v>5889677.2673716135</v>
      </c>
      <c r="T278" t="n">
        <f t="shared" si="53"/>
        <v>2898708.0152811026</v>
      </c>
      <c r="U278" t="n">
        <f t="shared" si="54"/>
        <v>4737319.8106139079</v>
      </c>
      <c r="V278" t="n">
        <f t="shared" si="55"/>
        <v>-7818645.0810787911</v>
      </c>
      <c r="W278" t="n">
        <f t="shared" si="48"/>
        <v>1851.1956077446432</v>
      </c>
      <c r="X278" t="n">
        <f t="shared" si="49"/>
        <v>139953854.34996295</v>
      </c>
      <c r="Y278" t="n">
        <f t="shared" si="50"/>
        <v>0.72242127659876232</v>
      </c>
      <c r="Z278" t="n">
        <f t="shared" si="51"/>
        <v>101105642.12441748</v>
      </c>
    </row>
    <row r="279">
      <c r="B279" s="52" t="n">
        <v>2032</v>
      </c>
      <c r="C279" t="str">
        <f>tbl_detail_2022!C279</f>
        <v>pneucontr</v>
      </c>
      <c r="D279" t="str">
        <f>tbl_detail_2022!D279</f>
        <v>Well Pad Pneumatic Controllers</v>
      </c>
      <c r="E279" t="n">
        <f>tbl_detail_2022!E279</f>
        <v>0</v>
      </c>
      <c r="F279" t="n">
        <f>tbl_detail_2022!F279</f>
        <v>1319364.6657193401</v>
      </c>
      <c r="G279" t="n">
        <f>tbl_detail_2022!G279</f>
        <v>-1709808.0001484</v>
      </c>
      <c r="H279" t="n">
        <f>tbl_detail_2022!H279</f>
        <v>-475283.371028275</v>
      </c>
      <c r="I279" t="n">
        <f>tbl_detail_2022!I279</f>
        <v>-17903.924586635101</v>
      </c>
      <c r="J279" t="n">
        <f>tbl_detail_2022!J279</f>
        <v>-38777793.151613601</v>
      </c>
      <c r="K279" t="n">
        <f>tbl_detail_2022!K279</f>
        <v>789225155.62615299</v>
      </c>
      <c r="L279" t="n">
        <f>tbl_detail_2022!L279</f>
        <v>313849391.08007699</v>
      </c>
      <c r="M279" t="n">
        <f>tbl_detail_2022!M279</f>
        <v>475375764.546076</v>
      </c>
      <c r="N279" t="n">
        <f>tbl_detail_2022!N279</f>
        <v>155538615.20462501</v>
      </c>
      <c r="O279" t="n">
        <f>tbl_detail_2022!O279</f>
        <v>-79161879.943160295</v>
      </c>
      <c r="P279" t="n">
        <f t="shared" si="45"/>
        <v>11</v>
      </c>
      <c r="Q279" t="n">
        <f t="shared" si="46"/>
        <v>0.47509279638758667</v>
      </c>
      <c r="R279" t="n">
        <f t="shared" si="47"/>
        <v>374955186.16585732</v>
      </c>
      <c r="S279" t="n">
        <f t="shared" si="52"/>
        <v>149107584.85277507</v>
      </c>
      <c r="T279" t="n">
        <f t="shared" si="53"/>
        <v>225847601.31308222</v>
      </c>
      <c r="U279" t="n">
        <f t="shared" si="54"/>
        <v>73895275.643818095</v>
      </c>
      <c r="V279" t="n">
        <f t="shared" si="55"/>
        <v>-37609238.909494437</v>
      </c>
      <c r="W279" t="n">
        <f t="shared" si="48"/>
        <v>1851.1956077446432</v>
      </c>
      <c r="X279" t="n">
        <f t="shared" si="49"/>
        <v>3165189059.9613705</v>
      </c>
      <c r="Y279" t="n">
        <f t="shared" si="50"/>
        <v>0.72242127659876232</v>
      </c>
      <c r="Z279" t="n">
        <f t="shared" si="51"/>
        <v>2286599921.3737297</v>
      </c>
    </row>
    <row r="280">
      <c r="B280" s="52" t="n">
        <v>2032</v>
      </c>
      <c r="C280" t="str">
        <f>tbl_detail_2022!C280</f>
        <v>pumps</v>
      </c>
      <c r="D280" t="str">
        <f>tbl_detail_2022!D280</f>
        <v>G&amp;B Pneumatic Pumps</v>
      </c>
      <c r="E280" t="n">
        <f>tbl_detail_2022!E280</f>
        <v>0</v>
      </c>
      <c r="F280" t="n">
        <f>tbl_detail_2022!F280</f>
        <v>663.36432475982701</v>
      </c>
      <c r="G280" t="n">
        <f>tbl_detail_2022!G280</f>
        <v>-47568.585558978099</v>
      </c>
      <c r="H280" t="n">
        <f>tbl_detail_2022!H280</f>
        <v>-13222.863442886999</v>
      </c>
      <c r="I280" t="n">
        <f>tbl_detail_2022!I280</f>
        <v>-498.10526589355499</v>
      </c>
      <c r="J280" t="n">
        <f>tbl_detail_2022!J280</f>
        <v>-1078837.3730622299</v>
      </c>
      <c r="K280" t="n">
        <f>tbl_detail_2022!K280</f>
        <v>26128539.345093399</v>
      </c>
      <c r="L280" t="n">
        <f>tbl_detail_2022!L280</f>
        <v>8731607.0640271306</v>
      </c>
      <c r="M280" t="n">
        <f>tbl_detail_2022!M280</f>
        <v>17396932.281066298</v>
      </c>
      <c r="N280" t="n">
        <f>tbl_detail_2022!N280</f>
        <v>6872525.3656733101</v>
      </c>
      <c r="O280" t="n">
        <f>tbl_detail_2022!O280</f>
        <v>-1520666.2893018499</v>
      </c>
      <c r="P280" t="n">
        <f t="shared" si="45"/>
        <v>11</v>
      </c>
      <c r="Q280" t="n">
        <f t="shared" si="46"/>
        <v>0.47509279638758667</v>
      </c>
      <c r="R280" t="n">
        <f t="shared" si="47"/>
        <v>12413480.822983505</v>
      </c>
      <c r="S280" t="n">
        <f t="shared" si="52"/>
        <v>4148323.6170062548</v>
      </c>
      <c r="T280" t="n">
        <f t="shared" si="53"/>
        <v>8265157.2059772648</v>
      </c>
      <c r="U280" t="n">
        <f t="shared" si="54"/>
        <v>3265087.2942223544</v>
      </c>
      <c r="V280" t="n">
        <f t="shared" si="55"/>
        <v>-722457.59975675074</v>
      </c>
      <c r="W280" t="n">
        <f t="shared" si="48"/>
        <v>1851.1956077446432</v>
      </c>
      <c r="X280" t="n">
        <f t="shared" si="49"/>
        <v>88058756.653405517</v>
      </c>
      <c r="Y280" t="n">
        <f t="shared" si="50"/>
        <v>0.72242127659876232</v>
      </c>
      <c r="Z280" t="n">
        <f t="shared" si="51"/>
        <v>63615519.397252969</v>
      </c>
    </row>
    <row r="281">
      <c r="B281" s="52" t="n">
        <v>2032</v>
      </c>
      <c r="C281" t="str">
        <f>tbl_detail_2022!C281</f>
        <v>pumps</v>
      </c>
      <c r="D281" t="str">
        <f>tbl_detail_2022!D281</f>
        <v>Well Pad Pumps</v>
      </c>
      <c r="E281" t="n">
        <f>tbl_detail_2022!E281</f>
        <v>0</v>
      </c>
      <c r="F281" t="n">
        <f>tbl_detail_2022!F281</f>
        <v>97236.656827983796</v>
      </c>
      <c r="G281" t="n">
        <f>tbl_detail_2022!G281</f>
        <v>-163045.63268566399</v>
      </c>
      <c r="H281" t="n">
        <f>tbl_detail_2022!H281</f>
        <v>-45322.561321244502</v>
      </c>
      <c r="I281" t="n">
        <f>tbl_detail_2022!I281</f>
        <v>-1707.3008849712801</v>
      </c>
      <c r="J281" t="n">
        <f>tbl_detail_2022!J281</f>
        <v>-3697812.74740199</v>
      </c>
      <c r="K281" t="n">
        <f>tbl_detail_2022!K281</f>
        <v>121424983.37969799</v>
      </c>
      <c r="L281" t="n">
        <f>tbl_detail_2022!L281</f>
        <v>29928373.5555222</v>
      </c>
      <c r="M281" t="n">
        <f>tbl_detail_2022!M281</f>
        <v>91496609.824175999</v>
      </c>
      <c r="N281" t="n">
        <f>tbl_detail_2022!N281</f>
        <v>18535478.950279899</v>
      </c>
      <c r="O281" t="n">
        <f>tbl_detail_2022!O281</f>
        <v>-5834199.4096790301</v>
      </c>
      <c r="P281" t="n">
        <f t="shared" si="45"/>
        <v>11</v>
      </c>
      <c r="Q281" t="n">
        <f t="shared" si="46"/>
        <v>0.47509279638758667</v>
      </c>
      <c r="R281" t="n">
        <f t="shared" si="47"/>
        <v>57688134.905176952</v>
      </c>
      <c r="S281" t="n">
        <f t="shared" si="52"/>
        <v>14218754.683825342</v>
      </c>
      <c r="T281" t="n">
        <f t="shared" si="53"/>
        <v>43469380.221351713</v>
      </c>
      <c r="U281" t="n">
        <f t="shared" si="54"/>
        <v>8806072.5268717259</v>
      </c>
      <c r="V281" t="n">
        <f t="shared" si="55"/>
        <v>-2771786.1122272178</v>
      </c>
      <c r="W281" t="n">
        <f t="shared" si="48"/>
        <v>1851.1956077446432</v>
      </c>
      <c r="X281" t="n">
        <f t="shared" si="49"/>
        <v>301829359.08964759</v>
      </c>
      <c r="Y281" t="n">
        <f t="shared" si="50"/>
        <v>0.72242127659876232</v>
      </c>
      <c r="Z281" t="n">
        <f t="shared" si="51"/>
        <v>218047950.90852946</v>
      </c>
    </row>
    <row r="282">
      <c r="B282" s="52" t="n">
        <v>2032</v>
      </c>
      <c r="C282" t="str">
        <f>tbl_detail_2022!C282</f>
        <v>Storage vessels</v>
      </c>
      <c r="D282" t="n">
        <f>tbl_detail_2022!D282</f>
        <v>0</v>
      </c>
      <c r="E282" t="n">
        <f>tbl_detail_2022!E282</f>
        <v>0</v>
      </c>
      <c r="F282" t="n">
        <f>tbl_detail_2022!F282</f>
        <v>13277.3711184929</v>
      </c>
      <c r="G282" t="n">
        <f>tbl_detail_2022!G282</f>
        <v>-16163.593229689101</v>
      </c>
      <c r="H282" t="n">
        <f>tbl_detail_2022!H282</f>
        <v>-77001.6795419931</v>
      </c>
      <c r="I282" t="n">
        <f>tbl_detail_2022!I282</f>
        <v>-2900.6532683468799</v>
      </c>
      <c r="J282" t="n">
        <f>tbl_detail_2022!J282</f>
        <v>-366584.12803853297</v>
      </c>
      <c r="K282" t="n">
        <f>tbl_detail_2022!K282</f>
        <v>411366193.82207501</v>
      </c>
      <c r="L282" t="n">
        <f>tbl_detail_2022!L282</f>
        <v>0</v>
      </c>
      <c r="M282" t="n">
        <f>tbl_detail_2022!M282</f>
        <v>411366193.82207501</v>
      </c>
      <c r="N282" t="n">
        <f>tbl_detail_2022!N282</f>
        <v>105017558.446033</v>
      </c>
      <c r="O282" t="n">
        <f>tbl_detail_2022!O282</f>
        <v>303255156.34637702</v>
      </c>
      <c r="P282" t="n">
        <f t="shared" si="45"/>
        <v>11</v>
      </c>
      <c r="Q282" t="n">
        <f t="shared" si="46"/>
        <v>0.47509279638758667</v>
      </c>
      <c r="R282" t="n">
        <f t="shared" si="47"/>
        <v>195437115.36224759</v>
      </c>
      <c r="S282" t="n">
        <f t="shared" si="52"/>
        <v>0</v>
      </c>
      <c r="T282" t="n">
        <f t="shared" si="53"/>
        <v>195437115.36224759</v>
      </c>
      <c r="U282" t="n">
        <f t="shared" si="54"/>
        <v>49893085.511922643</v>
      </c>
      <c r="V282" t="n">
        <f t="shared" si="55"/>
        <v>144074340.24755505</v>
      </c>
      <c r="W282" t="n">
        <f t="shared" si="48"/>
        <v>1851.1956077446432</v>
      </c>
      <c r="X282" t="n">
        <f t="shared" si="49"/>
        <v>29921972.792171516</v>
      </c>
      <c r="Y282" t="n">
        <f t="shared" si="50"/>
        <v>0.72242127659876232</v>
      </c>
      <c r="Z282" t="n">
        <f t="shared" si="51"/>
        <v>21616269.782873981</v>
      </c>
    </row>
    <row r="283">
      <c r="B283" s="52" t="n">
        <v>2033</v>
      </c>
      <c r="C283" t="str">
        <f>tbl_detail_2022!C283</f>
        <v>fugitives</v>
      </c>
      <c r="D283" t="str">
        <f>tbl_detail_2022!D283</f>
        <v>G&amp;B Stations</v>
      </c>
      <c r="E283" t="n">
        <f>tbl_detail_2022!E283</f>
        <v>0</v>
      </c>
      <c r="F283" t="n">
        <f>tbl_detail_2022!F283</f>
        <v>4969.5568970035902</v>
      </c>
      <c r="G283" t="n">
        <f>tbl_detail_2022!G283</f>
        <v>-66123.061837945497</v>
      </c>
      <c r="H283" t="n">
        <f>tbl_detail_2022!H283</f>
        <v>-18380.538487289199</v>
      </c>
      <c r="I283" t="n">
        <f>tbl_detail_2022!I283</f>
        <v>-692.47421369722804</v>
      </c>
      <c r="J283" t="n">
        <f>tbl_detail_2022!J283</f>
        <v>-1499645.8165365099</v>
      </c>
      <c r="K283" t="n">
        <f>tbl_detail_2022!K283</f>
        <v>66319493.755318902</v>
      </c>
      <c r="L283" t="n">
        <f>tbl_detail_2022!L283</f>
        <v>12369503.7809921</v>
      </c>
      <c r="M283" t="n">
        <f>tbl_detail_2022!M283</f>
        <v>53949989.974326797</v>
      </c>
      <c r="N283" t="n">
        <f>tbl_detail_2022!N283</f>
        <v>0</v>
      </c>
      <c r="O283" t="n">
        <f>tbl_detail_2022!O283</f>
        <v>63918440.809260197</v>
      </c>
      <c r="P283" t="n">
        <f t="shared" si="45"/>
        <v>12</v>
      </c>
      <c r="Q283" t="n">
        <f t="shared" si="46"/>
        <v>0.44401195924073528</v>
      </c>
      <c r="R283" t="n">
        <f t="shared" si="47"/>
        <v>29446648.358152855</v>
      </c>
      <c r="S283" t="n">
        <f t="shared" si="52"/>
        <v>5492207.6086339848</v>
      </c>
      <c r="T283" t="n">
        <f t="shared" si="53"/>
        <v>23954440.749518868</v>
      </c>
      <c r="U283" t="n">
        <f t="shared" si="54"/>
        <v>0</v>
      </c>
      <c r="V283" t="n">
        <f t="shared" si="55"/>
        <v>28380552.135332588</v>
      </c>
      <c r="W283" t="n">
        <f t="shared" si="48"/>
        <v>1900.8315775563767</v>
      </c>
      <c r="X283" t="n">
        <f t="shared" si="49"/>
        <v>125688803.94627979</v>
      </c>
      <c r="Y283" t="n">
        <f t="shared" si="50"/>
        <v>0.70137988019297326</v>
      </c>
      <c r="Z283" t="n">
        <f t="shared" si="51"/>
        <v>88155598.253439829</v>
      </c>
    </row>
    <row r="284">
      <c r="B284" s="52" t="n">
        <v>2033</v>
      </c>
      <c r="C284" t="str">
        <f>tbl_detail_2022!C284</f>
        <v>fugitives</v>
      </c>
      <c r="D284" t="str">
        <f>tbl_detail_2022!D284</f>
        <v>Processing Plants</v>
      </c>
      <c r="E284" t="str">
        <f>tbl_detail_2022!E284</f>
        <v>Large Plants</v>
      </c>
      <c r="F284" t="n">
        <f>tbl_detail_2022!F284</f>
        <v>231.649657634032</v>
      </c>
      <c r="G284" t="n">
        <f>tbl_detail_2022!G284</f>
        <v>-5383.4776788421595</v>
      </c>
      <c r="H284" t="n">
        <f>tbl_detail_2022!H284</f>
        <v>-633.38803450212095</v>
      </c>
      <c r="I284" t="n">
        <f>tbl_detail_2022!I284</f>
        <v>-23.126525364083701</v>
      </c>
      <c r="J284" t="n">
        <f>tbl_detail_2022!J284</f>
        <v>-122095.21995940599</v>
      </c>
      <c r="K284" t="n">
        <f>tbl_detail_2022!K284</f>
        <v>1163682.65209812</v>
      </c>
      <c r="L284" t="n">
        <f>tbl_detail_2022!L284</f>
        <v>959616.08040915802</v>
      </c>
      <c r="M284" t="n">
        <f>tbl_detail_2022!M284</f>
        <v>204066.571688961</v>
      </c>
      <c r="N284" t="n">
        <f>tbl_detail_2022!N284</f>
        <v>-113781.820874207</v>
      </c>
      <c r="O284" t="n">
        <f>tbl_detail_2022!O284</f>
        <v>1849107.16037345</v>
      </c>
      <c r="P284" t="n">
        <f t="shared" si="45"/>
        <v>12</v>
      </c>
      <c r="Q284" t="n">
        <f t="shared" si="46"/>
        <v>0.44401195924073528</v>
      </c>
      <c r="R284" t="n">
        <f t="shared" si="47"/>
        <v>516689.01429254119</v>
      </c>
      <c r="S284" t="n">
        <f t="shared" si="52"/>
        <v>426081.01598138519</v>
      </c>
      <c r="T284" t="n">
        <f t="shared" si="53"/>
        <v>90607.998311155534</v>
      </c>
      <c r="U284" t="n">
        <f t="shared" si="54"/>
        <v>-50520.489212335036</v>
      </c>
      <c r="V284" t="n">
        <f t="shared" si="55"/>
        <v>821025.69312348799</v>
      </c>
      <c r="W284" t="n">
        <f t="shared" si="48"/>
        <v>1900.8315775563767</v>
      </c>
      <c r="X284" t="n">
        <f t="shared" si="49"/>
        <v>10233084.369013084</v>
      </c>
      <c r="Y284" t="n">
        <f t="shared" si="50"/>
        <v>0.70137988019297326</v>
      </c>
      <c r="Z284" t="n">
        <f t="shared" si="51"/>
        <v>7177279.4887429839</v>
      </c>
    </row>
    <row r="285">
      <c r="B285" s="52" t="n">
        <v>2033</v>
      </c>
      <c r="C285" t="str">
        <f>tbl_detail_2022!C285</f>
        <v>fugitives</v>
      </c>
      <c r="D285" t="str">
        <f>tbl_detail_2022!D285</f>
        <v>Processing Plants</v>
      </c>
      <c r="E285" t="str">
        <f>tbl_detail_2022!E285</f>
        <v>Small Plants</v>
      </c>
      <c r="F285" t="n">
        <f>tbl_detail_2022!F285</f>
        <v>961.44857902974195</v>
      </c>
      <c r="G285" t="n">
        <f>tbl_detail_2022!G285</f>
        <v>-10731.615690672699</v>
      </c>
      <c r="H285" t="n">
        <f>tbl_detail_2022!H285</f>
        <v>-1272.52051577007</v>
      </c>
      <c r="I285" t="n">
        <f>tbl_detail_2022!I285</f>
        <v>-46.483403348465103</v>
      </c>
      <c r="J285" t="n">
        <f>tbl_detail_2022!J285</f>
        <v>-243388.94975306999</v>
      </c>
      <c r="K285" t="n">
        <f>tbl_detail_2022!K285</f>
        <v>2966079.0992482202</v>
      </c>
      <c r="L285" t="n">
        <f>tbl_detail_2022!L285</f>
        <v>1912932.79175546</v>
      </c>
      <c r="M285" t="n">
        <f>tbl_detail_2022!M285</f>
        <v>1053146.30749275</v>
      </c>
      <c r="N285" t="n">
        <f>tbl_detail_2022!N285</f>
        <v>-230551.91680420301</v>
      </c>
      <c r="O285" t="n">
        <f>tbl_detail_2022!O285</f>
        <v>4354929.5587795498</v>
      </c>
      <c r="P285" t="n">
        <f t="shared" si="45"/>
        <v>12</v>
      </c>
      <c r="Q285" t="n">
        <f t="shared" si="46"/>
        <v>0.44401195924073528</v>
      </c>
      <c r="R285" t="n">
        <f t="shared" si="47"/>
        <v>1316974.5921201976</v>
      </c>
      <c r="S285" t="n">
        <f t="shared" si="52"/>
        <v>849365.03676319122</v>
      </c>
      <c r="T285" t="n">
        <f t="shared" si="53"/>
        <v>467609.55535700178</v>
      </c>
      <c r="U285" t="n">
        <f t="shared" si="54"/>
        <v>-102367.80828694117</v>
      </c>
      <c r="V285" t="n">
        <f t="shared" si="55"/>
        <v>1933640.8057490988</v>
      </c>
      <c r="W285" t="n">
        <f t="shared" si="48"/>
        <v>1900.8315775563767</v>
      </c>
      <c r="X285" t="n">
        <f t="shared" si="49"/>
        <v>20398993.983030152</v>
      </c>
      <c r="Y285" t="n">
        <f t="shared" si="50"/>
        <v>0.70137988019297326</v>
      </c>
      <c r="Z285" t="n">
        <f t="shared" si="51"/>
        <v>14307443.95587487</v>
      </c>
    </row>
    <row r="286">
      <c r="B286" s="52" t="n">
        <v>2033</v>
      </c>
      <c r="C286" t="str">
        <f>tbl_detail_2022!C286</f>
        <v>fugitives</v>
      </c>
      <c r="D286" t="str">
        <f>tbl_detail_2022!D286</f>
        <v>T&amp;S Compressor Stations</v>
      </c>
      <c r="E286" t="str">
        <f>tbl_detail_2022!E286</f>
        <v>Compressor Stations (Transmission)</v>
      </c>
      <c r="F286" t="n">
        <f>tbl_detail_2022!F286</f>
        <v>1530.6546285833099</v>
      </c>
      <c r="G286" t="n">
        <f>tbl_detail_2022!G286</f>
        <v>-49460.026978274604</v>
      </c>
      <c r="H286" t="n">
        <f>tbl_detail_2022!H286</f>
        <v>-1368.7908543168001</v>
      </c>
      <c r="I286" t="n">
        <f>tbl_detail_2022!I286</f>
        <v>-40.655408259398499</v>
      </c>
      <c r="J286" t="n">
        <f>tbl_detail_2022!J286</f>
        <v>-1121734.54286698</v>
      </c>
      <c r="K286" t="n">
        <f>tbl_detail_2022!K286</f>
        <v>30104875.998099498</v>
      </c>
      <c r="L286" t="n">
        <f>tbl_detail_2022!L286</f>
        <v>8265330.5267867502</v>
      </c>
      <c r="M286" t="n">
        <f>tbl_detail_2022!M286</f>
        <v>21839545.471312799</v>
      </c>
      <c r="N286" t="n">
        <f>tbl_detail_2022!N286</f>
        <v>0</v>
      </c>
      <c r="O286" t="n">
        <f>tbl_detail_2022!O286</f>
        <v>24383328.233332101</v>
      </c>
      <c r="P286" t="n">
        <f t="shared" si="45"/>
        <v>12</v>
      </c>
      <c r="Q286" t="n">
        <f t="shared" si="46"/>
        <v>0.44401195924073528</v>
      </c>
      <c r="R286" t="n">
        <f t="shared" si="47"/>
        <v>13366924.974615544</v>
      </c>
      <c r="S286" t="n">
        <f t="shared" si="52"/>
        <v>3669905.6009708433</v>
      </c>
      <c r="T286" t="n">
        <f t="shared" si="53"/>
        <v>9697019.3736447226</v>
      </c>
      <c r="U286" t="n">
        <f t="shared" si="54"/>
        <v>0</v>
      </c>
      <c r="V286" t="n">
        <f t="shared" si="55"/>
        <v>10826489.341691723</v>
      </c>
      <c r="W286" t="n">
        <f t="shared" si="48"/>
        <v>1900.8315775563767</v>
      </c>
      <c r="X286" t="n">
        <f t="shared" si="49"/>
        <v>94015181.10709466</v>
      </c>
      <c r="Y286" t="n">
        <f t="shared" si="50"/>
        <v>0.70137988019297326</v>
      </c>
      <c r="Z286" t="n">
        <f t="shared" si="51"/>
        <v>65940356.461214736</v>
      </c>
    </row>
    <row r="287">
      <c r="B287" s="52" t="n">
        <v>2033</v>
      </c>
      <c r="C287" t="str">
        <f>tbl_detail_2022!C287</f>
        <v>fugitives</v>
      </c>
      <c r="D287" t="str">
        <f>tbl_detail_2022!D287</f>
        <v>T&amp;S Compressor Stations</v>
      </c>
      <c r="E287" t="str">
        <f>tbl_detail_2022!E287</f>
        <v>Compressor Stations (Storage)</v>
      </c>
      <c r="F287" t="n">
        <f>tbl_detail_2022!F287</f>
        <v>276.06724847505097</v>
      </c>
      <c r="G287" t="n">
        <f>tbl_detail_2022!G287</f>
        <v>-31458.134838071201</v>
      </c>
      <c r="H287" t="n">
        <f>tbl_detail_2022!H287</f>
        <v>-870.59409165164197</v>
      </c>
      <c r="I287" t="n">
        <f>tbl_detail_2022!I287</f>
        <v>-25.8581200427321</v>
      </c>
      <c r="J287" t="n">
        <f>tbl_detail_2022!J287</f>
        <v>-713458.49684901501</v>
      </c>
      <c r="K287" t="n">
        <f>tbl_detail_2022!K287</f>
        <v>6560455.0160395196</v>
      </c>
      <c r="L287" t="n">
        <f>tbl_detail_2022!L287</f>
        <v>5257010.5209828196</v>
      </c>
      <c r="M287" t="n">
        <f>tbl_detail_2022!M287</f>
        <v>1303444.4950567</v>
      </c>
      <c r="N287" t="n">
        <f>tbl_detail_2022!N287</f>
        <v>0</v>
      </c>
      <c r="O287" t="n">
        <f>tbl_detail_2022!O287</f>
        <v>5528522.7179613803</v>
      </c>
      <c r="P287" t="n">
        <f t="shared" si="45"/>
        <v>12</v>
      </c>
      <c r="Q287" t="n">
        <f t="shared" si="46"/>
        <v>0.44401195924073528</v>
      </c>
      <c r="R287" t="n">
        <f t="shared" si="47"/>
        <v>2912920.4851824166</v>
      </c>
      <c r="S287" t="n">
        <f t="shared" si="52"/>
        <v>2334175.54117074</v>
      </c>
      <c r="T287" t="n">
        <f t="shared" si="53"/>
        <v>578744.94401167624</v>
      </c>
      <c r="U287" t="n">
        <f t="shared" si="54"/>
        <v>0</v>
      </c>
      <c r="V287" t="n">
        <f t="shared" si="55"/>
        <v>2454730.2037089472</v>
      </c>
      <c r="W287" t="n">
        <f t="shared" si="48"/>
        <v>1900.8315775563767</v>
      </c>
      <c r="X287" t="n">
        <f t="shared" si="49"/>
        <v>59796616.071232095</v>
      </c>
      <c r="Y287" t="n">
        <f t="shared" si="50"/>
        <v>0.70137988019297326</v>
      </c>
      <c r="Z287" t="n">
        <f t="shared" si="51"/>
        <v>41940143.415985987</v>
      </c>
    </row>
    <row r="288">
      <c r="B288" s="52" t="n">
        <v>2033</v>
      </c>
      <c r="C288" t="str">
        <f>tbl_detail_2022!C288</f>
        <v>fugitives</v>
      </c>
      <c r="D288" t="str">
        <f>tbl_detail_2022!D288</f>
        <v>Wellpad Fugitives</v>
      </c>
      <c r="E288" t="str">
        <f>tbl_detail_2022!E288</f>
        <v>1: No equipment, no tanks</v>
      </c>
      <c r="F288" t="n">
        <f>tbl_detail_2022!F288</f>
        <v>174779.01617623601</v>
      </c>
      <c r="G288" t="n">
        <f>tbl_detail_2022!G288</f>
        <v>-39261.371589188202</v>
      </c>
      <c r="H288" t="n">
        <f>tbl_detail_2022!H288</f>
        <v>-10913.6681068772</v>
      </c>
      <c r="I288" t="n">
        <f>tbl_detail_2022!I288</f>
        <v>-411.11787758606602</v>
      </c>
      <c r="J288" t="n">
        <f>tbl_detail_2022!J288</f>
        <v>-890432.92942952795</v>
      </c>
      <c r="K288" t="n">
        <f>tbl_detail_2022!K288</f>
        <v>121094543.09157</v>
      </c>
      <c r="L288" t="n">
        <f>tbl_detail_2022!L288</f>
        <v>7344543.2020316198</v>
      </c>
      <c r="M288" t="n">
        <f>tbl_detail_2022!M288</f>
        <v>113749999.889539</v>
      </c>
      <c r="N288" t="n">
        <f>tbl_detail_2022!N288</f>
        <v>650350.35401948204</v>
      </c>
      <c r="O288" t="n">
        <f>tbl_detail_2022!O288</f>
        <v>118234907.66270299</v>
      </c>
      <c r="P288" t="n">
        <f t="shared" si="45"/>
        <v>12</v>
      </c>
      <c r="Q288" t="n">
        <f t="shared" si="46"/>
        <v>0.44401195924073528</v>
      </c>
      <c r="R288" t="n">
        <f t="shared" si="47"/>
        <v>53767425.331449643</v>
      </c>
      <c r="S288" t="n">
        <f t="shared" si="52"/>
        <v>3261065.016862283</v>
      </c>
      <c r="T288" t="n">
        <f t="shared" si="53"/>
        <v>50506360.314587638</v>
      </c>
      <c r="U288" t="n">
        <f t="shared" si="54"/>
        <v>288763.33488109603</v>
      </c>
      <c r="V288" t="n">
        <f t="shared" si="55"/>
        <v>52497713.001964182</v>
      </c>
      <c r="W288" t="n">
        <f t="shared" si="48"/>
        <v>1900.8315775563767</v>
      </c>
      <c r="X288" t="n">
        <f t="shared" si="49"/>
        <v>74629254.894903719</v>
      </c>
      <c r="Y288" t="n">
        <f t="shared" si="50"/>
        <v>0.70137988019297326</v>
      </c>
      <c r="Z288" t="n">
        <f t="shared" si="51"/>
        <v>52343457.857078433</v>
      </c>
    </row>
    <row r="289">
      <c r="B289" s="52" t="n">
        <v>2033</v>
      </c>
      <c r="C289" t="str">
        <f>tbl_detail_2022!C289</f>
        <v>fugitives</v>
      </c>
      <c r="D289" t="str">
        <f>tbl_detail_2022!D289</f>
        <v>Wellpad Fugitives</v>
      </c>
      <c r="E289" t="str">
        <f>tbl_detail_2022!E289</f>
        <v>2: Tanks, no equipment</v>
      </c>
      <c r="F289" t="n">
        <f>tbl_detail_2022!F289</f>
        <v>27956.6362130981</v>
      </c>
      <c r="G289" t="n">
        <f>tbl_detail_2022!G289</f>
        <v>-8878.1571654690306</v>
      </c>
      <c r="H289" t="n">
        <f>tbl_detail_2022!H289</f>
        <v>-2467.9031012585701</v>
      </c>
      <c r="I289" t="n">
        <f>tbl_detail_2022!I289</f>
        <v>-92.965909824410502</v>
      </c>
      <c r="J289" t="n">
        <f>tbl_detail_2022!J289</f>
        <v>-201353.21749587901</v>
      </c>
      <c r="K289" t="n">
        <f>tbl_detail_2022!K289</f>
        <v>29676966.305073299</v>
      </c>
      <c r="L289" t="n">
        <f>tbl_detail_2022!L289</f>
        <v>1660818.4130319599</v>
      </c>
      <c r="M289" t="n">
        <f>tbl_detail_2022!M289</f>
        <v>28016147.8920414</v>
      </c>
      <c r="N289" t="n">
        <f>tbl_detail_2022!N289</f>
        <v>505354.20148621802</v>
      </c>
      <c r="O289" t="n">
        <f>tbl_detail_2022!O289</f>
        <v>28445529.719179101</v>
      </c>
      <c r="P289" t="n">
        <f t="shared" si="45"/>
        <v>12</v>
      </c>
      <c r="Q289" t="n">
        <f t="shared" si="46"/>
        <v>0.44401195924073528</v>
      </c>
      <c r="R289" t="n">
        <f t="shared" si="47"/>
        <v>13176927.953436879</v>
      </c>
      <c r="S289" t="n">
        <f t="shared" si="52"/>
        <v>737423.23751340923</v>
      </c>
      <c r="T289" t="n">
        <f t="shared" si="53"/>
        <v>12439504.715923497</v>
      </c>
      <c r="U289" t="n">
        <f t="shared" si="54"/>
        <v>224383.30911243297</v>
      </c>
      <c r="V289" t="n">
        <f t="shared" si="55"/>
        <v>12630155.382253274</v>
      </c>
      <c r="W289" t="n">
        <f t="shared" si="48"/>
        <v>1900.8315775563767</v>
      </c>
      <c r="X289" t="n">
        <f t="shared" si="49"/>
        <v>16875881.490631945</v>
      </c>
      <c r="Y289" t="n">
        <f t="shared" si="50"/>
        <v>0.70137988019297326</v>
      </c>
      <c r="Z289" t="n">
        <f t="shared" si="51"/>
        <v>11836403.738050248</v>
      </c>
    </row>
    <row r="290">
      <c r="B290" s="52" t="n">
        <v>2033</v>
      </c>
      <c r="C290" t="str">
        <f>tbl_detail_2022!C290</f>
        <v>fugitives</v>
      </c>
      <c r="D290" t="str">
        <f>tbl_detail_2022!D290</f>
        <v>Wellpad Fugitives</v>
      </c>
      <c r="E290" t="str">
        <f>tbl_detail_2022!E290</f>
        <v>3: Equipment = 1, no tanks</v>
      </c>
      <c r="F290" t="n">
        <f>tbl_detail_2022!F290</f>
        <v>23100.555065775901</v>
      </c>
      <c r="G290" t="n">
        <f>tbl_detail_2022!G290</f>
        <v>-18885.5815646638</v>
      </c>
      <c r="H290" t="n">
        <f>tbl_detail_2022!H290</f>
        <v>-5249.7139264196903</v>
      </c>
      <c r="I290" t="n">
        <f>tbl_detail_2022!I290</f>
        <v>-197.75672360823</v>
      </c>
      <c r="J290" t="n">
        <f>tbl_detail_2022!J290</f>
        <v>-428317.785037208</v>
      </c>
      <c r="K290" t="n">
        <f>tbl_detail_2022!K290</f>
        <v>11368158.942523399</v>
      </c>
      <c r="L290" t="n">
        <f>tbl_detail_2022!L290</f>
        <v>3532886.5009739399</v>
      </c>
      <c r="M290" t="n">
        <f>tbl_detail_2022!M290</f>
        <v>7835272.4415494502</v>
      </c>
      <c r="N290" t="n">
        <f>tbl_detail_2022!N290</f>
        <v>-271916.96930437098</v>
      </c>
      <c r="O290" t="n">
        <f>tbl_detail_2022!O290</f>
        <v>11366807.004949201</v>
      </c>
      <c r="P290" t="n">
        <f t="shared" si="45"/>
        <v>12</v>
      </c>
      <c r="Q290" t="n">
        <f t="shared" si="46"/>
        <v>0.44401195924073528</v>
      </c>
      <c r="R290" t="n">
        <f t="shared" si="47"/>
        <v>5047598.5250298996</v>
      </c>
      <c r="S290" t="n">
        <f t="shared" si="52"/>
        <v>1568643.8570725848</v>
      </c>
      <c r="T290" t="n">
        <f t="shared" si="53"/>
        <v>3478954.667957311</v>
      </c>
      <c r="U290" t="n">
        <f t="shared" si="54"/>
        <v>-120734.38629163663</v>
      </c>
      <c r="V290" t="n">
        <f t="shared" si="55"/>
        <v>5046998.2485788092</v>
      </c>
      <c r="W290" t="n">
        <f t="shared" si="48"/>
        <v>1900.8315775563767</v>
      </c>
      <c r="X290" t="n">
        <f t="shared" si="49"/>
        <v>35898309.798629515</v>
      </c>
      <c r="Y290" t="n">
        <f t="shared" si="50"/>
        <v>0.70137988019297326</v>
      </c>
      <c r="Z290" t="n">
        <f t="shared" si="51"/>
        <v>25178352.225693006</v>
      </c>
    </row>
    <row r="291">
      <c r="B291" s="52" t="n">
        <v>2033</v>
      </c>
      <c r="C291" t="str">
        <f>tbl_detail_2022!C291</f>
        <v>fugitives</v>
      </c>
      <c r="D291" t="str">
        <f>tbl_detail_2022!D291</f>
        <v>Wellpad Fugitives</v>
      </c>
      <c r="E291" t="str">
        <f>tbl_detail_2022!E291</f>
        <v>4: Equipment &gt; 1, no tanks</v>
      </c>
      <c r="F291" t="n">
        <f>tbl_detail_2022!F291</f>
        <v>33825.818256001898</v>
      </c>
      <c r="G291" t="n">
        <f>tbl_detail_2022!G291</f>
        <v>-52519.725470534402</v>
      </c>
      <c r="H291" t="n">
        <f>tbl_detail_2022!H291</f>
        <v>-14599.155089313301</v>
      </c>
      <c r="I291" t="n">
        <f>tbl_detail_2022!I291</f>
        <v>-549.950172214433</v>
      </c>
      <c r="J291" t="n">
        <f>tbl_detail_2022!J291</f>
        <v>-1191127.3373964501</v>
      </c>
      <c r="K291" t="n">
        <f>tbl_detail_2022!K291</f>
        <v>109263298.13234501</v>
      </c>
      <c r="L291" t="n">
        <f>tbl_detail_2022!L291</f>
        <v>9824755.9130971208</v>
      </c>
      <c r="M291" t="n">
        <f>tbl_detail_2022!M291</f>
        <v>99438542.219247401</v>
      </c>
      <c r="N291" t="n">
        <f>tbl_detail_2022!N291</f>
        <v>19640.560710833601</v>
      </c>
      <c r="O291" t="n">
        <f>tbl_detail_2022!O291</f>
        <v>105777064.55338299</v>
      </c>
      <c r="P291" t="n">
        <f t="shared" si="45"/>
        <v>12</v>
      </c>
      <c r="Q291" t="n">
        <f t="shared" si="46"/>
        <v>0.44401195924073528</v>
      </c>
      <c r="R291" t="n">
        <f t="shared" si="47"/>
        <v>48514211.076847076</v>
      </c>
      <c r="S291" t="n">
        <f t="shared" si="52"/>
        <v>4362309.1220362522</v>
      </c>
      <c r="T291" t="n">
        <f t="shared" si="53"/>
        <v>44151901.954810612</v>
      </c>
      <c r="U291" t="n">
        <f t="shared" si="54"/>
        <v>8720.643841803836</v>
      </c>
      <c r="V291" t="n">
        <f t="shared" si="55"/>
        <v>46966281.675081313</v>
      </c>
      <c r="W291" t="n">
        <f t="shared" si="48"/>
        <v>1900.8315775563767</v>
      </c>
      <c r="X291" t="n">
        <f t="shared" si="49"/>
        <v>99831152.618983731</v>
      </c>
      <c r="Y291" t="n">
        <f t="shared" si="50"/>
        <v>0.70137988019297326</v>
      </c>
      <c r="Z291" t="n">
        <f t="shared" si="51"/>
        <v>70019561.863429233</v>
      </c>
    </row>
    <row r="292">
      <c r="B292" s="52" t="n">
        <v>2033</v>
      </c>
      <c r="C292" t="str">
        <f>tbl_detail_2022!C292</f>
        <v>fugitives</v>
      </c>
      <c r="D292" t="str">
        <f>tbl_detail_2022!D292</f>
        <v>Wellpad Fugitives</v>
      </c>
      <c r="E292" t="str">
        <f>tbl_detail_2022!E292</f>
        <v>5: Equipment = 1 and tanks</v>
      </c>
      <c r="F292" t="n">
        <f>tbl_detail_2022!F292</f>
        <v>51870.720580804002</v>
      </c>
      <c r="G292" t="n">
        <f>tbl_detail_2022!G292</f>
        <v>-60099.140386872699</v>
      </c>
      <c r="H292" t="n">
        <f>tbl_detail_2022!H292</f>
        <v>-16706.0406995962</v>
      </c>
      <c r="I292" t="n">
        <f>tbl_detail_2022!I292</f>
        <v>-629.31655315378998</v>
      </c>
      <c r="J292" t="n">
        <f>tbl_detail_2022!J292</f>
        <v>-1363025.5761522099</v>
      </c>
      <c r="K292" t="n">
        <f>tbl_detail_2022!K292</f>
        <v>194587257.074839</v>
      </c>
      <c r="L292" t="n">
        <f>tbl_detail_2022!L292</f>
        <v>11242621.3122392</v>
      </c>
      <c r="M292" t="n">
        <f>tbl_detail_2022!M292</f>
        <v>183344635.7626</v>
      </c>
      <c r="N292" t="n">
        <f>tbl_detail_2022!N292</f>
        <v>13751.5348896207</v>
      </c>
      <c r="O292" t="n">
        <f>tbl_detail_2022!O292</f>
        <v>187544426.03235301</v>
      </c>
      <c r="P292" t="n">
        <f t="shared" si="45"/>
        <v>12</v>
      </c>
      <c r="Q292" t="n">
        <f t="shared" si="46"/>
        <v>0.44401195924073528</v>
      </c>
      <c r="R292" t="n">
        <f t="shared" si="47"/>
        <v>86399069.257079884</v>
      </c>
      <c r="S292" t="n">
        <f t="shared" si="52"/>
        <v>4991858.3158489736</v>
      </c>
      <c r="T292" t="n">
        <f t="shared" si="53"/>
        <v>81407210.941231012</v>
      </c>
      <c r="U292" t="n">
        <f t="shared" si="54"/>
        <v>6105.845948907815</v>
      </c>
      <c r="V292" t="n">
        <f t="shared" si="55"/>
        <v>83271968.047304213</v>
      </c>
      <c r="W292" t="n">
        <f t="shared" si="48"/>
        <v>1900.8315775563767</v>
      </c>
      <c r="X292" t="n">
        <f t="shared" si="49"/>
        <v>114238343.83136138</v>
      </c>
      <c r="Y292" t="n">
        <f t="shared" si="50"/>
        <v>0.70137988019297326</v>
      </c>
      <c r="Z292" t="n">
        <f t="shared" si="51"/>
        <v>80124475.909883931</v>
      </c>
    </row>
    <row r="293">
      <c r="B293" s="52" t="n">
        <v>2033</v>
      </c>
      <c r="C293" t="str">
        <f>tbl_detail_2022!C293</f>
        <v>fugitives</v>
      </c>
      <c r="D293" t="str">
        <f>tbl_detail_2022!D293</f>
        <v>Wellpad Fugitives</v>
      </c>
      <c r="E293" t="str">
        <f>tbl_detail_2022!E293</f>
        <v>6: Equipment &gt; 1 and tanks</v>
      </c>
      <c r="F293" t="n">
        <f>tbl_detail_2022!F293</f>
        <v>147681.85249207501</v>
      </c>
      <c r="G293" t="n">
        <f>tbl_detail_2022!G293</f>
        <v>-161670.31353882601</v>
      </c>
      <c r="H293" t="n">
        <f>tbl_detail_2022!H293</f>
        <v>-44940.257389872102</v>
      </c>
      <c r="I293" t="n">
        <f>tbl_detail_2022!I293</f>
        <v>-1692.8994958764799</v>
      </c>
      <c r="J293" t="n">
        <f>tbl_detail_2022!J293</f>
        <v>-3666621.0338359699</v>
      </c>
      <c r="K293" t="n">
        <f>tbl_detail_2022!K293</f>
        <v>450389542.39736497</v>
      </c>
      <c r="L293" t="n">
        <f>tbl_detail_2022!L293</f>
        <v>30243329.619153999</v>
      </c>
      <c r="M293" t="n">
        <f>tbl_detail_2022!M293</f>
        <v>420146212.778211</v>
      </c>
      <c r="N293" t="n">
        <f>tbl_detail_2022!N293</f>
        <v>102406.329465405</v>
      </c>
      <c r="O293" t="n">
        <f>tbl_detail_2022!O293</f>
        <v>436841333.01932597</v>
      </c>
      <c r="P293" t="n">
        <f t="shared" si="45"/>
        <v>12</v>
      </c>
      <c r="Q293" t="n">
        <f t="shared" si="46"/>
        <v>0.44401195924073528</v>
      </c>
      <c r="R293" t="n">
        <f t="shared" si="47"/>
        <v>199978343.14139223</v>
      </c>
      <c r="S293" t="n">
        <f t="shared" si="52"/>
        <v>13428400.038163926</v>
      </c>
      <c r="T293" t="n">
        <f t="shared" si="53"/>
        <v>186549943.1032283</v>
      </c>
      <c r="U293" t="n">
        <f t="shared" si="54"/>
        <v>45469.634984586708</v>
      </c>
      <c r="V293" t="n">
        <f t="shared" si="55"/>
        <v>193962776.15124542</v>
      </c>
      <c r="W293" t="n">
        <f t="shared" si="48"/>
        <v>1900.8315775563767</v>
      </c>
      <c r="X293" t="n">
        <f t="shared" si="49"/>
        <v>307308037.12804067</v>
      </c>
      <c r="Y293" t="n">
        <f t="shared" si="50"/>
        <v>0.70137988019297326</v>
      </c>
      <c r="Z293" t="n">
        <f t="shared" si="51"/>
        <v>215539674.26320294</v>
      </c>
    </row>
    <row r="294">
      <c r="B294" s="52" t="n">
        <v>2033</v>
      </c>
      <c r="C294" t="str">
        <f>tbl_detail_2022!C294</f>
        <v>compressors</v>
      </c>
      <c r="D294" t="str">
        <f>tbl_detail_2022!D294</f>
        <v>G&amp;B Station Recip Comp</v>
      </c>
      <c r="E294" t="n">
        <f>tbl_detail_2022!E294</f>
        <v>0</v>
      </c>
      <c r="F294" t="n">
        <f>tbl_detail_2022!F294</f>
        <v>29443.675079438999</v>
      </c>
      <c r="G294" t="n">
        <f>tbl_detail_2022!G294</f>
        <v>-191785.15435269399</v>
      </c>
      <c r="H294" t="n">
        <f>tbl_detail_2022!H294</f>
        <v>-53311.421354167403</v>
      </c>
      <c r="I294" t="n">
        <f>tbl_detail_2022!I294</f>
        <v>-2008.4713300885101</v>
      </c>
      <c r="J294" t="n">
        <f>tbl_detail_2022!J294</f>
        <v>-4349614.1346827103</v>
      </c>
      <c r="K294" t="n">
        <f>tbl_detail_2022!K294</f>
        <v>33407396.841112498</v>
      </c>
      <c r="L294" t="n">
        <f>tbl_detail_2022!L294</f>
        <v>35876850.314611897</v>
      </c>
      <c r="M294" t="n">
        <f>tbl_detail_2022!M294</f>
        <v>-2469453.4734993698</v>
      </c>
      <c r="N294" t="n">
        <f>tbl_detail_2022!N294</f>
        <v>0</v>
      </c>
      <c r="O294" t="n">
        <f>tbl_detail_2022!O294</f>
        <v>17577874.0224251</v>
      </c>
      <c r="P294" t="n">
        <f t="shared" si="45"/>
        <v>12</v>
      </c>
      <c r="Q294" t="n">
        <f t="shared" si="46"/>
        <v>0.44401195924073528</v>
      </c>
      <c r="R294" t="n">
        <f t="shared" si="47"/>
        <v>14833283.724555111</v>
      </c>
      <c r="S294" t="n">
        <f t="shared" si="52"/>
        <v>15929750.599577418</v>
      </c>
      <c r="T294" t="n">
        <f t="shared" si="53"/>
        <v>-1096466.8750222942</v>
      </c>
      <c r="U294" t="n">
        <f t="shared" si="54"/>
        <v>0</v>
      </c>
      <c r="V294" t="n">
        <f t="shared" si="55"/>
        <v>7804786.2839837931</v>
      </c>
      <c r="W294" t="n">
        <f t="shared" si="48"/>
        <v>1900.8315775563767</v>
      </c>
      <c r="X294" t="n">
        <f t="shared" si="49"/>
        <v>364551277.50012451</v>
      </c>
      <c r="Y294" t="n">
        <f t="shared" si="50"/>
        <v>0.70137988019297326</v>
      </c>
      <c r="Z294" t="n">
        <f t="shared" si="51"/>
        <v>255688931.33723268</v>
      </c>
    </row>
    <row r="295">
      <c r="B295" s="52" t="n">
        <v>2033</v>
      </c>
      <c r="C295" t="str">
        <f>tbl_detail_2022!C295</f>
        <v>compressors</v>
      </c>
      <c r="D295" t="str">
        <f>tbl_detail_2022!D295</f>
        <v>Proc Recip Comp</v>
      </c>
      <c r="E295" t="n">
        <f>tbl_detail_2022!E295</f>
        <v>0</v>
      </c>
      <c r="F295" t="n">
        <f>tbl_detail_2022!F295</f>
        <v>4142.9974206300803</v>
      </c>
      <c r="G295" t="n">
        <f>tbl_detail_2022!G295</f>
        <v>-64729.431234776297</v>
      </c>
      <c r="H295" t="n">
        <f>tbl_detail_2022!H295</f>
        <v>-17993.1444340405</v>
      </c>
      <c r="I295" t="n">
        <f>tbl_detail_2022!I295</f>
        <v>-677.87940775071695</v>
      </c>
      <c r="J295" t="n">
        <f>tbl_detail_2022!J295</f>
        <v>-1468038.80612671</v>
      </c>
      <c r="K295" t="n">
        <f>tbl_detail_2022!K295</f>
        <v>6935047.1854852503</v>
      </c>
      <c r="L295" t="n">
        <f>tbl_detail_2022!L295</f>
        <v>11538155.592759799</v>
      </c>
      <c r="M295" t="n">
        <f>tbl_detail_2022!M295</f>
        <v>-4603108.4072745498</v>
      </c>
      <c r="N295" t="n">
        <f>tbl_detail_2022!N295</f>
        <v>0</v>
      </c>
      <c r="O295" t="n">
        <f>tbl_detail_2022!O295</f>
        <v>2473369.4601161601</v>
      </c>
      <c r="P295" t="n">
        <f t="shared" si="45"/>
        <v>12</v>
      </c>
      <c r="Q295" t="n">
        <f t="shared" si="46"/>
        <v>0.44401195924073528</v>
      </c>
      <c r="R295" t="n">
        <f t="shared" si="47"/>
        <v>3079243.8882542527</v>
      </c>
      <c r="S295" t="n">
        <f t="shared" si="52"/>
        <v>5123079.0707657253</v>
      </c>
      <c r="T295" t="n">
        <f t="shared" si="53"/>
        <v>-2043835.1825114733</v>
      </c>
      <c r="U295" t="n">
        <f t="shared" si="54"/>
        <v>0</v>
      </c>
      <c r="V295" t="n">
        <f t="shared" si="55"/>
        <v>1098205.6199123759</v>
      </c>
      <c r="W295" t="n">
        <f t="shared" si="48"/>
        <v>1900.8315775563767</v>
      </c>
      <c r="X295" t="n">
        <f t="shared" si="49"/>
        <v>123039746.88832684</v>
      </c>
      <c r="Y295" t="n">
        <f t="shared" si="50"/>
        <v>0.70137988019297326</v>
      </c>
      <c r="Z295" t="n">
        <f t="shared" si="51"/>
        <v>86297602.931508437</v>
      </c>
    </row>
    <row r="296">
      <c r="B296" s="52" t="n">
        <v>2033</v>
      </c>
      <c r="C296" t="str">
        <f>tbl_detail_2022!C296</f>
        <v>compressors</v>
      </c>
      <c r="D296" t="str">
        <f>tbl_detail_2022!D296</f>
        <v>T&amp;S Recip Comp</v>
      </c>
      <c r="E296" t="str">
        <f>tbl_detail_2022!E296</f>
        <v>Reciprocating Compressors (Transmission)</v>
      </c>
      <c r="F296" t="n">
        <f>tbl_detail_2022!F296</f>
        <v>9665.7556090891594</v>
      </c>
      <c r="G296" t="n">
        <f>tbl_detail_2022!G296</f>
        <v>-103977.84845636001</v>
      </c>
      <c r="H296" t="n">
        <f>tbl_detail_2022!H296</f>
        <v>-2877.5545973947701</v>
      </c>
      <c r="I296" t="n">
        <f>tbl_detail_2022!I296</f>
        <v>-85.468248547134806</v>
      </c>
      <c r="J296" t="n">
        <f>tbl_detail_2022!J296</f>
        <v>-2358177.9354410502</v>
      </c>
      <c r="K296" t="n">
        <f>tbl_detail_2022!K296</f>
        <v>11872988.9914682</v>
      </c>
      <c r="L296" t="n">
        <f>tbl_detail_2022!L296</f>
        <v>17375875.782143299</v>
      </c>
      <c r="M296" t="n">
        <f>tbl_detail_2022!M296</f>
        <v>-5502886.7906750599</v>
      </c>
      <c r="N296" t="n">
        <f>tbl_detail_2022!N296</f>
        <v>0</v>
      </c>
      <c r="O296" t="n">
        <f>tbl_detail_2022!O296</f>
        <v>5770456.0986262299</v>
      </c>
      <c r="P296" t="n">
        <f t="shared" si="45"/>
        <v>12</v>
      </c>
      <c r="Q296" t="n">
        <f t="shared" si="46"/>
        <v>0.44401195924073528</v>
      </c>
      <c r="R296" t="n">
        <f t="shared" si="47"/>
        <v>5271749.1041454775</v>
      </c>
      <c r="S296" t="n">
        <f t="shared" si="52"/>
        <v>7715096.6495530894</v>
      </c>
      <c r="T296" t="n">
        <f t="shared" si="53"/>
        <v>-2443347.5454075951</v>
      </c>
      <c r="U296" t="n">
        <f t="shared" si="54"/>
        <v>0</v>
      </c>
      <c r="V296" t="n">
        <f t="shared" si="55"/>
        <v>2562151.5180636817</v>
      </c>
      <c r="W296" t="n">
        <f t="shared" si="48"/>
        <v>1900.8315775563767</v>
      </c>
      <c r="X296" t="n">
        <f t="shared" si="49"/>
        <v>197644377.71222067</v>
      </c>
      <c r="Y296" t="n">
        <f t="shared" si="50"/>
        <v>0.70137988019297326</v>
      </c>
      <c r="Z296" t="n">
        <f t="shared" si="51"/>
        <v>138623789.96061209</v>
      </c>
    </row>
    <row r="297">
      <c r="B297" s="52" t="n">
        <v>2033</v>
      </c>
      <c r="C297" t="str">
        <f>tbl_detail_2022!C297</f>
        <v>compressors</v>
      </c>
      <c r="D297" t="str">
        <f>tbl_detail_2022!D297</f>
        <v>T&amp;S Recip Comp</v>
      </c>
      <c r="E297" t="str">
        <f>tbl_detail_2022!E297</f>
        <v>Reciprocating Compressors (Storage)</v>
      </c>
      <c r="F297" t="n">
        <f>tbl_detail_2022!F297</f>
        <v>1393.7623327563799</v>
      </c>
      <c r="G297" t="n">
        <f>tbl_detail_2022!G297</f>
        <v>-31448.344859756198</v>
      </c>
      <c r="H297" t="n">
        <f>tbl_detail_2022!H297</f>
        <v>-870.32315704848304</v>
      </c>
      <c r="I297" t="n">
        <f>tbl_detail_2022!I297</f>
        <v>-25.850072825826601</v>
      </c>
      <c r="J297" t="n">
        <f>tbl_detail_2022!J297</f>
        <v>-713236.46387570596</v>
      </c>
      <c r="K297" t="n">
        <f>tbl_detail_2022!K297</f>
        <v>3414907.4969365099</v>
      </c>
      <c r="L297" t="n">
        <f>tbl_detail_2022!L297</f>
        <v>5255374.5047578504</v>
      </c>
      <c r="M297" t="n">
        <f>tbl_detail_2022!M297</f>
        <v>-1840467.0078213401</v>
      </c>
      <c r="N297" t="n">
        <f>tbl_detail_2022!N297</f>
        <v>0</v>
      </c>
      <c r="O297" t="n">
        <f>tbl_detail_2022!O297</f>
        <v>832076.11265555699</v>
      </c>
      <c r="P297" t="n">
        <f t="shared" si="45"/>
        <v>12</v>
      </c>
      <c r="Q297" t="n">
        <f t="shared" si="46"/>
        <v>0.44401195924073528</v>
      </c>
      <c r="R297" t="n">
        <f t="shared" si="47"/>
        <v>1516259.7683406549</v>
      </c>
      <c r="S297" t="n">
        <f t="shared" si="52"/>
        <v>2333449.1304013422</v>
      </c>
      <c r="T297" t="n">
        <f t="shared" si="53"/>
        <v>-817189.36206068692</v>
      </c>
      <c r="U297" t="n">
        <f t="shared" si="54"/>
        <v>0</v>
      </c>
      <c r="V297" t="n">
        <f t="shared" si="55"/>
        <v>369451.74501760863</v>
      </c>
      <c r="W297" t="n">
        <f t="shared" si="48"/>
        <v>1900.8315775563767</v>
      </c>
      <c r="X297" t="n">
        <f t="shared" si="49"/>
        <v>59778006.971307345</v>
      </c>
      <c r="Y297" t="n">
        <f t="shared" si="50"/>
        <v>0.70137988019297326</v>
      </c>
      <c r="Z297" t="n">
        <f t="shared" si="51"/>
        <v>41927091.367710263</v>
      </c>
    </row>
    <row r="298">
      <c r="B298" s="52" t="n">
        <v>2033</v>
      </c>
      <c r="C298" t="str">
        <f>tbl_detail_2022!C298</f>
        <v>compressors</v>
      </c>
      <c r="D298" t="str">
        <f>tbl_detail_2022!D298</f>
        <v>Wet Seal Centrifugal Compr</v>
      </c>
      <c r="E298" t="str">
        <f>tbl_detail_2022!E298</f>
        <v>G&amp;B WS Centrifugal Comp</v>
      </c>
      <c r="F298" t="n">
        <f>tbl_detail_2022!F298</f>
        <v>391.89164958804201</v>
      </c>
      <c r="G298" t="n">
        <f>tbl_detail_2022!G298</f>
        <v>-87880.909500294496</v>
      </c>
      <c r="H298" t="n">
        <f>tbl_detail_2022!H298</f>
        <v>-24428.6697329128</v>
      </c>
      <c r="I298" t="n">
        <f>tbl_detail_2022!I298</f>
        <v>-920.33342095316004</v>
      </c>
      <c r="J298" t="n">
        <f>tbl_detail_2022!J298</f>
        <v>-1993105.5008997</v>
      </c>
      <c r="K298" t="n">
        <f>tbl_detail_2022!K298</f>
        <v>9797291.2397010401</v>
      </c>
      <c r="L298" t="n">
        <f>tbl_detail_2022!L298</f>
        <v>16439699.1325817</v>
      </c>
      <c r="M298" t="n">
        <f>tbl_detail_2022!M298</f>
        <v>-6642407.8928806102</v>
      </c>
      <c r="N298" t="n">
        <f>tbl_detail_2022!N298</f>
        <v>0</v>
      </c>
      <c r="O298" t="n">
        <f>tbl_detail_2022!O298</f>
        <v>9797291.2397010401</v>
      </c>
      <c r="P298" t="n">
        <f t="shared" si="45"/>
        <v>12</v>
      </c>
      <c r="Q298" t="n">
        <f t="shared" si="46"/>
        <v>0.44401195924073528</v>
      </c>
      <c r="R298" t="n">
        <f t="shared" si="47"/>
        <v>4350114.4785917513</v>
      </c>
      <c r="S298" t="n">
        <f t="shared" si="52"/>
        <v>7299423.0211858163</v>
      </c>
      <c r="T298" t="n">
        <f t="shared" si="53"/>
        <v>-2949308.542594044</v>
      </c>
      <c r="U298" t="n">
        <f t="shared" si="54"/>
        <v>0</v>
      </c>
      <c r="V298" t="n">
        <f t="shared" si="55"/>
        <v>4350114.4785917513</v>
      </c>
      <c r="W298" t="n">
        <f t="shared" si="48"/>
        <v>1900.8315775563767</v>
      </c>
      <c r="X298" t="n">
        <f t="shared" si="49"/>
        <v>167046807.84253395</v>
      </c>
      <c r="Y298" t="n">
        <f t="shared" si="50"/>
        <v>0.70137988019297326</v>
      </c>
      <c r="Z298" t="n">
        <f t="shared" si="51"/>
        <v>117163270.07121508</v>
      </c>
    </row>
    <row r="299">
      <c r="B299" s="52" t="n">
        <v>2033</v>
      </c>
      <c r="C299" t="str">
        <f>tbl_detail_2022!C299</f>
        <v>compressors</v>
      </c>
      <c r="D299" t="str">
        <f>tbl_detail_2022!D299</f>
        <v>Wet Seal Centrifugal Compr</v>
      </c>
      <c r="E299" t="str">
        <f>tbl_detail_2022!E299</f>
        <v>Proc WS Centrifugal Comp</v>
      </c>
      <c r="F299" t="n">
        <f>tbl_detail_2022!F299</f>
        <v>270.11767083863901</v>
      </c>
      <c r="G299" t="n">
        <f>tbl_detail_2022!G299</f>
        <v>-36800.832066031297</v>
      </c>
      <c r="H299" t="n">
        <f>tbl_detail_2022!H299</f>
        <v>-10229.7003700724</v>
      </c>
      <c r="I299" t="n">
        <f>tbl_detail_2022!I299</f>
        <v>-2843.5979239190501</v>
      </c>
      <c r="J299" t="n">
        <f>tbl_detail_2022!J299</f>
        <v>-834628.83174015698</v>
      </c>
      <c r="K299" t="n">
        <f>tbl_detail_2022!K299</f>
        <v>6752941.7709659701</v>
      </c>
      <c r="L299" t="n">
        <f>tbl_detail_2022!L299</f>
        <v>6559824.7693665298</v>
      </c>
      <c r="M299" t="n">
        <f>tbl_detail_2022!M299</f>
        <v>193117.001599443</v>
      </c>
      <c r="N299" t="n">
        <f>tbl_detail_2022!N299</f>
        <v>0</v>
      </c>
      <c r="O299" t="n">
        <f>tbl_detail_2022!O299</f>
        <v>6752941.7709659701</v>
      </c>
      <c r="P299" t="n">
        <f t="shared" si="45"/>
        <v>12</v>
      </c>
      <c r="Q299" t="n">
        <f t="shared" si="46"/>
        <v>0.44401195924073528</v>
      </c>
      <c r="R299" t="n">
        <f t="shared" si="47"/>
        <v>2998386.9063652009</v>
      </c>
      <c r="S299" t="n">
        <f t="shared" si="52"/>
        <v>2912640.6481223372</v>
      </c>
      <c r="T299" t="n">
        <f t="shared" si="53"/>
        <v>85746.258242864889</v>
      </c>
      <c r="U299" t="n">
        <f t="shared" si="54"/>
        <v>0</v>
      </c>
      <c r="V299" t="n">
        <f t="shared" si="55"/>
        <v>2998386.9063652009</v>
      </c>
      <c r="W299" t="n">
        <f t="shared" si="48"/>
        <v>1900.8315775563767</v>
      </c>
      <c r="X299" t="n">
        <f t="shared" si="49"/>
        <v>69952183.671461567</v>
      </c>
      <c r="Y299" t="n">
        <f t="shared" si="50"/>
        <v>0.70137988019297326</v>
      </c>
      <c r="Z299" t="n">
        <f t="shared" si="51"/>
        <v>49063054.202726573</v>
      </c>
    </row>
    <row r="300">
      <c r="B300" s="52" t="n">
        <v>2033</v>
      </c>
      <c r="C300" t="str">
        <f>tbl_detail_2022!C300</f>
        <v>compressors</v>
      </c>
      <c r="D300" t="str">
        <f>tbl_detail_2022!D300</f>
        <v>Wet Seal Centrifugal Compr</v>
      </c>
      <c r="E300" t="str">
        <f>tbl_detail_2022!E300</f>
        <v>T&amp;S WS Centrifugal Comp</v>
      </c>
      <c r="F300" t="n">
        <f>tbl_detail_2022!F300</f>
        <v>741.63621060219305</v>
      </c>
      <c r="G300" t="n">
        <f>tbl_detail_2022!G300</f>
        <v>-26095.121548974199</v>
      </c>
      <c r="H300" t="n">
        <f>tbl_detail_2022!H300</f>
        <v>-722.17436788319401</v>
      </c>
      <c r="I300" t="n">
        <f>tbl_detail_2022!I300</f>
        <v>-19.985950885444101</v>
      </c>
      <c r="J300" t="n">
        <f>tbl_detail_2022!J300</f>
        <v>-591827.40144186304</v>
      </c>
      <c r="K300" t="n">
        <f>tbl_detail_2022!K300</f>
        <v>18540905.2650548</v>
      </c>
      <c r="L300" t="n">
        <f>tbl_detail_2022!L300</f>
        <v>4360790.2768368199</v>
      </c>
      <c r="M300" t="n">
        <f>tbl_detail_2022!M300</f>
        <v>14180114.988218</v>
      </c>
      <c r="N300" t="n">
        <f>tbl_detail_2022!N300</f>
        <v>0</v>
      </c>
      <c r="O300" t="n">
        <f>tbl_detail_2022!O300</f>
        <v>18540905.2650548</v>
      </c>
      <c r="P300" t="n">
        <f t="shared" si="45"/>
        <v>12</v>
      </c>
      <c r="Q300" t="n">
        <f t="shared" si="46"/>
        <v>0.44401195924073528</v>
      </c>
      <c r="R300" t="n">
        <f t="shared" si="47"/>
        <v>8232383.672833846</v>
      </c>
      <c r="S300" t="n">
        <f t="shared" si="52"/>
        <v>1936243.0346562648</v>
      </c>
      <c r="T300" t="n">
        <f t="shared" si="53"/>
        <v>6296140.6381775904</v>
      </c>
      <c r="U300" t="n">
        <f t="shared" si="54"/>
        <v>0</v>
      </c>
      <c r="V300" t="n">
        <f t="shared" si="55"/>
        <v>8232383.672833846</v>
      </c>
      <c r="W300" t="n">
        <f t="shared" si="48"/>
        <v>1900.8315775563767</v>
      </c>
      <c r="X300" t="n">
        <f t="shared" si="49"/>
        <v>49602431.060462028</v>
      </c>
      <c r="Y300" t="n">
        <f t="shared" si="50"/>
        <v>0.70137988019297326</v>
      </c>
      <c r="Z300" t="n">
        <f t="shared" si="51"/>
        <v>34790147.154467076</v>
      </c>
    </row>
    <row r="301">
      <c r="B301" s="52" t="n">
        <v>2033</v>
      </c>
      <c r="C301" t="str">
        <f>tbl_detail_2022!C301</f>
        <v>compressors</v>
      </c>
      <c r="D301" t="str">
        <f>tbl_detail_2022!D301</f>
        <v>Dry Seal Centrifugal Compr</v>
      </c>
      <c r="E301" t="str">
        <f>tbl_detail_2022!E301</f>
        <v>G&amp;B DS Centrifugal Comp</v>
      </c>
      <c r="F301" t="n">
        <f>tbl_detail_2022!F301</f>
        <v>607.11811351787605</v>
      </c>
      <c r="G301" t="n">
        <f>tbl_detail_2022!G301</f>
        <v>-9790.5909492401006</v>
      </c>
      <c r="H301" t="n">
        <f>tbl_detail_2022!H301</f>
        <v>-2721.5366130027401</v>
      </c>
      <c r="I301" t="n">
        <f>tbl_detail_2022!I301</f>
        <v>-102.53203013832</v>
      </c>
      <c r="J301" t="n">
        <f>tbl_detail_2022!J301</f>
        <v>-222046.86761831801</v>
      </c>
      <c r="K301" t="n">
        <f>tbl_detail_2022!K301</f>
        <v>9106771.7027681395</v>
      </c>
      <c r="L301" t="n">
        <f>tbl_detail_2022!L301</f>
        <v>1831505.5050169299</v>
      </c>
      <c r="M301" t="n">
        <f>tbl_detail_2022!M301</f>
        <v>7275266.1977511998</v>
      </c>
      <c r="N301" t="n">
        <f>tbl_detail_2022!N301</f>
        <v>0</v>
      </c>
      <c r="O301" t="n">
        <f>tbl_detail_2022!O301</f>
        <v>9106771.7027681395</v>
      </c>
      <c r="P301" t="n">
        <f t="shared" si="45"/>
        <v>12</v>
      </c>
      <c r="Q301" t="n">
        <f t="shared" si="46"/>
        <v>0.44401195924073528</v>
      </c>
      <c r="R301" t="n">
        <f t="shared" si="47"/>
        <v>4043515.5461041685</v>
      </c>
      <c r="S301" t="n">
        <f t="shared" si="52"/>
        <v>813210.34764275933</v>
      </c>
      <c r="T301" t="n">
        <f t="shared" si="53"/>
        <v>3230305.198461405</v>
      </c>
      <c r="U301" t="n">
        <f t="shared" si="54"/>
        <v>0</v>
      </c>
      <c r="V301" t="n">
        <f t="shared" si="55"/>
        <v>4043515.5461041685</v>
      </c>
      <c r="W301" t="n">
        <f t="shared" si="48"/>
        <v>1900.8315775563767</v>
      </c>
      <c r="X301" t="n">
        <f t="shared" si="49"/>
        <v>18610264.439253245</v>
      </c>
      <c r="Y301" t="n">
        <f t="shared" si="50"/>
        <v>0.70137988019297326</v>
      </c>
      <c r="Z301" t="n">
        <f t="shared" si="51"/>
        <v>13052865.042762991</v>
      </c>
    </row>
    <row r="302">
      <c r="B302" s="52" t="n">
        <v>2033</v>
      </c>
      <c r="C302" t="str">
        <f>tbl_detail_2022!C302</f>
        <v>compressors</v>
      </c>
      <c r="D302" t="str">
        <f>tbl_detail_2022!D302</f>
        <v>Dry Seal Centrifugal Compr</v>
      </c>
      <c r="E302" t="str">
        <f>tbl_detail_2022!E302</f>
        <v>Proc DS Centrifugal Comp</v>
      </c>
      <c r="F302" t="n">
        <f>tbl_detail_2022!F302</f>
        <v>430.48419158398201</v>
      </c>
      <c r="G302" t="n">
        <f>tbl_detail_2022!G302</f>
        <v>-3350.1602358575101</v>
      </c>
      <c r="H302" t="n">
        <f>tbl_detail_2022!H302</f>
        <v>-931.25979714429297</v>
      </c>
      <c r="I302" t="n">
        <f>tbl_detail_2022!I302</f>
        <v>-258.86666568808198</v>
      </c>
      <c r="J302" t="n">
        <f>tbl_detail_2022!J302</f>
        <v>-75980.356063118306</v>
      </c>
      <c r="K302" t="n">
        <f>tbl_detail_2022!K302</f>
        <v>6457262.8737597298</v>
      </c>
      <c r="L302" t="n">
        <f>tbl_detail_2022!L302</f>
        <v>597173.02198745904</v>
      </c>
      <c r="M302" t="n">
        <f>tbl_detail_2022!M302</f>
        <v>5860089.8517722702</v>
      </c>
      <c r="N302" t="n">
        <f>tbl_detail_2022!N302</f>
        <v>0</v>
      </c>
      <c r="O302" t="n">
        <f>tbl_detail_2022!O302</f>
        <v>6457262.8737597298</v>
      </c>
      <c r="P302" t="n">
        <f t="shared" si="45"/>
        <v>12</v>
      </c>
      <c r="Q302" t="n">
        <f t="shared" si="46"/>
        <v>0.44401195924073528</v>
      </c>
      <c r="R302" t="n">
        <f t="shared" si="47"/>
        <v>2867101.9399105185</v>
      </c>
      <c r="S302" t="n">
        <f t="shared" si="52"/>
        <v>265151.9634983624</v>
      </c>
      <c r="T302" t="n">
        <f t="shared" si="53"/>
        <v>2601949.9764121557</v>
      </c>
      <c r="U302" t="n">
        <f t="shared" si="54"/>
        <v>0</v>
      </c>
      <c r="V302" t="n">
        <f t="shared" si="55"/>
        <v>2867101.9399105185</v>
      </c>
      <c r="W302" t="n">
        <f t="shared" si="48"/>
        <v>1900.8315775563767</v>
      </c>
      <c r="X302" t="n">
        <f t="shared" si="49"/>
        <v>6368090.366191674</v>
      </c>
      <c r="Y302" t="n">
        <f t="shared" si="50"/>
        <v>0.70137988019297326</v>
      </c>
      <c r="Z302" t="n">
        <f t="shared" si="51"/>
        <v>4466450.4580975436</v>
      </c>
    </row>
    <row r="303">
      <c r="B303" s="52" t="n">
        <v>2033</v>
      </c>
      <c r="C303" t="str">
        <f>tbl_detail_2022!C303</f>
        <v>compressors</v>
      </c>
      <c r="D303" t="str">
        <f>tbl_detail_2022!D303</f>
        <v>Dry Seal Centrifugal Compr</v>
      </c>
      <c r="E303" t="str">
        <f>tbl_detail_2022!E303</f>
        <v>T&amp;S DS Centrifugal Comp</v>
      </c>
      <c r="F303" t="n">
        <f>tbl_detail_2022!F303</f>
        <v>3328.8328768047099</v>
      </c>
      <c r="G303" t="n">
        <f>tbl_detail_2022!G303</f>
        <v>-60092.621953931397</v>
      </c>
      <c r="H303" t="n">
        <f>tbl_detail_2022!H303</f>
        <v>-1663.04461133005</v>
      </c>
      <c r="I303" t="n">
        <f>tbl_detail_2022!I303</f>
        <v>-46.0242420674236</v>
      </c>
      <c r="J303" t="n">
        <f>tbl_detail_2022!J303</f>
        <v>-1362877.7405798901</v>
      </c>
      <c r="K303" t="n">
        <f>tbl_detail_2022!K303</f>
        <v>49932493.152070701</v>
      </c>
      <c r="L303" t="n">
        <f>tbl_detail_2022!L303</f>
        <v>10042157.5364011</v>
      </c>
      <c r="M303" t="n">
        <f>tbl_detail_2022!M303</f>
        <v>39890335.615669496</v>
      </c>
      <c r="N303" t="n">
        <f>tbl_detail_2022!N303</f>
        <v>0</v>
      </c>
      <c r="O303" t="n">
        <f>tbl_detail_2022!O303</f>
        <v>49932493.152070701</v>
      </c>
      <c r="P303" t="n">
        <f t="shared" si="45"/>
        <v>12</v>
      </c>
      <c r="Q303" t="n">
        <f t="shared" si="46"/>
        <v>0.44401195924073528</v>
      </c>
      <c r="R303" t="n">
        <f t="shared" si="47"/>
        <v>22170624.114225511</v>
      </c>
      <c r="S303" t="n">
        <f t="shared" si="52"/>
        <v>4458838.0427415678</v>
      </c>
      <c r="T303" t="n">
        <f t="shared" si="53"/>
        <v>17711786.071483895</v>
      </c>
      <c r="U303" t="n">
        <f t="shared" si="54"/>
        <v>0</v>
      </c>
      <c r="V303" t="n">
        <f t="shared" si="55"/>
        <v>22170624.114225511</v>
      </c>
      <c r="W303" t="n">
        <f t="shared" si="48"/>
        <v>1900.8315775563767</v>
      </c>
      <c r="X303" t="n">
        <f t="shared" si="49"/>
        <v>114225953.38819037</v>
      </c>
      <c r="Y303" t="n">
        <f t="shared" si="50"/>
        <v>0.70137988019297326</v>
      </c>
      <c r="Z303" t="n">
        <f t="shared" si="51"/>
        <v>80115785.502337113</v>
      </c>
    </row>
    <row r="304">
      <c r="B304" s="52" t="n">
        <v>2033</v>
      </c>
      <c r="C304" t="str">
        <f>tbl_detail_2022!C304</f>
        <v>liquids_unloading</v>
      </c>
      <c r="D304" t="n">
        <f>tbl_detail_2022!D304</f>
        <v>0</v>
      </c>
      <c r="E304" t="n">
        <f>tbl_detail_2022!E304</f>
        <v>0</v>
      </c>
      <c r="F304" t="n">
        <f>tbl_detail_2022!F304</f>
        <v>246718.748413327</v>
      </c>
      <c r="G304" t="n">
        <f>tbl_detail_2022!G304</f>
        <v>-24417.110322860699</v>
      </c>
      <c r="H304" t="n">
        <f>tbl_detail_2022!H304</f>
        <v>-6787.3389943382499</v>
      </c>
      <c r="I304" t="n">
        <f>tbl_detail_2022!I304</f>
        <v>-255.708353509402</v>
      </c>
      <c r="J304" t="n">
        <f>tbl_detail_2022!J304</f>
        <v>-553770.74699489295</v>
      </c>
      <c r="K304" t="n">
        <f>tbl_detail_2022!K304</f>
        <v>16036718.6468662</v>
      </c>
      <c r="L304" t="n">
        <f>tbl_detail_2022!L304</f>
        <v>4567658.0918127503</v>
      </c>
      <c r="M304" t="n">
        <f>tbl_detail_2022!M304</f>
        <v>11469060.5550535</v>
      </c>
      <c r="N304" t="n">
        <f>tbl_detail_2022!N304</f>
        <v>0</v>
      </c>
      <c r="O304" t="n">
        <f>tbl_detail_2022!O304</f>
        <v>16036718.6468662</v>
      </c>
      <c r="P304" t="n">
        <f t="shared" si="45"/>
        <v>12</v>
      </c>
      <c r="Q304" t="n">
        <f t="shared" si="46"/>
        <v>0.44401195924073528</v>
      </c>
      <c r="R304" t="n">
        <f t="shared" si="47"/>
        <v>7120494.8661874952</v>
      </c>
      <c r="S304" t="n">
        <f t="shared" si="52"/>
        <v>2028094.8184875776</v>
      </c>
      <c r="T304" t="n">
        <f t="shared" si="53"/>
        <v>5092400.0476999395</v>
      </c>
      <c r="U304" t="n">
        <f t="shared" si="54"/>
        <v>0</v>
      </c>
      <c r="V304" t="n">
        <f t="shared" si="55"/>
        <v>7120494.8661874952</v>
      </c>
      <c r="W304" t="n">
        <f t="shared" si="48"/>
        <v>1900.8315775563767</v>
      </c>
      <c r="X304" t="n">
        <f t="shared" si="49"/>
        <v>46412814.334371395</v>
      </c>
      <c r="Y304" t="n">
        <f t="shared" si="50"/>
        <v>0.70137988019297326</v>
      </c>
      <c r="Z304" t="n">
        <f t="shared" si="51"/>
        <v>32553014.15726012</v>
      </c>
    </row>
    <row r="305">
      <c r="B305" s="52" t="n">
        <v>2033</v>
      </c>
      <c r="C305" t="str">
        <f>tbl_detail_2022!C305</f>
        <v>pneucontr</v>
      </c>
      <c r="D305" t="str">
        <f>tbl_detail_2022!D305</f>
        <v>G&amp;B Pneumatic Controllers</v>
      </c>
      <c r="E305" t="n">
        <f>tbl_detail_2022!E305</f>
        <v>0</v>
      </c>
      <c r="F305" t="n">
        <f>tbl_detail_2022!F305</f>
        <v>6579.95604178958</v>
      </c>
      <c r="G305" t="n">
        <f>tbl_detail_2022!G305</f>
        <v>-357155.84882080602</v>
      </c>
      <c r="H305" t="n">
        <f>tbl_detail_2022!H305</f>
        <v>-99280.291000676298</v>
      </c>
      <c r="I305" t="n">
        <f>tbl_detail_2022!I305</f>
        <v>-3739.8885619954799</v>
      </c>
      <c r="J305" t="n">
        <f>tbl_detail_2022!J305</f>
        <v>-8100158.3962995401</v>
      </c>
      <c r="K305" t="n">
        <f>tbl_detail_2022!K305</f>
        <v>73279637.076392293</v>
      </c>
      <c r="L305" t="n">
        <f>tbl_detail_2022!L305</f>
        <v>66812402.505190097</v>
      </c>
      <c r="M305" t="n">
        <f>tbl_detail_2022!M305</f>
        <v>6467234.5712022297</v>
      </c>
      <c r="N305" t="n">
        <f>tbl_detail_2022!N305</f>
        <v>22131398.3944191</v>
      </c>
      <c r="O305" t="n">
        <f>tbl_detail_2022!O305</f>
        <v>-14644872.6265816</v>
      </c>
      <c r="P305" t="n">
        <f t="shared" si="45"/>
        <v>12</v>
      </c>
      <c r="Q305" t="n">
        <f t="shared" si="46"/>
        <v>0.44401195924073528</v>
      </c>
      <c r="R305" t="n">
        <f t="shared" si="47"/>
        <v>32537035.230738968</v>
      </c>
      <c r="S305" t="n">
        <f t="shared" si="52"/>
        <v>29665505.737910066</v>
      </c>
      <c r="T305" t="n">
        <f t="shared" si="53"/>
        <v>2871529.4928289186</v>
      </c>
      <c r="U305" t="n">
        <f t="shared" si="54"/>
        <v>9826605.5618432872</v>
      </c>
      <c r="V305" t="n">
        <f t="shared" si="55"/>
        <v>-6502498.5877595088</v>
      </c>
      <c r="W305" t="n">
        <f t="shared" si="48"/>
        <v>1900.8315775563767</v>
      </c>
      <c r="X305" t="n">
        <f t="shared" si="49"/>
        <v>678893115.54753947</v>
      </c>
      <c r="Y305" t="n">
        <f t="shared" si="50"/>
        <v>0.70137988019297326</v>
      </c>
      <c r="Z305" t="n">
        <f t="shared" si="51"/>
        <v>476161972.04656756</v>
      </c>
    </row>
    <row r="306">
      <c r="B306" s="52" t="n">
        <v>2033</v>
      </c>
      <c r="C306" t="str">
        <f>tbl_detail_2022!C306</f>
        <v>pneucontr</v>
      </c>
      <c r="D306" t="str">
        <f>tbl_detail_2022!D306</f>
        <v>T&amp;S Pneumatic Controllers</v>
      </c>
      <c r="E306" t="n">
        <f>tbl_detail_2022!E306</f>
        <v>0</v>
      </c>
      <c r="F306" t="n">
        <f>tbl_detail_2022!F306</f>
        <v>63347.942438513899</v>
      </c>
      <c r="G306" t="n">
        <f>tbl_detail_2022!G306</f>
        <v>-76543.515462968498</v>
      </c>
      <c r="H306" t="n">
        <f>tbl_detail_2022!H306</f>
        <v>-2118.3179695593199</v>
      </c>
      <c r="I306" t="n">
        <f>tbl_detail_2022!I306</f>
        <v>-62.917633913209897</v>
      </c>
      <c r="J306" t="n">
        <f>tbl_detail_2022!J306</f>
        <v>-1735977.7293489799</v>
      </c>
      <c r="K306" t="n">
        <f>tbl_detail_2022!K306</f>
        <v>18672149.970772699</v>
      </c>
      <c r="L306" t="n">
        <f>tbl_detail_2022!L306</f>
        <v>12791288.1095181</v>
      </c>
      <c r="M306" t="n">
        <f>tbl_detail_2022!M306</f>
        <v>5880861.8612546604</v>
      </c>
      <c r="N306" t="n">
        <f>tbl_detail_2022!N306</f>
        <v>7297754.6711309701</v>
      </c>
      <c r="O306" t="n">
        <f>tbl_detail_2022!O306</f>
        <v>-16852026.411078501</v>
      </c>
      <c r="P306" t="n">
        <f t="shared" si="45"/>
        <v>12</v>
      </c>
      <c r="Q306" t="n">
        <f t="shared" si="46"/>
        <v>0.44401195924073528</v>
      </c>
      <c r="R306" t="n">
        <f t="shared" si="47"/>
        <v>8290657.8917596238</v>
      </c>
      <c r="S306" t="n">
        <f t="shared" si="52"/>
        <v>5679484.8947198521</v>
      </c>
      <c r="T306" t="n">
        <f t="shared" si="53"/>
        <v>2611172.9970397986</v>
      </c>
      <c r="U306" t="n">
        <f t="shared" si="54"/>
        <v>3240290.3495870898</v>
      </c>
      <c r="V306" t="n">
        <f t="shared" si="55"/>
        <v>-7482501.263959582</v>
      </c>
      <c r="W306" t="n">
        <f t="shared" si="48"/>
        <v>1900.8315775563767</v>
      </c>
      <c r="X306" t="n">
        <f t="shared" si="49"/>
        <v>145496331.24918532</v>
      </c>
      <c r="Y306" t="n">
        <f t="shared" si="50"/>
        <v>0.70137988019297326</v>
      </c>
      <c r="Z306" t="n">
        <f t="shared" si="51"/>
        <v>102048199.38007076</v>
      </c>
    </row>
    <row r="307">
      <c r="B307" s="52" t="n">
        <v>2033</v>
      </c>
      <c r="C307" t="str">
        <f>tbl_detail_2022!C307</f>
        <v>pneucontr</v>
      </c>
      <c r="D307" t="str">
        <f>tbl_detail_2022!D307</f>
        <v>Well Pad Pneumatic Controllers</v>
      </c>
      <c r="E307" t="n">
        <f>tbl_detail_2022!E307</f>
        <v>0</v>
      </c>
      <c r="F307" t="n">
        <f>tbl_detail_2022!F307</f>
        <v>1321073.56836405</v>
      </c>
      <c r="G307" t="n">
        <f>tbl_detail_2022!G307</f>
        <v>-1708191.5840984599</v>
      </c>
      <c r="H307" t="n">
        <f>tbl_detail_2022!H307</f>
        <v>-474834.04825687001</v>
      </c>
      <c r="I307" t="n">
        <f>tbl_detail_2022!I307</f>
        <v>-17886.9985978363</v>
      </c>
      <c r="J307" t="n">
        <f>tbl_detail_2022!J307</f>
        <v>-38741133.452263802</v>
      </c>
      <c r="K307" t="n">
        <f>tbl_detail_2022!K307</f>
        <v>773904763.00686705</v>
      </c>
      <c r="L307" t="n">
        <f>tbl_detail_2022!L307</f>
        <v>319547850.18801701</v>
      </c>
      <c r="M307" t="n">
        <f>tbl_detail_2022!M307</f>
        <v>454356912.81884998</v>
      </c>
      <c r="N307" t="n">
        <f>tbl_detail_2022!N307</f>
        <v>162222892.707342</v>
      </c>
      <c r="O307" t="n">
        <f>tbl_detail_2022!O307</f>
        <v>-79264414.101843297</v>
      </c>
      <c r="P307" t="n">
        <f t="shared" si="45"/>
        <v>12</v>
      </c>
      <c r="Q307" t="n">
        <f t="shared" si="46"/>
        <v>0.44401195924073528</v>
      </c>
      <c r="R307" t="n">
        <f t="shared" si="47"/>
        <v>343622970.08841592</v>
      </c>
      <c r="S307" t="n">
        <f t="shared" si="52"/>
        <v>141883067.03314638</v>
      </c>
      <c r="T307" t="n">
        <f t="shared" si="53"/>
        <v>201739903.05526954</v>
      </c>
      <c r="U307" t="n">
        <f t="shared" si="54"/>
        <v>72028904.424686506</v>
      </c>
      <c r="V307" t="n">
        <f t="shared" si="55"/>
        <v>-35194347.803428411</v>
      </c>
      <c r="W307" t="n">
        <f t="shared" si="48"/>
        <v>1900.8315775563767</v>
      </c>
      <c r="X307" t="n">
        <f t="shared" si="49"/>
        <v>3246984503.5704017</v>
      </c>
      <c r="Y307" t="n">
        <f t="shared" si="50"/>
        <v>0.70137988019297326</v>
      </c>
      <c r="Z307" t="n">
        <f t="shared" si="51"/>
        <v>2277369602.1026492</v>
      </c>
    </row>
    <row r="308">
      <c r="B308" s="52" t="n">
        <v>2033</v>
      </c>
      <c r="C308" t="str">
        <f>tbl_detail_2022!C308</f>
        <v>pumps</v>
      </c>
      <c r="D308" t="str">
        <f>tbl_detail_2022!D308</f>
        <v>G&amp;B Pneumatic Pumps</v>
      </c>
      <c r="E308" t="n">
        <f>tbl_detail_2022!E308</f>
        <v>0</v>
      </c>
      <c r="F308" t="n">
        <f>tbl_detail_2022!F308</f>
        <v>704.82459505731595</v>
      </c>
      <c r="G308" t="n">
        <f>tbl_detail_2022!G308</f>
        <v>-49071.572650962204</v>
      </c>
      <c r="H308" t="n">
        <f>tbl_detail_2022!H308</f>
        <v>-13640.655833394099</v>
      </c>
      <c r="I308" t="n">
        <f>tbl_detail_2022!I308</f>
        <v>-513.843505243957</v>
      </c>
      <c r="J308" t="n">
        <f>tbl_detail_2022!J308</f>
        <v>-1112924.5469188599</v>
      </c>
      <c r="K308" t="n">
        <f>tbl_detail_2022!K308</f>
        <v>26634911.038555499</v>
      </c>
      <c r="L308" t="n">
        <f>tbl_detail_2022!L308</f>
        <v>9179717.1300524306</v>
      </c>
      <c r="M308" t="n">
        <f>tbl_detail_2022!M308</f>
        <v>17455193.908503</v>
      </c>
      <c r="N308" t="n">
        <f>tbl_detail_2022!N308</f>
        <v>7325752.0864143996</v>
      </c>
      <c r="O308" t="n">
        <f>tbl_detail_2022!O308</f>
        <v>-1568713.5830605</v>
      </c>
      <c r="P308" t="n">
        <f t="shared" si="45"/>
        <v>12</v>
      </c>
      <c r="Q308" t="n">
        <f t="shared" si="46"/>
        <v>0.44401195924073528</v>
      </c>
      <c r="R308" t="n">
        <f t="shared" si="47"/>
        <v>11826219.034431715</v>
      </c>
      <c r="S308" t="n">
        <f t="shared" si="52"/>
        <v>4075904.1881903191</v>
      </c>
      <c r="T308" t="n">
        <f t="shared" si="53"/>
        <v>7750314.8462413643</v>
      </c>
      <c r="U308" t="n">
        <f t="shared" si="54"/>
        <v>3252721.5368007617</v>
      </c>
      <c r="V308" t="n">
        <f t="shared" si="55"/>
        <v>-696527.59150224656</v>
      </c>
      <c r="W308" t="n">
        <f t="shared" si="48"/>
        <v>1900.8315775563767</v>
      </c>
      <c r="X308" t="n">
        <f t="shared" si="49"/>
        <v>93276794.855300844</v>
      </c>
      <c r="Y308" t="n">
        <f t="shared" si="50"/>
        <v>0.70137988019297326</v>
      </c>
      <c r="Z308" t="n">
        <f t="shared" si="51"/>
        <v>65422467.20039545</v>
      </c>
    </row>
    <row r="309">
      <c r="B309" s="52" t="n">
        <v>2033</v>
      </c>
      <c r="C309" t="str">
        <f>tbl_detail_2022!C309</f>
        <v>pumps</v>
      </c>
      <c r="D309" t="str">
        <f>tbl_detail_2022!D309</f>
        <v>Well Pad Pumps</v>
      </c>
      <c r="E309" t="n">
        <f>tbl_detail_2022!E309</f>
        <v>0</v>
      </c>
      <c r="F309" t="n">
        <f>tbl_detail_2022!F309</f>
        <v>96516.498228566605</v>
      </c>
      <c r="G309" t="n">
        <f>tbl_detail_2022!G309</f>
        <v>-161838.07662289499</v>
      </c>
      <c r="H309" t="n">
        <f>tbl_detail_2022!H309</f>
        <v>-44986.891283340497</v>
      </c>
      <c r="I309" t="n">
        <f>tbl_detail_2022!I309</f>
        <v>-1694.6561946434399</v>
      </c>
      <c r="J309" t="n">
        <f>tbl_detail_2022!J309</f>
        <v>-3670425.8365810299</v>
      </c>
      <c r="K309" t="n">
        <f>tbl_detail_2022!K309</f>
        <v>119206654.051476</v>
      </c>
      <c r="L309" t="n">
        <f>tbl_detail_2022!L309</f>
        <v>30274712.710696001</v>
      </c>
      <c r="M309" t="n">
        <f>tbl_detail_2022!M309</f>
        <v>88931941.340780303</v>
      </c>
      <c r="N309" t="n">
        <f>tbl_detail_2022!N309</f>
        <v>19599602.527150799</v>
      </c>
      <c r="O309" t="n">
        <f>tbl_detail_2022!O309</f>
        <v>-5790989.8937139902</v>
      </c>
      <c r="P309" t="n">
        <f t="shared" si="45"/>
        <v>12</v>
      </c>
      <c r="Q309" t="n">
        <f t="shared" si="46"/>
        <v>0.44401195924073528</v>
      </c>
      <c r="R309" t="n">
        <f t="shared" si="47"/>
        <v>52929180.019928396</v>
      </c>
      <c r="S309" t="n">
        <f t="shared" si="52"/>
        <v>13442334.506126523</v>
      </c>
      <c r="T309" t="n">
        <f t="shared" si="53"/>
        <v>39486845.513802007</v>
      </c>
      <c r="U309" t="n">
        <f t="shared" si="54"/>
        <v>8702457.918419892</v>
      </c>
      <c r="V309" t="n">
        <f t="shared" si="55"/>
        <v>-2571268.7686512461</v>
      </c>
      <c r="W309" t="n">
        <f t="shared" si="48"/>
        <v>1900.8315775563767</v>
      </c>
      <c r="X309" t="n">
        <f t="shared" si="49"/>
        <v>307626926.49578726</v>
      </c>
      <c r="Y309" t="n">
        <f t="shared" si="50"/>
        <v>0.70137988019297326</v>
      </c>
      <c r="Z309" t="n">
        <f t="shared" si="51"/>
        <v>215763336.84974787</v>
      </c>
    </row>
    <row r="310">
      <c r="B310" s="52" t="n">
        <v>2033</v>
      </c>
      <c r="C310" t="str">
        <f>tbl_detail_2022!C310</f>
        <v>Storage vessels</v>
      </c>
      <c r="D310" t="n">
        <f>tbl_detail_2022!D310</f>
        <v>0</v>
      </c>
      <c r="E310" t="n">
        <f>tbl_detail_2022!E310</f>
        <v>0</v>
      </c>
      <c r="F310" t="n">
        <f>tbl_detail_2022!F310</f>
        <v>14544.4336807982</v>
      </c>
      <c r="G310" t="n">
        <f>tbl_detail_2022!G310</f>
        <v>-16655.209375544098</v>
      </c>
      <c r="H310" t="n">
        <f>tbl_detail_2022!H310</f>
        <v>-79357.218461206707</v>
      </c>
      <c r="I310" t="n">
        <f>tbl_detail_2022!I310</f>
        <v>-2989.3864194336602</v>
      </c>
      <c r="J310" t="n">
        <f>tbl_detail_2022!J310</f>
        <v>-377733.79467496299</v>
      </c>
      <c r="K310" t="n">
        <f>tbl_detail_2022!K310</f>
        <v>450622889.19526798</v>
      </c>
      <c r="L310" t="n">
        <f>tbl_detail_2022!L310</f>
        <v>0</v>
      </c>
      <c r="M310" t="n">
        <f>tbl_detail_2022!M310</f>
        <v>450622889.19526798</v>
      </c>
      <c r="N310" t="n">
        <f>tbl_detail_2022!N310</f>
        <v>105520015.764301</v>
      </c>
      <c r="O310" t="n">
        <f>tbl_detail_2022!O310</f>
        <v>332194865.26943099</v>
      </c>
      <c r="P310" t="n">
        <f t="shared" si="45"/>
        <v>12</v>
      </c>
      <c r="Q310" t="n">
        <f t="shared" si="46"/>
        <v>0.44401195924073528</v>
      </c>
      <c r="R310" t="n">
        <f t="shared" si="47"/>
        <v>200081951.9103117</v>
      </c>
      <c r="S310" t="n">
        <f t="shared" si="52"/>
        <v>0</v>
      </c>
      <c r="T310" t="n">
        <f t="shared" si="53"/>
        <v>200081951.9103117</v>
      </c>
      <c r="U310" t="n">
        <f t="shared" si="54"/>
        <v>46852148.93862056</v>
      </c>
      <c r="V310" t="n">
        <f t="shared" si="55"/>
        <v>147498492.97799215</v>
      </c>
      <c r="W310" t="n">
        <f t="shared" si="48"/>
        <v>1900.8315775563767</v>
      </c>
      <c r="X310" t="n">
        <f t="shared" si="49"/>
        <v>31658747.911847245</v>
      </c>
      <c r="Y310" t="n">
        <f t="shared" si="50"/>
        <v>0.70137988019297326</v>
      </c>
      <c r="Z310" t="n">
        <f t="shared" si="51"/>
        <v>22204808.817470964</v>
      </c>
    </row>
    <row r="311">
      <c r="B311" s="52" t="n">
        <v>2034</v>
      </c>
      <c r="C311" t="str">
        <f>tbl_detail_2022!C311</f>
        <v>fugitives</v>
      </c>
      <c r="D311" t="str">
        <f>tbl_detail_2022!D311</f>
        <v>G&amp;B Stations</v>
      </c>
      <c r="E311" t="n">
        <f>tbl_detail_2022!E311</f>
        <v>0</v>
      </c>
      <c r="F311" t="n">
        <f>tbl_detail_2022!F311</f>
        <v>4931.6413793364</v>
      </c>
      <c r="G311" t="n">
        <f>tbl_detail_2022!G311</f>
        <v>-65618.572167883103</v>
      </c>
      <c r="H311" t="n">
        <f>tbl_detail_2022!H311</f>
        <v>-18240.303120999801</v>
      </c>
      <c r="I311" t="n">
        <f>tbl_detail_2022!I311</f>
        <v>-687.19094220488603</v>
      </c>
      <c r="J311" t="n">
        <f>tbl_detail_2022!J311</f>
        <v>-1488204.1832823099</v>
      </c>
      <c r="K311" t="n">
        <f>tbl_detail_2022!K311</f>
        <v>65813505.396744102</v>
      </c>
      <c r="L311" t="n">
        <f>tbl_detail_2022!L311</f>
        <v>12255965.328376399</v>
      </c>
      <c r="M311" t="n">
        <f>tbl_detail_2022!M311</f>
        <v>53557540.068367697</v>
      </c>
      <c r="N311" t="n">
        <f>tbl_detail_2022!N311</f>
        <v>15223976.938011499</v>
      </c>
      <c r="O311" t="n">
        <f>tbl_detail_2022!O311</f>
        <v>63430771.421024799</v>
      </c>
      <c r="P311" t="n">
        <f t="shared" si="45"/>
        <v>13</v>
      </c>
      <c r="Q311" t="n">
        <f t="shared" si="46"/>
        <v>0.41496444788853759</v>
      </c>
      <c r="R311" t="n">
        <f t="shared" si="47"/>
        <v>27310264.930569205</v>
      </c>
      <c r="S311" t="n">
        <f t="shared" si="52"/>
        <v>5085789.8858307721</v>
      </c>
      <c r="T311" t="n">
        <f t="shared" si="53"/>
        <v>22224475.044738431</v>
      </c>
      <c r="U311" t="n">
        <f t="shared" si="54"/>
        <v>6317409.1847497709</v>
      </c>
      <c r="V311" t="n">
        <f t="shared" si="55"/>
        <v>26321515.041869584</v>
      </c>
      <c r="W311" t="n">
        <f t="shared" si="48"/>
        <v>1950.4675473681098</v>
      </c>
      <c r="X311" t="n">
        <f t="shared" si="49"/>
        <v>127986895.51808827</v>
      </c>
      <c r="Y311" t="n">
        <f t="shared" si="50"/>
        <v>0.68095133999317792</v>
      </c>
      <c r="Z311" t="n">
        <f t="shared" si="51"/>
        <v>87152848.004609063</v>
      </c>
    </row>
    <row r="312">
      <c r="B312" s="52" t="n">
        <v>2034</v>
      </c>
      <c r="C312" t="str">
        <f>tbl_detail_2022!C312</f>
        <v>fugitives</v>
      </c>
      <c r="D312" t="str">
        <f>tbl_detail_2022!D312</f>
        <v>Processing Plants</v>
      </c>
      <c r="E312" t="str">
        <f>tbl_detail_2022!E312</f>
        <v>Large Plants</v>
      </c>
      <c r="F312" t="n">
        <f>tbl_detail_2022!F312</f>
        <v>232.20474349040899</v>
      </c>
      <c r="G312" t="n">
        <f>tbl_detail_2022!G312</f>
        <v>-5374.9891019950701</v>
      </c>
      <c r="H312" t="n">
        <f>tbl_detail_2022!H312</f>
        <v>-628.96620220978605</v>
      </c>
      <c r="I312" t="n">
        <f>tbl_detail_2022!I312</f>
        <v>-22.957949291063098</v>
      </c>
      <c r="J312" t="n">
        <f>tbl_detail_2022!J312</f>
        <v>-121902.702274906</v>
      </c>
      <c r="K312" t="n">
        <f>tbl_detail_2022!K312</f>
        <v>1069151.4457858901</v>
      </c>
      <c r="L312" t="n">
        <f>tbl_detail_2022!L312</f>
        <v>956607.13008780603</v>
      </c>
      <c r="M312" t="n">
        <f>tbl_detail_2022!M312</f>
        <v>112544.315698085</v>
      </c>
      <c r="N312" t="n">
        <f>tbl_detail_2022!N312</f>
        <v>-85336.365655655405</v>
      </c>
      <c r="O312" t="n">
        <f>tbl_detail_2022!O312</f>
        <v>1756218.38882259</v>
      </c>
      <c r="P312" t="n">
        <f t="shared" si="45"/>
        <v>13</v>
      </c>
      <c r="Q312" t="n">
        <f t="shared" si="46"/>
        <v>0.41496444788853759</v>
      </c>
      <c r="R312" t="n">
        <f t="shared" si="47"/>
        <v>443659.83940977359</v>
      </c>
      <c r="S312" t="n">
        <f t="shared" si="52"/>
        <v>396957.94958312489</v>
      </c>
      <c r="T312" t="n">
        <f t="shared" si="53"/>
        <v>46701.889826649116</v>
      </c>
      <c r="U312" t="n">
        <f t="shared" si="54"/>
        <v>-35411.557859113404</v>
      </c>
      <c r="V312" t="n">
        <f t="shared" si="55"/>
        <v>728768.1940894631</v>
      </c>
      <c r="W312" t="n">
        <f t="shared" si="48"/>
        <v>1950.4675473681098</v>
      </c>
      <c r="X312" t="n">
        <f t="shared" si="49"/>
        <v>10483741.810898643</v>
      </c>
      <c r="Y312" t="n">
        <f t="shared" si="50"/>
        <v>0.68095133999317792</v>
      </c>
      <c r="Z312" t="n">
        <f t="shared" si="51"/>
        <v>7138918.0342739364</v>
      </c>
    </row>
    <row r="313">
      <c r="B313" s="52" t="n">
        <v>2034</v>
      </c>
      <c r="C313" t="str">
        <f>tbl_detail_2022!C313</f>
        <v>fugitives</v>
      </c>
      <c r="D313" t="str">
        <f>tbl_detail_2022!D313</f>
        <v>Processing Plants</v>
      </c>
      <c r="E313" t="str">
        <f>tbl_detail_2022!E313</f>
        <v>Small Plants</v>
      </c>
      <c r="F313" t="n">
        <f>tbl_detail_2022!F313</f>
        <v>963.75243094691803</v>
      </c>
      <c r="G313" t="n">
        <f>tbl_detail_2022!G313</f>
        <v>-10714.597595494701</v>
      </c>
      <c r="H313" t="n">
        <f>tbl_detail_2022!H313</f>
        <v>-1263.7027628395799</v>
      </c>
      <c r="I313" t="n">
        <f>tbl_detail_2022!I313</f>
        <v>-46.1472612528177</v>
      </c>
      <c r="J313" t="n">
        <f>tbl_detail_2022!J313</f>
        <v>-243002.98584683699</v>
      </c>
      <c r="K313" t="n">
        <f>tbl_detail_2022!K313</f>
        <v>2776812.7678992599</v>
      </c>
      <c r="L313" t="n">
        <f>tbl_detail_2022!L313</f>
        <v>1906917.4395288499</v>
      </c>
      <c r="M313" t="n">
        <f>tbl_detail_2022!M313</f>
        <v>869895.32837041002</v>
      </c>
      <c r="N313" t="n">
        <f>tbl_detail_2022!N313</f>
        <v>-172913.93760315201</v>
      </c>
      <c r="O313" t="n">
        <f>tbl_detail_2022!O313</f>
        <v>4168991.2325508399</v>
      </c>
      <c r="P313" t="n">
        <f t="shared" si="45"/>
        <v>13</v>
      </c>
      <c r="Q313" t="n">
        <f t="shared" si="46"/>
        <v>0.41496444788853759</v>
      </c>
      <c r="R313" t="n">
        <f t="shared" si="47"/>
        <v>1152278.5771211584</v>
      </c>
      <c r="S313" t="n">
        <f t="shared" si="52"/>
        <v>791302.942463113</v>
      </c>
      <c r="T313" t="n">
        <f t="shared" si="53"/>
        <v>360975.63465804531</v>
      </c>
      <c r="U313" t="n">
        <f t="shared" si="54"/>
        <v>-71753.136649725013</v>
      </c>
      <c r="V313" t="n">
        <f t="shared" si="55"/>
        <v>1729983.1450676131</v>
      </c>
      <c r="W313" t="n">
        <f t="shared" si="48"/>
        <v>1950.4675473681098</v>
      </c>
      <c r="X313" t="n">
        <f t="shared" si="49"/>
        <v>20898474.893120795</v>
      </c>
      <c r="Y313" t="n">
        <f t="shared" si="50"/>
        <v>0.68095133999317792</v>
      </c>
      <c r="Z313" t="n">
        <f t="shared" si="51"/>
        <v>14230844.482284391</v>
      </c>
    </row>
    <row r="314">
      <c r="B314" s="52" t="n">
        <v>2034</v>
      </c>
      <c r="C314" t="str">
        <f>tbl_detail_2022!C314</f>
        <v>fugitives</v>
      </c>
      <c r="D314" t="str">
        <f>tbl_detail_2022!D314</f>
        <v>T&amp;S Compressor Stations</v>
      </c>
      <c r="E314" t="str">
        <f>tbl_detail_2022!E314</f>
        <v>Compressor Stations (Transmission)</v>
      </c>
      <c r="F314" t="n">
        <f>tbl_detail_2022!F314</f>
        <v>1519.3528814014801</v>
      </c>
      <c r="G314" t="n">
        <f>tbl_detail_2022!G314</f>
        <v>-49094.833739985399</v>
      </c>
      <c r="H314" t="n">
        <f>tbl_detail_2022!H314</f>
        <v>-1358.6842450978399</v>
      </c>
      <c r="I314" t="n">
        <f>tbl_detail_2022!I314</f>
        <v>-40.355224836475202</v>
      </c>
      <c r="J314" t="n">
        <f>tbl_detail_2022!J314</f>
        <v>-1113452.0995438001</v>
      </c>
      <c r="K314" t="n">
        <f>tbl_detail_2022!K314</f>
        <v>29882593.524236899</v>
      </c>
      <c r="L314" t="n">
        <f>tbl_detail_2022!L314</f>
        <v>8191493.5863625798</v>
      </c>
      <c r="M314" t="n">
        <f>tbl_detail_2022!M314</f>
        <v>21691099.937874399</v>
      </c>
      <c r="N314" t="n">
        <f>tbl_detail_2022!N314</f>
        <v>36286704.866511703</v>
      </c>
      <c r="O314" t="n">
        <f>tbl_detail_2022!O314</f>
        <v>24203291.4007257</v>
      </c>
      <c r="P314" t="n">
        <f t="shared" si="45"/>
        <v>13</v>
      </c>
      <c r="Q314" t="n">
        <f t="shared" si="46"/>
        <v>0.41496444788853759</v>
      </c>
      <c r="R314" t="n">
        <f t="shared" si="47"/>
        <v>12400213.923262553</v>
      </c>
      <c r="S314" t="n">
        <f t="shared" si="52"/>
        <v>3399178.6134474445</v>
      </c>
      <c r="T314" t="n">
        <f t="shared" si="53"/>
        <v>9001035.3098151423</v>
      </c>
      <c r="U314" t="n">
        <f t="shared" si="54"/>
        <v>15057692.450626338</v>
      </c>
      <c r="V314" t="n">
        <f t="shared" si="55"/>
        <v>10043505.453187529</v>
      </c>
      <c r="W314" t="n">
        <f t="shared" si="48"/>
        <v>1950.4675473681098</v>
      </c>
      <c r="X314" t="n">
        <f t="shared" si="49"/>
        <v>95757879.953274444</v>
      </c>
      <c r="Y314" t="n">
        <f t="shared" si="50"/>
        <v>0.68095133999317792</v>
      </c>
      <c r="Z314" t="n">
        <f t="shared" si="51"/>
        <v>65206456.669088103</v>
      </c>
    </row>
    <row r="315">
      <c r="B315" s="52" t="n">
        <v>2034</v>
      </c>
      <c r="C315" t="str">
        <f>tbl_detail_2022!C315</f>
        <v>fugitives</v>
      </c>
      <c r="D315" t="str">
        <f>tbl_detail_2022!D315</f>
        <v>T&amp;S Compressor Stations</v>
      </c>
      <c r="E315" t="str">
        <f>tbl_detail_2022!E315</f>
        <v>Compressor Stations (Storage)</v>
      </c>
      <c r="F315" t="n">
        <f>tbl_detail_2022!F315</f>
        <v>273.38789154753999</v>
      </c>
      <c r="G315" t="n">
        <f>tbl_detail_2022!G315</f>
        <v>-31152.819477518398</v>
      </c>
      <c r="H315" t="n">
        <f>tbl_detail_2022!H315</f>
        <v>-862.14458406462199</v>
      </c>
      <c r="I315" t="n">
        <f>tbl_detail_2022!I315</f>
        <v>-25.6071553468052</v>
      </c>
      <c r="J315" t="n">
        <f>tbl_detail_2022!J315</f>
        <v>-706534.06094948703</v>
      </c>
      <c r="K315" t="n">
        <f>tbl_detail_2022!K315</f>
        <v>6496782.8466969002</v>
      </c>
      <c r="L315" t="n">
        <f>tbl_detail_2022!L315</f>
        <v>5197860.9867327902</v>
      </c>
      <c r="M315" t="n">
        <f>tbl_detail_2022!M315</f>
        <v>1298921.8599640999</v>
      </c>
      <c r="N315" t="n">
        <f>tbl_detail_2022!N315</f>
        <v>6529323.0138298897</v>
      </c>
      <c r="O315" t="n">
        <f>tbl_detail_2022!O315</f>
        <v>5474865.9161310298</v>
      </c>
      <c r="P315" t="n">
        <f t="shared" si="45"/>
        <v>13</v>
      </c>
      <c r="Q315" t="n">
        <f t="shared" si="46"/>
        <v>0.41496444788853759</v>
      </c>
      <c r="R315" t="n">
        <f t="shared" si="47"/>
        <v>2695933.9070313009</v>
      </c>
      <c r="S315" t="n">
        <f t="shared" si="52"/>
        <v>2156927.5145609416</v>
      </c>
      <c r="T315" t="n">
        <f t="shared" si="53"/>
        <v>539006.39247035503</v>
      </c>
      <c r="U315" t="n">
        <f t="shared" si="54"/>
        <v>2709436.9195198426</v>
      </c>
      <c r="V315" t="n">
        <f t="shared" si="55"/>
        <v>2271874.7121510855</v>
      </c>
      <c r="W315" t="n">
        <f t="shared" si="48"/>
        <v>1950.4675473681098</v>
      </c>
      <c r="X315" t="n">
        <f t="shared" si="49"/>
        <v>60762563.39991679</v>
      </c>
      <c r="Y315" t="n">
        <f t="shared" si="50"/>
        <v>0.68095133999317792</v>
      </c>
      <c r="Z315" t="n">
        <f t="shared" si="51"/>
        <v>41376348.968593769</v>
      </c>
    </row>
    <row r="316">
      <c r="B316" s="52" t="n">
        <v>2034</v>
      </c>
      <c r="C316" t="str">
        <f>tbl_detail_2022!C316</f>
        <v>fugitives</v>
      </c>
      <c r="D316" t="str">
        <f>tbl_detail_2022!D316</f>
        <v>Wellpad Fugitives</v>
      </c>
      <c r="E316" t="str">
        <f>tbl_detail_2022!E316</f>
        <v>1: No equipment, no tanks</v>
      </c>
      <c r="F316" t="n">
        <f>tbl_detail_2022!F316</f>
        <v>169640.46273076101</v>
      </c>
      <c r="G316" t="n">
        <f>tbl_detail_2022!G316</f>
        <v>-38108.348213949503</v>
      </c>
      <c r="H316" t="n">
        <f>tbl_detail_2022!H316</f>
        <v>-10593.1567765932</v>
      </c>
      <c r="I316" t="n">
        <f>tbl_detail_2022!I316</f>
        <v>-399.04421577426501</v>
      </c>
      <c r="J316" t="n">
        <f>tbl_detail_2022!J316</f>
        <v>-864282.79915752995</v>
      </c>
      <c r="K316" t="n">
        <f>tbl_detail_2022!K316</f>
        <v>117841258.197153</v>
      </c>
      <c r="L316" t="n">
        <f>tbl_detail_2022!L316</f>
        <v>7117719.5571539402</v>
      </c>
      <c r="M316" t="n">
        <f>tbl_detail_2022!M316</f>
        <v>110723538.639999</v>
      </c>
      <c r="N316" t="n">
        <f>tbl_detail_2022!N316</f>
        <v>14500291.7368965</v>
      </c>
      <c r="O316" t="n">
        <f>tbl_detail_2022!O316</f>
        <v>115042648.214728</v>
      </c>
      <c r="P316" t="n">
        <f t="shared" si="45"/>
        <v>13</v>
      </c>
      <c r="Q316" t="n">
        <f t="shared" si="46"/>
        <v>0.41496444788853759</v>
      </c>
      <c r="R316" t="n">
        <f t="shared" si="47"/>
        <v>48899932.646272197</v>
      </c>
      <c r="S316" t="n">
        <f t="shared" si="52"/>
        <v>2953600.5662598312</v>
      </c>
      <c r="T316" t="n">
        <f t="shared" si="53"/>
        <v>45946332.080012344</v>
      </c>
      <c r="U316" t="n">
        <f t="shared" si="54"/>
        <v>6017105.5548239797</v>
      </c>
      <c r="V316" t="n">
        <f t="shared" si="55"/>
        <v>47738609.000059858</v>
      </c>
      <c r="W316" t="n">
        <f t="shared" si="48"/>
        <v>1950.4675473681098</v>
      </c>
      <c r="X316" t="n">
        <f t="shared" si="49"/>
        <v>74329096.475111976</v>
      </c>
      <c r="Y316" t="n">
        <f t="shared" si="50"/>
        <v>0.68095133999317792</v>
      </c>
      <c r="Z316" t="n">
        <f t="shared" si="51"/>
        <v>50614497.845209695</v>
      </c>
    </row>
    <row r="317">
      <c r="B317" s="52" t="n">
        <v>2034</v>
      </c>
      <c r="C317" t="str">
        <f>tbl_detail_2022!C317</f>
        <v>fugitives</v>
      </c>
      <c r="D317" t="str">
        <f>tbl_detail_2022!D317</f>
        <v>Wellpad Fugitives</v>
      </c>
      <c r="E317" t="str">
        <f>tbl_detail_2022!E317</f>
        <v>2: Tanks, no equipment</v>
      </c>
      <c r="F317" t="n">
        <f>tbl_detail_2022!F317</f>
        <v>27157.469703136099</v>
      </c>
      <c r="G317" t="n">
        <f>tbl_detail_2022!G317</f>
        <v>-8738.2306065367593</v>
      </c>
      <c r="H317" t="n">
        <f>tbl_detail_2022!H317</f>
        <v>-2429.0070575975601</v>
      </c>
      <c r="I317" t="n">
        <f>tbl_detail_2022!I317</f>
        <v>-91.500695859700301</v>
      </c>
      <c r="J317" t="n">
        <f>tbl_detail_2022!J317</f>
        <v>-198179.73652127699</v>
      </c>
      <c r="K317" t="n">
        <f>tbl_detail_2022!K317</f>
        <v>29334170.376673698</v>
      </c>
      <c r="L317" t="n">
        <f>tbl_detail_2022!L317</f>
        <v>1632090.5470340201</v>
      </c>
      <c r="M317" t="n">
        <f>tbl_detail_2022!M317</f>
        <v>27702079.829639699</v>
      </c>
      <c r="N317" t="n">
        <f>tbl_detail_2022!N317</f>
        <v>5248293.0661129002</v>
      </c>
      <c r="O317" t="n">
        <f>tbl_detail_2022!O317</f>
        <v>28099971.797182199</v>
      </c>
      <c r="P317" t="n">
        <f t="shared" si="45"/>
        <v>13</v>
      </c>
      <c r="Q317" t="n">
        <f t="shared" si="46"/>
        <v>0.41496444788853759</v>
      </c>
      <c r="R317" t="n">
        <f t="shared" si="47"/>
        <v>12172637.814624697</v>
      </c>
      <c r="S317" t="n">
        <f t="shared" si="52"/>
        <v>677259.5527540734</v>
      </c>
      <c r="T317" t="n">
        <f t="shared" si="53"/>
        <v>11495378.261870632</v>
      </c>
      <c r="U317" t="n">
        <f t="shared" si="54"/>
        <v>2177855.0345367799</v>
      </c>
      <c r="V317" t="n">
        <f t="shared" si="55"/>
        <v>11660489.282501189</v>
      </c>
      <c r="W317" t="n">
        <f t="shared" si="48"/>
        <v>1950.4675473681098</v>
      </c>
      <c r="X317" t="n">
        <f t="shared" si="49"/>
        <v>17043635.219468702</v>
      </c>
      <c r="Y317" t="n">
        <f t="shared" si="50"/>
        <v>0.68095133999317792</v>
      </c>
      <c r="Z317" t="n">
        <f t="shared" si="51"/>
        <v>11605886.241052134</v>
      </c>
    </row>
    <row r="318">
      <c r="B318" s="52" t="n">
        <v>2034</v>
      </c>
      <c r="C318" t="str">
        <f>tbl_detail_2022!C318</f>
        <v>fugitives</v>
      </c>
      <c r="D318" t="str">
        <f>tbl_detail_2022!D318</f>
        <v>Wellpad Fugitives</v>
      </c>
      <c r="E318" t="str">
        <f>tbl_detail_2022!E318</f>
        <v>3: Equipment = 1, no tanks</v>
      </c>
      <c r="F318" t="n">
        <f>tbl_detail_2022!F318</f>
        <v>22426.358322235999</v>
      </c>
      <c r="G318" t="n">
        <f>tbl_detail_2022!G318</f>
        <v>-18105.656700426702</v>
      </c>
      <c r="H318" t="n">
        <f>tbl_detail_2022!H318</f>
        <v>-5032.9145439210597</v>
      </c>
      <c r="I318" t="n">
        <f>tbl_detail_2022!I318</f>
        <v>-189.58989086950601</v>
      </c>
      <c r="J318" t="n">
        <f>tbl_detail_2022!J318</f>
        <v>-410629.38665764598</v>
      </c>
      <c r="K318" t="n">
        <f>tbl_detail_2022!K318</f>
        <v>10639390.145257199</v>
      </c>
      <c r="L318" t="n">
        <f>tbl_detail_2022!L318</f>
        <v>3381699.6230912302</v>
      </c>
      <c r="M318" t="n">
        <f>tbl_detail_2022!M318</f>
        <v>7257690.5221659299</v>
      </c>
      <c r="N318" t="n">
        <f>tbl_detail_2022!N318</f>
        <v>1230605.8591654501</v>
      </c>
      <c r="O318" t="n">
        <f>tbl_detail_2022!O318</f>
        <v>10668132.164176499</v>
      </c>
      <c r="P318" t="n">
        <f t="shared" si="45"/>
        <v>13</v>
      </c>
      <c r="Q318" t="n">
        <f t="shared" si="46"/>
        <v>0.41496444788853759</v>
      </c>
      <c r="R318" t="n">
        <f t="shared" si="47"/>
        <v>4414968.6574974013</v>
      </c>
      <c r="S318" t="n">
        <f t="shared" si="52"/>
        <v>1403285.1170209281</v>
      </c>
      <c r="T318" t="n">
        <f t="shared" si="53"/>
        <v>3011683.5404764572</v>
      </c>
      <c r="U318" t="n">
        <f t="shared" si="54"/>
        <v>510657.68091699044</v>
      </c>
      <c r="V318" t="n">
        <f t="shared" si="55"/>
        <v>4426895.573509451</v>
      </c>
      <c r="W318" t="n">
        <f t="shared" si="48"/>
        <v>1950.4675473681098</v>
      </c>
      <c r="X318" t="n">
        <f t="shared" si="49"/>
        <v>35314495.817970254</v>
      </c>
      <c r="Y318" t="n">
        <f t="shared" si="50"/>
        <v>0.68095133999317792</v>
      </c>
      <c r="Z318" t="n">
        <f t="shared" si="51"/>
        <v>24047453.248430323</v>
      </c>
    </row>
    <row r="319">
      <c r="B319" s="52" t="n">
        <v>2034</v>
      </c>
      <c r="C319" t="str">
        <f>tbl_detail_2022!C319</f>
        <v>fugitives</v>
      </c>
      <c r="D319" t="str">
        <f>tbl_detail_2022!D319</f>
        <v>Wellpad Fugitives</v>
      </c>
      <c r="E319" t="str">
        <f>tbl_detail_2022!E319</f>
        <v>4: Equipment &gt; 1, no tanks</v>
      </c>
      <c r="F319" t="n">
        <f>tbl_detail_2022!F319</f>
        <v>33790.075823732797</v>
      </c>
      <c r="G319" t="n">
        <f>tbl_detail_2022!G319</f>
        <v>-50846.478126292503</v>
      </c>
      <c r="H319" t="n">
        <f>tbl_detail_2022!H319</f>
        <v>-14134.034655752101</v>
      </c>
      <c r="I319" t="n">
        <f>tbl_detail_2022!I319</f>
        <v>-532.42908548218304</v>
      </c>
      <c r="J319" t="n">
        <f>tbl_detail_2022!J319</f>
        <v>-1153178.7259729099</v>
      </c>
      <c r="K319" t="n">
        <f>tbl_detail_2022!K319</f>
        <v>107147964.52832</v>
      </c>
      <c r="L319" t="n">
        <f>tbl_detail_2022!L319</f>
        <v>9496894.7418045104</v>
      </c>
      <c r="M319" t="n">
        <f>tbl_detail_2022!M319</f>
        <v>97651069.786515996</v>
      </c>
      <c r="N319" t="n">
        <f>tbl_detail_2022!N319</f>
        <v>21346093.6684466</v>
      </c>
      <c r="O319" t="n">
        <f>tbl_detail_2022!O319</f>
        <v>103790930.65050501</v>
      </c>
      <c r="P319" t="n">
        <f t="shared" si="45"/>
        <v>13</v>
      </c>
      <c r="Q319" t="n">
        <f t="shared" si="46"/>
        <v>0.41496444788853759</v>
      </c>
      <c r="R319" t="n">
        <f t="shared" si="47"/>
        <v>44462595.942874916</v>
      </c>
      <c r="S319" t="n">
        <f t="shared" si="52"/>
        <v>3940873.6831884645</v>
      </c>
      <c r="T319" t="n">
        <f t="shared" si="53"/>
        <v>40521722.259686664</v>
      </c>
      <c r="U319" t="n">
        <f t="shared" si="54"/>
        <v>8857869.9737039506</v>
      </c>
      <c r="V319" t="n">
        <f t="shared" si="55"/>
        <v>43069546.233224303</v>
      </c>
      <c r="W319" t="n">
        <f t="shared" si="48"/>
        <v>1950.4675473681098</v>
      </c>
      <c r="X319" t="n">
        <f t="shared" si="49"/>
        <v>99174405.483295977</v>
      </c>
      <c r="Y319" t="n">
        <f t="shared" si="50"/>
        <v>0.68095133999317792</v>
      </c>
      <c r="Z319" t="n">
        <f t="shared" si="51"/>
        <v>67532944.306877166</v>
      </c>
    </row>
    <row r="320">
      <c r="B320" s="52" t="n">
        <v>2034</v>
      </c>
      <c r="C320" t="str">
        <f>tbl_detail_2022!C320</f>
        <v>fugitives</v>
      </c>
      <c r="D320" t="str">
        <f>tbl_detail_2022!D320</f>
        <v>Wellpad Fugitives</v>
      </c>
      <c r="E320" t="str">
        <f>tbl_detail_2022!E320</f>
        <v>5: Equipment = 1 and tanks</v>
      </c>
      <c r="F320" t="n">
        <f>tbl_detail_2022!F320</f>
        <v>50502.807184298297</v>
      </c>
      <c r="G320" t="n">
        <f>tbl_detail_2022!G320</f>
        <v>-57949.8039120295</v>
      </c>
      <c r="H320" t="n">
        <f>tbl_detail_2022!H320</f>
        <v>-16108.5795313546</v>
      </c>
      <c r="I320" t="n">
        <f>tbl_detail_2022!I320</f>
        <v>-606.81019094612998</v>
      </c>
      <c r="J320" t="n">
        <f>tbl_detail_2022!J320</f>
        <v>-1314279.4448746401</v>
      </c>
      <c r="K320" t="n">
        <f>tbl_detail_2022!K320</f>
        <v>187662057.616189</v>
      </c>
      <c r="L320" t="n">
        <f>tbl_detail_2022!L320</f>
        <v>10823624.532928601</v>
      </c>
      <c r="M320" t="n">
        <f>tbl_detail_2022!M320</f>
        <v>176838433.08326101</v>
      </c>
      <c r="N320" t="n">
        <f>tbl_detail_2022!N320</f>
        <v>43021313.756154202</v>
      </c>
      <c r="O320" t="n">
        <f>tbl_detail_2022!O320</f>
        <v>180917528.21860799</v>
      </c>
      <c r="P320" t="n">
        <f t="shared" si="45"/>
        <v>13</v>
      </c>
      <c r="Q320" t="n">
        <f t="shared" si="46"/>
        <v>0.41496444788853759</v>
      </c>
      <c r="R320" t="n">
        <f t="shared" si="47"/>
        <v>77873082.1283288</v>
      </c>
      <c r="S320" t="n">
        <f t="shared" si="52"/>
        <v>4491419.3784595476</v>
      </c>
      <c r="T320" t="n">
        <f t="shared" si="53"/>
        <v>73381662.749869511</v>
      </c>
      <c r="U320" t="n">
        <f t="shared" si="54"/>
        <v>17852315.710262075</v>
      </c>
      <c r="V320" t="n">
        <f t="shared" si="55"/>
        <v>75074342.210593581</v>
      </c>
      <c r="W320" t="n">
        <f t="shared" si="48"/>
        <v>1950.4675473681098</v>
      </c>
      <c r="X320" t="n">
        <f t="shared" si="49"/>
        <v>113029211.90675907</v>
      </c>
      <c r="Y320" t="n">
        <f t="shared" si="50"/>
        <v>0.68095133999317792</v>
      </c>
      <c r="Z320" t="n">
        <f t="shared" si="51"/>
        <v>76967393.306280449</v>
      </c>
    </row>
    <row r="321">
      <c r="B321" s="52" t="n">
        <v>2034</v>
      </c>
      <c r="C321" t="str">
        <f>tbl_detail_2022!C321</f>
        <v>fugitives</v>
      </c>
      <c r="D321" t="str">
        <f>tbl_detail_2022!D321</f>
        <v>Wellpad Fugitives</v>
      </c>
      <c r="E321" t="str">
        <f>tbl_detail_2022!E321</f>
        <v>6: Equipment &gt; 1 and tanks</v>
      </c>
      <c r="F321" t="n">
        <f>tbl_detail_2022!F321</f>
        <v>148249.086072654</v>
      </c>
      <c r="G321" t="n">
        <f>tbl_detail_2022!G321</f>
        <v>-158380.93062755599</v>
      </c>
      <c r="H321" t="n">
        <f>tbl_detail_2022!H321</f>
        <v>-44025.892152058499</v>
      </c>
      <c r="I321" t="n">
        <f>tbl_detail_2022!I321</f>
        <v>-1658.45535736804</v>
      </c>
      <c r="J321" t="n">
        <f>tbl_detail_2022!J321</f>
        <v>-3592019.08430793</v>
      </c>
      <c r="K321" t="n">
        <f>tbl_detail_2022!K321</f>
        <v>442718476.64915401</v>
      </c>
      <c r="L321" t="n">
        <f>tbl_detail_2022!L321</f>
        <v>29581734.718046501</v>
      </c>
      <c r="M321" t="n">
        <f>tbl_detail_2022!M321</f>
        <v>413136741.931108</v>
      </c>
      <c r="N321" t="n">
        <f>tbl_detail_2022!N321</f>
        <v>82590086.537326604</v>
      </c>
      <c r="O321" t="n">
        <f>tbl_detail_2022!O321</f>
        <v>429708251.36265397</v>
      </c>
      <c r="P321" t="n">
        <f t="shared" si="45"/>
        <v>13</v>
      </c>
      <c r="Q321" t="n">
        <f t="shared" si="46"/>
        <v>0.41496444788853759</v>
      </c>
      <c r="R321" t="n">
        <f t="shared" si="47"/>
        <v>183712428.23277062</v>
      </c>
      <c r="S321" t="n">
        <f t="shared" si="52"/>
        <v>12275368.214859352</v>
      </c>
      <c r="T321" t="n">
        <f t="shared" si="53"/>
        <v>171437060.01791146</v>
      </c>
      <c r="U321" t="n">
        <f t="shared" si="54"/>
        <v>34271949.661028273</v>
      </c>
      <c r="V321" t="n">
        <f t="shared" si="55"/>
        <v>178313647.27985263</v>
      </c>
      <c r="W321" t="n">
        <f t="shared" si="48"/>
        <v>1950.4675473681098</v>
      </c>
      <c r="X321" t="n">
        <f t="shared" si="49"/>
        <v>308916865.31100786</v>
      </c>
      <c r="Y321" t="n">
        <f t="shared" si="50"/>
        <v>0.68095133999317792</v>
      </c>
      <c r="Z321" t="n">
        <f t="shared" si="51"/>
        <v>210357353.38002285</v>
      </c>
    </row>
    <row r="322">
      <c r="B322" s="52" t="n">
        <v>2034</v>
      </c>
      <c r="C322" t="str">
        <f>tbl_detail_2022!C322</f>
        <v>compressors</v>
      </c>
      <c r="D322" t="str">
        <f>tbl_detail_2022!D322</f>
        <v>G&amp;B Station Recip Comp</v>
      </c>
      <c r="E322" t="n">
        <f>tbl_detail_2022!E322</f>
        <v>0</v>
      </c>
      <c r="F322" t="n">
        <f>tbl_detail_2022!F322</f>
        <v>30358.393869306401</v>
      </c>
      <c r="G322" t="n">
        <f>tbl_detail_2022!G322</f>
        <v>-195311.31487632301</v>
      </c>
      <c r="H322" t="n">
        <f>tbl_detail_2022!H322</f>
        <v>-54291.604779063397</v>
      </c>
      <c r="I322" t="n">
        <f>tbl_detail_2022!I322</f>
        <v>-2045.39907009478</v>
      </c>
      <c r="J322" t="n">
        <f>tbl_detail_2022!J322</f>
        <v>-4429586.1101283701</v>
      </c>
      <c r="K322" t="n">
        <f>tbl_detail_2022!K322</f>
        <v>33795188.730476499</v>
      </c>
      <c r="L322" t="n">
        <f>tbl_detail_2022!L322</f>
        <v>36479439.041122898</v>
      </c>
      <c r="M322" t="n">
        <f>tbl_detail_2022!M322</f>
        <v>-2684250.3106464199</v>
      </c>
      <c r="N322" t="n">
        <f>tbl_detail_2022!N322</f>
        <v>54307772.244376302</v>
      </c>
      <c r="O322" t="n">
        <f>tbl_detail_2022!O322</f>
        <v>18123961.139975902</v>
      </c>
      <c r="P322" t="n">
        <f t="shared" si="45"/>
        <v>13</v>
      </c>
      <c r="Q322" t="n">
        <f t="shared" si="46"/>
        <v>0.41496444788853759</v>
      </c>
      <c r="R322" t="n">
        <f t="shared" si="47"/>
        <v>14023801.832831107</v>
      </c>
      <c r="S322" t="n">
        <f t="shared" si="52"/>
        <v>15137670.280983126</v>
      </c>
      <c r="T322" t="n">
        <f t="shared" si="53"/>
        <v>-1113868.4481520271</v>
      </c>
      <c r="U322" t="n">
        <f t="shared" si="54"/>
        <v>22535794.72544406</v>
      </c>
      <c r="V322" t="n">
        <f t="shared" si="55"/>
        <v>7520799.5280034104</v>
      </c>
      <c r="W322" t="n">
        <f t="shared" si="48"/>
        <v>1950.4675473681098</v>
      </c>
      <c r="X322" t="n">
        <f t="shared" si="49"/>
        <v>380948381.30006236</v>
      </c>
      <c r="Y322" t="n">
        <f t="shared" si="50"/>
        <v>0.68095133999317792</v>
      </c>
      <c r="Z322" t="n">
        <f t="shared" si="51"/>
        <v>259407310.71450955</v>
      </c>
    </row>
    <row r="323">
      <c r="B323" s="52" t="n">
        <v>2034</v>
      </c>
      <c r="C323" t="str">
        <f>tbl_detail_2022!C323</f>
        <v>compressors</v>
      </c>
      <c r="D323" t="str">
        <f>tbl_detail_2022!D323</f>
        <v>Proc Recip Comp</v>
      </c>
      <c r="E323" t="n">
        <f>tbl_detail_2022!E323</f>
        <v>0</v>
      </c>
      <c r="F323" t="n">
        <f>tbl_detail_2022!F323</f>
        <v>4156.6134624034303</v>
      </c>
      <c r="G323" t="n">
        <f>tbl_detail_2022!G323</f>
        <v>-64240.345179485303</v>
      </c>
      <c r="H323" t="n">
        <f>tbl_detail_2022!H323</f>
        <v>-17857.190882995001</v>
      </c>
      <c r="I323" t="n">
        <f>tbl_detail_2022!I323</f>
        <v>-672.75745071857102</v>
      </c>
      <c r="J323" t="n">
        <f>tbl_detail_2022!J323</f>
        <v>-1456946.5209790401</v>
      </c>
      <c r="K323" t="n">
        <f>tbl_detail_2022!K323</f>
        <v>6898559.18517025</v>
      </c>
      <c r="L323" t="n">
        <f>tbl_detail_2022!L323</f>
        <v>11433097.085757401</v>
      </c>
      <c r="M323" t="n">
        <f>tbl_detail_2022!M323</f>
        <v>-4534537.9005871397</v>
      </c>
      <c r="N323" t="n">
        <f>tbl_detail_2022!N323</f>
        <v>0</v>
      </c>
      <c r="O323" t="n">
        <f>tbl_detail_2022!O323</f>
        <v>2481498.23705485</v>
      </c>
      <c r="P323" t="n">
        <f t="shared" si="45"/>
        <v>13</v>
      </c>
      <c r="Q323" t="n">
        <f t="shared" si="46"/>
        <v>0.41496444788853759</v>
      </c>
      <c r="R323" t="n">
        <f t="shared" si="47"/>
        <v>2862656.8035005727</v>
      </c>
      <c r="S323" t="n">
        <f t="shared" si="52"/>
        <v>4744328.8198473677</v>
      </c>
      <c r="T323" t="n">
        <f t="shared" si="53"/>
        <v>-1881672.0163467908</v>
      </c>
      <c r="U323" t="n">
        <f t="shared" si="54"/>
        <v>0</v>
      </c>
      <c r="V323" t="n">
        <f t="shared" si="55"/>
        <v>1029733.5458758452</v>
      </c>
      <c r="W323" t="n">
        <f t="shared" si="48"/>
        <v>1950.4675473681098</v>
      </c>
      <c r="X323" t="n">
        <f t="shared" si="49"/>
        <v>125298708.50431147</v>
      </c>
      <c r="Y323" t="n">
        <f t="shared" si="50"/>
        <v>0.68095133999317792</v>
      </c>
      <c r="Z323" t="n">
        <f t="shared" si="51"/>
        <v>85322323.455425501</v>
      </c>
    </row>
    <row r="324">
      <c r="B324" s="52" t="n">
        <v>2034</v>
      </c>
      <c r="C324" t="str">
        <f>tbl_detail_2022!C324</f>
        <v>compressors</v>
      </c>
      <c r="D324" t="str">
        <f>tbl_detail_2022!D324</f>
        <v>T&amp;S Recip Comp</v>
      </c>
      <c r="E324" t="str">
        <f>tbl_detail_2022!E324</f>
        <v>Reciprocating Compressors (Transmission)</v>
      </c>
      <c r="F324" t="n">
        <f>tbl_detail_2022!F324</f>
        <v>9918.6510185594798</v>
      </c>
      <c r="G324" t="n">
        <f>tbl_detail_2022!G324</f>
        <v>-104082.90864102999</v>
      </c>
      <c r="H324" t="n">
        <f>tbl_detail_2022!H324</f>
        <v>-2880.46210531007</v>
      </c>
      <c r="I324" t="n">
        <f>tbl_detail_2022!I324</f>
        <v>-85.554606459989898</v>
      </c>
      <c r="J324" t="n">
        <f>tbl_detail_2022!J324</f>
        <v>-2360560.6603489202</v>
      </c>
      <c r="K324" t="n">
        <f>tbl_detail_2022!K324</f>
        <v>11962942.221993599</v>
      </c>
      <c r="L324" t="n">
        <f>tbl_detail_2022!L324</f>
        <v>17366276.930449501</v>
      </c>
      <c r="M324" t="n">
        <f>tbl_detail_2022!M324</f>
        <v>-5403334.7084558997</v>
      </c>
      <c r="N324" t="n">
        <f>tbl_detail_2022!N324</f>
        <v>20936510.231820099</v>
      </c>
      <c r="O324" t="n">
        <f>tbl_detail_2022!O324</f>
        <v>5921434.6580800097</v>
      </c>
      <c r="P324" t="n">
        <f t="shared" ref="P324:P340" si="56">B324-2021</f>
        <v>13</v>
      </c>
      <c r="Q324" t="n">
        <f t="shared" ref="Q324:Q340" si="57" xml:space="preserve"> 1/(1+0.07)^P324</f>
        <v>0.41496444788853759</v>
      </c>
      <c r="R324" t="n">
        <f t="shared" ref="R324:R340" si="58">K324*$Q324</f>
        <v>4964195.7142720493</v>
      </c>
      <c r="S324" t="n">
        <f t="shared" si="52"/>
        <v>7206387.5183234243</v>
      </c>
      <c r="T324" t="n">
        <f t="shared" si="53"/>
        <v>-2242191.8040513746</v>
      </c>
      <c r="U324" t="n">
        <f t="shared" si="54"/>
        <v>8687907.4090599455</v>
      </c>
      <c r="V324" t="n">
        <f t="shared" si="55"/>
        <v>2457184.8635982224</v>
      </c>
      <c r="W324" t="n">
        <f t="shared" ref="W324:W366" si="59">VLOOKUP(B324, $AD$3:$AE$15, 2)</f>
        <v>1950.4675473681098</v>
      </c>
      <c r="X324" t="n">
        <f t="shared" ref="X324:X366" si="60" xml:space="preserve"> -W324*G324</f>
        <v>203010335.54000881</v>
      </c>
      <c r="Y324" t="n">
        <f t="shared" ref="Y324:Y366" si="61">1/(1+0.03)^P324</f>
        <v>0.68095133999317792</v>
      </c>
      <c r="Z324" t="n">
        <f t="shared" ref="Z324:Z366" si="62">X324*Y324</f>
        <v>138240160.01843366</v>
      </c>
    </row>
    <row r="325">
      <c r="B325" s="52" t="n">
        <v>2034</v>
      </c>
      <c r="C325" t="str">
        <f>tbl_detail_2022!C325</f>
        <v>compressors</v>
      </c>
      <c r="D325" t="str">
        <f>tbl_detail_2022!D325</f>
        <v>T&amp;S Recip Comp</v>
      </c>
      <c r="E325" t="str">
        <f>tbl_detail_2022!E325</f>
        <v>Reciprocating Compressors (Storage)</v>
      </c>
      <c r="F325" t="n">
        <f>tbl_detail_2022!F325</f>
        <v>1392.2000760062999</v>
      </c>
      <c r="G325" t="n">
        <f>tbl_detail_2022!G325</f>
        <v>-31185.700612578399</v>
      </c>
      <c r="H325" t="n">
        <f>tbl_detail_2022!H325</f>
        <v>-863.05455924456805</v>
      </c>
      <c r="I325" t="n">
        <f>tbl_detail_2022!I325</f>
        <v>-25.634183151915</v>
      </c>
      <c r="J325" t="n">
        <f>tbl_detail_2022!J325</f>
        <v>-707279.79254849395</v>
      </c>
      <c r="K325" t="n">
        <f>tbl_detail_2022!K325</f>
        <v>3388146.5158139002</v>
      </c>
      <c r="L325" t="n">
        <f>tbl_detail_2022!L325</f>
        <v>5203347.2178988401</v>
      </c>
      <c r="M325" t="n">
        <f>tbl_detail_2022!M325</f>
        <v>-1815200.7020849399</v>
      </c>
      <c r="N325" t="n">
        <f>tbl_detail_2022!N325</f>
        <v>10063549.6916836</v>
      </c>
      <c r="O325" t="n">
        <f>tbl_detail_2022!O325</f>
        <v>831143.44537576195</v>
      </c>
      <c r="P325" t="n">
        <f t="shared" si="56"/>
        <v>13</v>
      </c>
      <c r="Q325" t="n">
        <f t="shared" si="57"/>
        <v>0.41496444788853759</v>
      </c>
      <c r="R325" t="n">
        <f t="shared" si="58"/>
        <v>1405960.3483001874</v>
      </c>
      <c r="S325" t="n">
        <f t="shared" si="52"/>
        <v>2159204.1054477501</v>
      </c>
      <c r="T325" t="n">
        <f t="shared" si="53"/>
        <v>-753243.75714756292</v>
      </c>
      <c r="U325" t="n">
        <f t="shared" si="54"/>
        <v>4176015.3416083478</v>
      </c>
      <c r="V325" t="n">
        <f t="shared" si="55"/>
        <v>344894.98092652997</v>
      </c>
      <c r="W325" t="n">
        <f t="shared" si="59"/>
        <v>1950.4675473681098</v>
      </c>
      <c r="X325" t="n">
        <f t="shared" si="60"/>
        <v>60826696.986771949</v>
      </c>
      <c r="Y325" t="n">
        <f t="shared" si="61"/>
        <v>0.68095133999317792</v>
      </c>
      <c r="Z325" t="n">
        <f t="shared" si="62"/>
        <v>41420020.820501357</v>
      </c>
    </row>
    <row r="326">
      <c r="B326" s="52" t="n">
        <v>2034</v>
      </c>
      <c r="C326" t="str">
        <f>tbl_detail_2022!C326</f>
        <v>compressors</v>
      </c>
      <c r="D326" t="str">
        <f>tbl_detail_2022!D326</f>
        <v>Wet Seal Centrifugal Compr</v>
      </c>
      <c r="E326" t="str">
        <f>tbl_detail_2022!E326</f>
        <v>G&amp;B WS Centrifugal Comp</v>
      </c>
      <c r="F326" t="n">
        <f>tbl_detail_2022!F326</f>
        <v>404.06644279925399</v>
      </c>
      <c r="G326" t="n">
        <f>tbl_detail_2022!G326</f>
        <v>-90611.082244480494</v>
      </c>
      <c r="H326" t="n">
        <f>tbl_detail_2022!H326</f>
        <v>-25187.5886910888</v>
      </c>
      <c r="I326" t="n">
        <f>tbl_detail_2022!I326</f>
        <v>-948.925173538987</v>
      </c>
      <c r="J326" t="n">
        <f>tbl_detail_2022!J326</f>
        <v>-2055024.7771769401</v>
      </c>
      <c r="K326" t="n">
        <f>tbl_detail_2022!K326</f>
        <v>10101661.0699814</v>
      </c>
      <c r="L326" t="n">
        <f>tbl_detail_2022!L326</f>
        <v>16923962.921865601</v>
      </c>
      <c r="M326" t="n">
        <f>tbl_detail_2022!M326</f>
        <v>-6822301.8518842198</v>
      </c>
      <c r="N326" t="n">
        <f>tbl_detail_2022!N326</f>
        <v>0</v>
      </c>
      <c r="O326" t="n">
        <f>tbl_detail_2022!O326</f>
        <v>10101661.0699814</v>
      </c>
      <c r="P326" t="n">
        <f t="shared" si="56"/>
        <v>13</v>
      </c>
      <c r="Q326" t="n">
        <f t="shared" si="57"/>
        <v>0.41496444788853759</v>
      </c>
      <c r="R326" t="n">
        <f t="shared" si="58"/>
        <v>4191830.2086619656</v>
      </c>
      <c r="S326" t="n">
        <f t="shared" si="52"/>
        <v>7022842.9299580408</v>
      </c>
      <c r="T326" t="n">
        <f t="shared" si="53"/>
        <v>-2831012.7212960827</v>
      </c>
      <c r="U326" t="n">
        <f t="shared" si="54"/>
        <v>0</v>
      </c>
      <c r="V326" t="n">
        <f t="shared" si="55"/>
        <v>4191830.2086619656</v>
      </c>
      <c r="W326" t="n">
        <f t="shared" si="59"/>
        <v>1950.4675473681098</v>
      </c>
      <c r="X326" t="n">
        <f t="shared" si="60"/>
        <v>176733975.34976196</v>
      </c>
      <c r="Y326" t="n">
        <f t="shared" si="61"/>
        <v>0.68095133999317792</v>
      </c>
      <c r="Z326" t="n">
        <f t="shared" si="62"/>
        <v>120347237.33674169</v>
      </c>
    </row>
    <row r="327">
      <c r="B327" s="52" t="n">
        <v>2034</v>
      </c>
      <c r="C327" t="str">
        <f>tbl_detail_2022!C327</f>
        <v>compressors</v>
      </c>
      <c r="D327" t="str">
        <f>tbl_detail_2022!D327</f>
        <v>Wet Seal Centrifugal Compr</v>
      </c>
      <c r="E327" t="str">
        <f>tbl_detail_2022!E327</f>
        <v>Proc WS Centrifugal Comp</v>
      </c>
      <c r="F327" t="n">
        <f>tbl_detail_2022!F327</f>
        <v>267.41649413025198</v>
      </c>
      <c r="G327" t="n">
        <f>tbl_detail_2022!G327</f>
        <v>-36432.823745371003</v>
      </c>
      <c r="H327" t="n">
        <f>tbl_detail_2022!H327</f>
        <v>-10127.4033663717</v>
      </c>
      <c r="I327" t="n">
        <f>tbl_detail_2022!I327</f>
        <v>-2815.16194467986</v>
      </c>
      <c r="J327" t="n">
        <f>tbl_detail_2022!J327</f>
        <v>-826282.54342275497</v>
      </c>
      <c r="K327" t="n">
        <f>tbl_detail_2022!K327</f>
        <v>6685412.3532563103</v>
      </c>
      <c r="L327" t="n">
        <f>tbl_detail_2022!L327</f>
        <v>6484087.3725898396</v>
      </c>
      <c r="M327" t="n">
        <f>tbl_detail_2022!M327</f>
        <v>201324.98066647499</v>
      </c>
      <c r="N327" t="n">
        <f>tbl_detail_2022!N327</f>
        <v>0</v>
      </c>
      <c r="O327" t="n">
        <f>tbl_detail_2022!O327</f>
        <v>6685412.3532563103</v>
      </c>
      <c r="P327" t="n">
        <f t="shared" si="56"/>
        <v>13</v>
      </c>
      <c r="Q327" t="n">
        <f t="shared" si="57"/>
        <v>0.41496444788853759</v>
      </c>
      <c r="R327" t="n">
        <f t="shared" si="58"/>
        <v>2774208.4460762138</v>
      </c>
      <c r="S327" t="n">
        <f t="shared" si="52"/>
        <v>2690665.7366277813</v>
      </c>
      <c r="T327" t="n">
        <f t="shared" si="53"/>
        <v>83542.709448434296</v>
      </c>
      <c r="U327" t="n">
        <f t="shared" si="54"/>
        <v>0</v>
      </c>
      <c r="V327" t="n">
        <f t="shared" si="55"/>
        <v>2774208.4460762138</v>
      </c>
      <c r="W327" t="n">
        <f t="shared" si="59"/>
        <v>1950.4675473681098</v>
      </c>
      <c r="X327" t="n">
        <f t="shared" si="60"/>
        <v>71061040.374328405</v>
      </c>
      <c r="Y327" t="n">
        <f t="shared" si="61"/>
        <v>0.68095133999317792</v>
      </c>
      <c r="Z327" t="n">
        <f t="shared" si="62"/>
        <v>48389110.664208241</v>
      </c>
    </row>
    <row r="328">
      <c r="B328" s="52" t="n">
        <v>2034</v>
      </c>
      <c r="C328" t="str">
        <f>tbl_detail_2022!C328</f>
        <v>compressors</v>
      </c>
      <c r="D328" t="str">
        <f>tbl_detail_2022!D328</f>
        <v>Wet Seal Centrifugal Compr</v>
      </c>
      <c r="E328" t="str">
        <f>tbl_detail_2022!E328</f>
        <v>T&amp;S WS Centrifugal Comp</v>
      </c>
      <c r="F328" t="n">
        <f>tbl_detail_2022!F328</f>
        <v>736.16026273218199</v>
      </c>
      <c r="G328" t="n">
        <f>tbl_detail_2022!G328</f>
        <v>-25902.445512905499</v>
      </c>
      <c r="H328" t="n">
        <f>tbl_detail_2022!H328</f>
        <v>-716.84211854712703</v>
      </c>
      <c r="I328" t="n">
        <f>tbl_detail_2022!I328</f>
        <v>-19.838382544501801</v>
      </c>
      <c r="J328" t="n">
        <f>tbl_detail_2022!J328</f>
        <v>-587457.58244973398</v>
      </c>
      <c r="K328" t="n">
        <f>tbl_detail_2022!K328</f>
        <v>18404006.568304501</v>
      </c>
      <c r="L328" t="n">
        <f>tbl_detail_2022!L328</f>
        <v>4321833.89017695</v>
      </c>
      <c r="M328" t="n">
        <f>tbl_detail_2022!M328</f>
        <v>14082172.6781276</v>
      </c>
      <c r="N328" t="n">
        <f>tbl_detail_2022!N328</f>
        <v>0</v>
      </c>
      <c r="O328" t="n">
        <f>tbl_detail_2022!O328</f>
        <v>18404006.568304501</v>
      </c>
      <c r="P328" t="n">
        <f t="shared" si="56"/>
        <v>13</v>
      </c>
      <c r="Q328" t="n">
        <f t="shared" si="57"/>
        <v>0.41496444788853759</v>
      </c>
      <c r="R328" t="n">
        <f t="shared" si="58"/>
        <v>7637008.4245534968</v>
      </c>
      <c r="S328" t="n">
        <f t="shared" si="52"/>
        <v>1793407.4141032486</v>
      </c>
      <c r="T328" t="n">
        <f t="shared" si="53"/>
        <v>5843601.0104502682</v>
      </c>
      <c r="U328" t="n">
        <f t="shared" si="54"/>
        <v>0</v>
      </c>
      <c r="V328" t="n">
        <f t="shared" si="55"/>
        <v>7637008.4245534968</v>
      </c>
      <c r="W328" t="n">
        <f t="shared" si="59"/>
        <v>1950.4675473681098</v>
      </c>
      <c r="X328" t="n">
        <f t="shared" si="60"/>
        <v>50521879.370392889</v>
      </c>
      <c r="Y328" t="n">
        <f t="shared" si="61"/>
        <v>0.68095133999317792</v>
      </c>
      <c r="Z328" t="n">
        <f t="shared" si="62"/>
        <v>34402941.456242733</v>
      </c>
    </row>
    <row r="329">
      <c r="B329" s="52" t="n">
        <v>2034</v>
      </c>
      <c r="C329" t="str">
        <f>tbl_detail_2022!C329</f>
        <v>compressors</v>
      </c>
      <c r="D329" t="str">
        <f>tbl_detail_2022!D329</f>
        <v>Dry Seal Centrifugal Compr</v>
      </c>
      <c r="E329" t="str">
        <f>tbl_detail_2022!E329</f>
        <v>G&amp;B DS Centrifugal Comp</v>
      </c>
      <c r="F329" t="n">
        <f>tbl_detail_2022!F329</f>
        <v>625.73164713739402</v>
      </c>
      <c r="G329" t="n">
        <f>tbl_detail_2022!G329</f>
        <v>-10090.7590544753</v>
      </c>
      <c r="H329" t="n">
        <f>tbl_detail_2022!H329</f>
        <v>-2804.9757529574799</v>
      </c>
      <c r="I329" t="n">
        <f>tbl_detail_2022!I329</f>
        <v>-105.67554265682899</v>
      </c>
      <c r="J329" t="n">
        <f>tbl_detail_2022!J329</f>
        <v>-228854.56573092099</v>
      </c>
      <c r="K329" t="n">
        <f>tbl_detail_2022!K329</f>
        <v>9385974.7070609108</v>
      </c>
      <c r="L329" t="n">
        <f>tbl_detail_2022!L329</f>
        <v>1884710.2127159699</v>
      </c>
      <c r="M329" t="n">
        <f>tbl_detail_2022!M329</f>
        <v>7501264.4943449404</v>
      </c>
      <c r="N329" t="n">
        <f>tbl_detail_2022!N329</f>
        <v>0</v>
      </c>
      <c r="O329" t="n">
        <f>tbl_detail_2022!O329</f>
        <v>9385974.7070609108</v>
      </c>
      <c r="P329" t="n">
        <f t="shared" si="56"/>
        <v>13</v>
      </c>
      <c r="Q329" t="n">
        <f t="shared" si="57"/>
        <v>0.41496444788853759</v>
      </c>
      <c r="R329" t="n">
        <f t="shared" si="58"/>
        <v>3894845.8122113091</v>
      </c>
      <c r="S329" t="n">
        <f t="shared" si="52"/>
        <v>782087.73284957069</v>
      </c>
      <c r="T329" t="n">
        <f t="shared" si="53"/>
        <v>3112758.0793617382</v>
      </c>
      <c r="U329" t="n">
        <f t="shared" si="54"/>
        <v>0</v>
      </c>
      <c r="V329" t="n">
        <f t="shared" si="55"/>
        <v>3894845.8122113091</v>
      </c>
      <c r="W329" t="n">
        <f t="shared" si="59"/>
        <v>1950.4675473681098</v>
      </c>
      <c r="X329" t="n">
        <f t="shared" si="60"/>
        <v>19681698.064064983</v>
      </c>
      <c r="Y329" t="n">
        <f t="shared" si="61"/>
        <v>0.68095133999317792</v>
      </c>
      <c r="Z329" t="n">
        <f t="shared" si="62"/>
        <v>13402278.670066185</v>
      </c>
    </row>
    <row r="330">
      <c r="B330" s="52" t="n">
        <v>2034</v>
      </c>
      <c r="C330" t="str">
        <f>tbl_detail_2022!C330</f>
        <v>compressors</v>
      </c>
      <c r="D330" t="str">
        <f>tbl_detail_2022!D330</f>
        <v>Dry Seal Centrifugal Compr</v>
      </c>
      <c r="E330" t="str">
        <f>tbl_detail_2022!E330</f>
        <v>Proc DS Centrifugal Comp</v>
      </c>
      <c r="F330" t="n">
        <f>tbl_detail_2022!F330</f>
        <v>435.376218269547</v>
      </c>
      <c r="G330" t="n">
        <f>tbl_detail_2022!G330</f>
        <v>-3388.2314904938999</v>
      </c>
      <c r="H330" t="n">
        <f>tbl_detail_2022!H330</f>
        <v>-941.84264285126596</v>
      </c>
      <c r="I330" t="n">
        <f>tbl_detail_2022!I330</f>
        <v>-261.80842908220302</v>
      </c>
      <c r="J330" t="n">
        <f>tbl_detail_2022!J330</f>
        <v>-76843.797594087999</v>
      </c>
      <c r="K330" t="n">
        <f>tbl_detail_2022!K330</f>
        <v>6530643.2740432099</v>
      </c>
      <c r="L330" t="n">
        <f>tbl_detail_2022!L330</f>
        <v>603016.36723159906</v>
      </c>
      <c r="M330" t="n">
        <f>tbl_detail_2022!M330</f>
        <v>5927626.9068116099</v>
      </c>
      <c r="N330" t="n">
        <f>tbl_detail_2022!N330</f>
        <v>0</v>
      </c>
      <c r="O330" t="n">
        <f>tbl_detail_2022!O330</f>
        <v>6530643.2740432099</v>
      </c>
      <c r="P330" t="n">
        <f t="shared" si="56"/>
        <v>13</v>
      </c>
      <c r="Q330" t="n">
        <f t="shared" si="57"/>
        <v>0.41496444788853759</v>
      </c>
      <c r="R330" t="n">
        <f t="shared" si="58"/>
        <v>2709984.780570332</v>
      </c>
      <c r="S330" t="n">
        <f t="shared" si="52"/>
        <v>250230.35389601212</v>
      </c>
      <c r="T330" t="n">
        <f t="shared" si="53"/>
        <v>2459754.4266743194</v>
      </c>
      <c r="U330" t="n">
        <f t="shared" si="54"/>
        <v>0</v>
      </c>
      <c r="V330" t="n">
        <f t="shared" si="55"/>
        <v>2709984.780570332</v>
      </c>
      <c r="W330" t="n">
        <f t="shared" si="59"/>
        <v>1950.4675473681098</v>
      </c>
      <c r="X330" t="n">
        <f t="shared" si="60"/>
        <v>6608635.5651790313</v>
      </c>
      <c r="Y330" t="n">
        <f t="shared" si="61"/>
        <v>0.68095133999317792</v>
      </c>
      <c r="Z330" t="n">
        <f t="shared" si="62"/>
        <v>4500159.2436352344</v>
      </c>
    </row>
    <row r="331">
      <c r="B331" s="52" t="n">
        <v>2034</v>
      </c>
      <c r="C331" t="str">
        <f>tbl_detail_2022!C331</f>
        <v>compressors</v>
      </c>
      <c r="D331" t="str">
        <f>tbl_detail_2022!D331</f>
        <v>Dry Seal Centrifugal Compr</v>
      </c>
      <c r="E331" t="str">
        <f>tbl_detail_2022!E331</f>
        <v>T&amp;S DS Centrifugal Comp</v>
      </c>
      <c r="F331" t="n">
        <f>tbl_detail_2022!F331</f>
        <v>3441.1760568743098</v>
      </c>
      <c r="G331" t="n">
        <f>tbl_detail_2022!G331</f>
        <v>-62120.6589563491</v>
      </c>
      <c r="H331" t="n">
        <f>tbl_detail_2022!H331</f>
        <v>-1719.16990423263</v>
      </c>
      <c r="I331" t="n">
        <f>tbl_detail_2022!I331</f>
        <v>-47.577492081918301</v>
      </c>
      <c r="J331" t="n">
        <f>tbl_detail_2022!J331</f>
        <v>-1408872.84609861</v>
      </c>
      <c r="K331" t="n">
        <f>tbl_detail_2022!K331</f>
        <v>51617640.853114597</v>
      </c>
      <c r="L331" t="n">
        <f>tbl_detail_2022!L331</f>
        <v>10364857.9831549</v>
      </c>
      <c r="M331" t="n">
        <f>tbl_detail_2022!M331</f>
        <v>41252782.869959697</v>
      </c>
      <c r="N331" t="n">
        <f>tbl_detail_2022!N331</f>
        <v>0</v>
      </c>
      <c r="O331" t="n">
        <f>tbl_detail_2022!O331</f>
        <v>51617640.853114597</v>
      </c>
      <c r="P331" t="n">
        <f t="shared" si="56"/>
        <v>13</v>
      </c>
      <c r="Q331" t="n">
        <f t="shared" si="57"/>
        <v>0.41496444788853759</v>
      </c>
      <c r="R331" t="n">
        <f t="shared" si="58"/>
        <v>21419485.837921523</v>
      </c>
      <c r="S331" t="n">
        <f t="shared" si="52"/>
        <v>4301047.5704229744</v>
      </c>
      <c r="T331" t="n">
        <f t="shared" si="53"/>
        <v>17118438.267498545</v>
      </c>
      <c r="U331" t="n">
        <f t="shared" si="54"/>
        <v>0</v>
      </c>
      <c r="V331" t="n">
        <f t="shared" si="55"/>
        <v>21419485.837921523</v>
      </c>
      <c r="W331" t="n">
        <f t="shared" si="59"/>
        <v>1950.4675473681098</v>
      </c>
      <c r="X331" t="n">
        <f t="shared" si="60"/>
        <v>121164329.31548104</v>
      </c>
      <c r="Y331" t="n">
        <f t="shared" si="61"/>
        <v>0.68095133999317792</v>
      </c>
      <c r="Z331" t="n">
        <f t="shared" si="62"/>
        <v>82507012.406751499</v>
      </c>
    </row>
    <row r="332">
      <c r="B332" s="52" t="n">
        <v>2034</v>
      </c>
      <c r="C332" t="str">
        <f>tbl_detail_2022!C332</f>
        <v>liquids_unloading</v>
      </c>
      <c r="D332" t="n">
        <f>tbl_detail_2022!D332</f>
        <v>0</v>
      </c>
      <c r="E332" t="n">
        <f>tbl_detail_2022!E332</f>
        <v>0</v>
      </c>
      <c r="F332" t="n">
        <f>tbl_detail_2022!F332</f>
        <v>244962.36786062899</v>
      </c>
      <c r="G332" t="n">
        <f>tbl_detail_2022!G332</f>
        <v>-24243.285925647499</v>
      </c>
      <c r="H332" t="n">
        <f>tbl_detail_2022!H332</f>
        <v>-6739.0202091187002</v>
      </c>
      <c r="I332" t="n">
        <f>tbl_detail_2022!I332</f>
        <v>-253.88797633030899</v>
      </c>
      <c r="J332" t="n">
        <f>tbl_detail_2022!J332</f>
        <v>-549828.47598010499</v>
      </c>
      <c r="K332" t="n">
        <f>tbl_detail_2022!K332</f>
        <v>15922553.9109409</v>
      </c>
      <c r="L332" t="n">
        <f>tbl_detail_2022!L332</f>
        <v>4528060.6074521998</v>
      </c>
      <c r="M332" t="n">
        <f>tbl_detail_2022!M332</f>
        <v>11394493.3034887</v>
      </c>
      <c r="N332" t="n">
        <f>tbl_detail_2022!N332</f>
        <v>0</v>
      </c>
      <c r="O332" t="n">
        <f>tbl_detail_2022!O332</f>
        <v>15922553.9109409</v>
      </c>
      <c r="P332" t="n">
        <f t="shared" si="56"/>
        <v>13</v>
      </c>
      <c r="Q332" t="n">
        <f t="shared" si="57"/>
        <v>0.41496444788853759</v>
      </c>
      <c r="R332" t="n">
        <f t="shared" si="58"/>
        <v>6607293.7926290659</v>
      </c>
      <c r="S332" t="n">
        <f t="shared" si="52"/>
        <v>1878984.1699772382</v>
      </c>
      <c r="T332" t="n">
        <f t="shared" si="53"/>
        <v>4728309.6226518275</v>
      </c>
      <c r="U332" t="n">
        <f t="shared" si="54"/>
        <v>0</v>
      </c>
      <c r="V332" t="n">
        <f t="shared" si="55"/>
        <v>6607293.7926290659</v>
      </c>
      <c r="W332" t="n">
        <f t="shared" si="59"/>
        <v>1950.4675473681098</v>
      </c>
      <c r="X332" t="n">
        <f t="shared" si="60"/>
        <v>47285742.439541489</v>
      </c>
      <c r="Y332" t="n">
        <f t="shared" si="61"/>
        <v>0.68095133999317792</v>
      </c>
      <c r="Z332" t="n">
        <f t="shared" si="62"/>
        <v>32199289.676778059</v>
      </c>
    </row>
    <row r="333">
      <c r="B333" s="52" t="n">
        <v>2034</v>
      </c>
      <c r="C333" t="str">
        <f>tbl_detail_2022!C333</f>
        <v>pneucontr</v>
      </c>
      <c r="D333" t="str">
        <f>tbl_detail_2022!D333</f>
        <v>G&amp;B Pneumatic Controllers</v>
      </c>
      <c r="E333" t="n">
        <f>tbl_detail_2022!E333</f>
        <v>0</v>
      </c>
      <c r="F333" t="n">
        <f>tbl_detail_2022!F333</f>
        <v>6967.0122795419102</v>
      </c>
      <c r="G333" t="n">
        <f>tbl_detail_2022!G333</f>
        <v>-367440.51054182003</v>
      </c>
      <c r="H333" t="n">
        <f>tbl_detail_2022!H333</f>
        <v>-102139.166788031</v>
      </c>
      <c r="I333" t="n">
        <f>tbl_detail_2022!I333</f>
        <v>-3847.5824129051198</v>
      </c>
      <c r="J333" t="n">
        <f>tbl_detail_2022!J333</f>
        <v>-8333410.6005336996</v>
      </c>
      <c r="K333" t="n">
        <f>tbl_detail_2022!K333</f>
        <v>74617242.896258697</v>
      </c>
      <c r="L333" t="n">
        <f>tbl_detail_2022!L333</f>
        <v>68629017.801847398</v>
      </c>
      <c r="M333" t="n">
        <f>tbl_detail_2022!M333</f>
        <v>5988225.0944112903</v>
      </c>
      <c r="N333" t="n">
        <f>tbl_detail_2022!N333</f>
        <v>35086534.055158302</v>
      </c>
      <c r="O333" t="n">
        <f>tbl_detail_2022!O333</f>
        <v>-15093867.3492212</v>
      </c>
      <c r="P333" t="n">
        <f t="shared" si="56"/>
        <v>13</v>
      </c>
      <c r="Q333" t="n">
        <f t="shared" si="57"/>
        <v>0.41496444788853759</v>
      </c>
      <c r="R333" t="n">
        <f t="shared" si="58"/>
        <v>30963503.001410894</v>
      </c>
      <c r="S333" t="n">
        <f t="shared" si="52"/>
        <v>28478602.481276222</v>
      </c>
      <c r="T333" t="n">
        <f t="shared" si="53"/>
        <v>2484900.5201346669</v>
      </c>
      <c r="U333" t="n">
        <f t="shared" si="54"/>
        <v>14559664.232521137</v>
      </c>
      <c r="V333" t="n">
        <f t="shared" si="55"/>
        <v>-6263418.3310723994</v>
      </c>
      <c r="W333" t="n">
        <f t="shared" si="59"/>
        <v>1950.4675473681098</v>
      </c>
      <c r="X333" t="n">
        <f t="shared" si="60"/>
        <v>716680791.40018976</v>
      </c>
      <c r="Y333" t="n">
        <f t="shared" si="61"/>
        <v>0.68095133999317792</v>
      </c>
      <c r="Z333" t="n">
        <f t="shared" si="62"/>
        <v>488024745.25133044</v>
      </c>
    </row>
    <row r="334">
      <c r="B334" s="52" t="n">
        <v>2034</v>
      </c>
      <c r="C334" t="str">
        <f>tbl_detail_2022!C334</f>
        <v>pneucontr</v>
      </c>
      <c r="D334" t="str">
        <f>tbl_detail_2022!D334</f>
        <v>T&amp;S Pneumatic Controllers</v>
      </c>
      <c r="E334" t="n">
        <f>tbl_detail_2022!E334</f>
        <v>0</v>
      </c>
      <c r="F334" t="n">
        <f>tbl_detail_2022!F334</f>
        <v>67074.291993720602</v>
      </c>
      <c r="G334" t="n">
        <f>tbl_detail_2022!G334</f>
        <v>-77489.523561784794</v>
      </c>
      <c r="H334" t="n">
        <f>tbl_detail_2022!H334</f>
        <v>-2144.4984492897202</v>
      </c>
      <c r="I334" t="n">
        <f>tbl_detail_2022!I334</f>
        <v>-63.695238533016699</v>
      </c>
      <c r="J334" t="n">
        <f>tbl_detail_2022!J334</f>
        <v>-1757432.83212804</v>
      </c>
      <c r="K334" t="n">
        <f>tbl_detail_2022!K334</f>
        <v>18846848.796150502</v>
      </c>
      <c r="L334" t="n">
        <f>tbl_detail_2022!L334</f>
        <v>12929159.484038999</v>
      </c>
      <c r="M334" t="n">
        <f>tbl_detail_2022!M334</f>
        <v>5917689.3121114699</v>
      </c>
      <c r="N334" t="n">
        <f>tbl_detail_2022!N334</f>
        <v>7297754.6711309701</v>
      </c>
      <c r="O334" t="n">
        <f>tbl_detail_2022!O334</f>
        <v>-17247634.129733</v>
      </c>
      <c r="P334" t="n">
        <f t="shared" si="56"/>
        <v>13</v>
      </c>
      <c r="Q334" t="n">
        <f t="shared" si="57"/>
        <v>0.41496444788853759</v>
      </c>
      <c r="R334" t="n">
        <f t="shared" si="58"/>
        <v>7820772.2051333422</v>
      </c>
      <c r="S334" t="n">
        <f t="shared" si="52"/>
        <v>5365141.5269570928</v>
      </c>
      <c r="T334" t="n">
        <f t="shared" si="53"/>
        <v>2455630.6781762359</v>
      </c>
      <c r="U334" t="n">
        <f t="shared" si="54"/>
        <v>3028308.7379318592</v>
      </c>
      <c r="V334" t="n">
        <f t="shared" si="55"/>
        <v>-7157154.9740281515</v>
      </c>
      <c r="W334" t="n">
        <f t="shared" si="59"/>
        <v>1950.4675473681098</v>
      </c>
      <c r="X334" t="n">
        <f t="shared" si="60"/>
        <v>151140800.96827775</v>
      </c>
      <c r="Y334" t="n">
        <f t="shared" si="61"/>
        <v>0.68095133999317792</v>
      </c>
      <c r="Z334" t="n">
        <f t="shared" si="62"/>
        <v>102919530.94699094</v>
      </c>
    </row>
    <row r="335">
      <c r="B335" s="52" t="n">
        <v>2034</v>
      </c>
      <c r="C335" t="str">
        <f>tbl_detail_2022!C335</f>
        <v>pneucontr</v>
      </c>
      <c r="D335" t="str">
        <f>tbl_detail_2022!D335</f>
        <v>Well Pad Pneumatic Controllers</v>
      </c>
      <c r="E335" t="n">
        <f>tbl_detail_2022!E335</f>
        <v>0</v>
      </c>
      <c r="F335" t="n">
        <f>tbl_detail_2022!F335</f>
        <v>1322527.22823774</v>
      </c>
      <c r="G335" t="n">
        <f>tbl_detail_2022!G335</f>
        <v>-1706376.9004746701</v>
      </c>
      <c r="H335" t="n">
        <f>tbl_detail_2022!H335</f>
        <v>-474329.61211550602</v>
      </c>
      <c r="I335" t="n">
        <f>tbl_detail_2022!I335</f>
        <v>-17867.996488391102</v>
      </c>
      <c r="J335" t="n">
        <f>tbl_detail_2022!J335</f>
        <v>-38699977.119977899</v>
      </c>
      <c r="K335" t="n">
        <f>tbl_detail_2022!K335</f>
        <v>759283283.71327496</v>
      </c>
      <c r="L335" t="n">
        <f>tbl_detail_2022!L335</f>
        <v>318710015.14409399</v>
      </c>
      <c r="M335" t="n">
        <f>tbl_detail_2022!M335</f>
        <v>440573268.56918001</v>
      </c>
      <c r="N335" t="n">
        <f>tbl_detail_2022!N335</f>
        <v>337713780.465617</v>
      </c>
      <c r="O335" t="n">
        <f>tbl_detail_2022!O335</f>
        <v>-79351633.694264293</v>
      </c>
      <c r="P335" t="n">
        <f t="shared" si="56"/>
        <v>13</v>
      </c>
      <c r="Q335" t="n">
        <f t="shared" si="57"/>
        <v>0.41496444788853759</v>
      </c>
      <c r="R335" t="n">
        <f t="shared" si="58"/>
        <v>315075568.61707497</v>
      </c>
      <c r="S335" t="n">
        <f t="shared" si="52"/>
        <v>132253325.47081642</v>
      </c>
      <c r="T335" t="n">
        <f t="shared" si="53"/>
        <v>182822243.14625818</v>
      </c>
      <c r="U335" t="n">
        <f t="shared" si="54"/>
        <v>140139212.45526555</v>
      </c>
      <c r="V335" t="n">
        <f t="shared" si="55"/>
        <v>-32928106.864993859</v>
      </c>
      <c r="W335" t="n">
        <f t="shared" si="59"/>
        <v>1950.4675473681098</v>
      </c>
      <c r="X335" t="n">
        <f t="shared" si="60"/>
        <v>3328232767.9544268</v>
      </c>
      <c r="Y335" t="n">
        <f t="shared" si="61"/>
        <v>0.68095133999317792</v>
      </c>
      <c r="Z335" t="n">
        <f t="shared" si="62"/>
        <v>2266364563.1477704</v>
      </c>
    </row>
    <row r="336">
      <c r="B336" s="52" t="n">
        <v>2034</v>
      </c>
      <c r="C336" t="str">
        <f>tbl_detail_2022!C336</f>
        <v>pumps</v>
      </c>
      <c r="D336" t="str">
        <f>tbl_detail_2022!D336</f>
        <v>G&amp;B Pneumatic Pumps</v>
      </c>
      <c r="E336" t="n">
        <f>tbl_detail_2022!E336</f>
        <v>0</v>
      </c>
      <c r="F336" t="n">
        <f>tbl_detail_2022!F336</f>
        <v>746.28486535480602</v>
      </c>
      <c r="G336" t="n">
        <f>tbl_detail_2022!G336</f>
        <v>-50576.049863820801</v>
      </c>
      <c r="H336" t="n">
        <f>tbl_detail_2022!H336</f>
        <v>-14058.8624398088</v>
      </c>
      <c r="I336" t="n">
        <f>tbl_detail_2022!I336</f>
        <v>-529.59734810759596</v>
      </c>
      <c r="J336" t="n">
        <f>tbl_detail_2022!J336</f>
        <v>-1147045.5161484301</v>
      </c>
      <c r="K336" t="n">
        <f>tbl_detail_2022!K336</f>
        <v>27157321.248522401</v>
      </c>
      <c r="L336" t="n">
        <f>tbl_detail_2022!L336</f>
        <v>9446385.2701843902</v>
      </c>
      <c r="M336" t="n">
        <f>tbl_detail_2022!M336</f>
        <v>17710935.978337999</v>
      </c>
      <c r="N336" t="n">
        <f>tbl_detail_2022!N336</f>
        <v>13461081.7260684</v>
      </c>
      <c r="O336" t="n">
        <f>tbl_detail_2022!O336</f>
        <v>-1616808.5128073699</v>
      </c>
      <c r="P336" t="n">
        <f t="shared" si="56"/>
        <v>13</v>
      </c>
      <c r="Q336" t="n">
        <f t="shared" si="57"/>
        <v>0.41496444788853759</v>
      </c>
      <c r="R336" t="n">
        <f t="shared" si="58"/>
        <v>11269322.818024749</v>
      </c>
      <c r="S336" t="n">
        <f t="shared" si="52"/>
        <v>3919914.0481844796</v>
      </c>
      <c r="T336" t="n">
        <f t="shared" si="53"/>
        <v>7349408.7698402647</v>
      </c>
      <c r="U336" t="n">
        <f t="shared" si="54"/>
        <v>5585870.3464404559</v>
      </c>
      <c r="V336" t="n">
        <f t="shared" si="55"/>
        <v>-670918.05185859778</v>
      </c>
      <c r="W336" t="n">
        <f t="shared" si="59"/>
        <v>1950.4675473681098</v>
      </c>
      <c r="X336" t="n">
        <f t="shared" si="60"/>
        <v>98646943.933453783</v>
      </c>
      <c r="Y336" t="n">
        <f t="shared" si="61"/>
        <v>0.68095133999317792</v>
      </c>
      <c r="Z336" t="n">
        <f t="shared" si="62"/>
        <v>67173768.657717243</v>
      </c>
    </row>
    <row r="337">
      <c r="B337" s="52" t="n">
        <v>2034</v>
      </c>
      <c r="C337" t="str">
        <f>tbl_detail_2022!C337</f>
        <v>pumps</v>
      </c>
      <c r="D337" t="str">
        <f>tbl_detail_2022!D337</f>
        <v>Well Pad Pumps</v>
      </c>
      <c r="E337" t="n">
        <f>tbl_detail_2022!E337</f>
        <v>0</v>
      </c>
      <c r="F337" t="n">
        <f>tbl_detail_2022!F337</f>
        <v>95823.609173010103</v>
      </c>
      <c r="G337" t="n">
        <f>tbl_detail_2022!G337</f>
        <v>-160676.24590874399</v>
      </c>
      <c r="H337" t="n">
        <f>tbl_detail_2022!H337</f>
        <v>-44663.931735637998</v>
      </c>
      <c r="I337" t="n">
        <f>tbl_detail_2022!I337</f>
        <v>-1682.49030848148</v>
      </c>
      <c r="J337" t="n">
        <f>tbl_detail_2022!J337</f>
        <v>-3644075.95922249</v>
      </c>
      <c r="K337" t="n">
        <f>tbl_detail_2022!K337</f>
        <v>117082710.143252</v>
      </c>
      <c r="L337" t="n">
        <f>tbl_detail_2022!L337</f>
        <v>30010444.206451099</v>
      </c>
      <c r="M337" t="n">
        <f>tbl_detail_2022!M337</f>
        <v>87072265.936801106</v>
      </c>
      <c r="N337" t="n">
        <f>tbl_detail_2022!N337</f>
        <v>51559392.536370702</v>
      </c>
      <c r="O337" t="n">
        <f>tbl_detail_2022!O337</f>
        <v>-5749416.5503806099</v>
      </c>
      <c r="P337" t="n">
        <f t="shared" si="56"/>
        <v>13</v>
      </c>
      <c r="Q337" t="n">
        <f t="shared" si="57"/>
        <v>0.41496444788853759</v>
      </c>
      <c r="R337" t="n">
        <f t="shared" si="58"/>
        <v>48585162.171888247</v>
      </c>
      <c r="S337" t="n">
        <f t="shared" si="52"/>
        <v>12453267.411019742</v>
      </c>
      <c r="T337" t="n">
        <f t="shared" si="53"/>
        <v>36131894.760868587</v>
      </c>
      <c r="U337" t="n">
        <f t="shared" si="54"/>
        <v>21395314.857323453</v>
      </c>
      <c r="V337" t="n">
        <f t="shared" si="55"/>
        <v>-2385803.46450991</v>
      </c>
      <c r="W337" t="n">
        <f t="shared" si="59"/>
        <v>1950.4675473681098</v>
      </c>
      <c r="X337" t="n">
        <f t="shared" si="60"/>
        <v>313393803.27794319</v>
      </c>
      <c r="Y337" t="n">
        <f t="shared" si="61"/>
        <v>0.68095133999317792</v>
      </c>
      <c r="Z337" t="n">
        <f t="shared" si="62"/>
        <v>213405930.2876738</v>
      </c>
    </row>
    <row r="338">
      <c r="B338" s="52" t="n">
        <v>2034</v>
      </c>
      <c r="C338" t="str">
        <f>tbl_detail_2022!C338</f>
        <v>Storage vessels</v>
      </c>
      <c r="D338" t="n">
        <f>tbl_detail_2022!D338</f>
        <v>0</v>
      </c>
      <c r="E338" t="n">
        <f>tbl_detail_2022!E338</f>
        <v>0</v>
      </c>
      <c r="F338" t="n">
        <f>tbl_detail_2022!F338</f>
        <v>15790.8867677627</v>
      </c>
      <c r="G338" t="n">
        <f>tbl_detail_2022!G338</f>
        <v>-17047.3526871459</v>
      </c>
      <c r="H338" t="n">
        <f>tbl_detail_2022!H338</f>
        <v>-81238.769149350497</v>
      </c>
      <c r="I338" t="n">
        <f>tbl_detail_2022!I338</f>
        <v>-3060.2644338560299</v>
      </c>
      <c r="J338" t="n">
        <f>tbl_detail_2022!J338</f>
        <v>-386627.45537941798</v>
      </c>
      <c r="K338" t="n">
        <f>tbl_detail_2022!K338</f>
        <v>489241051.619533</v>
      </c>
      <c r="L338" t="n">
        <f>tbl_detail_2022!L338</f>
        <v>0</v>
      </c>
      <c r="M338" t="n">
        <f>tbl_detail_2022!M338</f>
        <v>489241051.619533</v>
      </c>
      <c r="N338" t="n">
        <f>tbl_detail_2022!N338</f>
        <v>104607584.95017201</v>
      </c>
      <c r="O338" t="n">
        <f>tbl_detail_2022!O338</f>
        <v>360663853.77570099</v>
      </c>
      <c r="P338" t="n">
        <f t="shared" si="56"/>
        <v>13</v>
      </c>
      <c r="Q338" t="n">
        <f t="shared" si="57"/>
        <v>0.41496444788853759</v>
      </c>
      <c r="R338" t="n">
        <f t="shared" si="58"/>
        <v>203017642.86970702</v>
      </c>
      <c r="S338" t="n">
        <f t="shared" si="52"/>
        <v>0</v>
      </c>
      <c r="T338" t="n">
        <f t="shared" si="53"/>
        <v>203017642.86970702</v>
      </c>
      <c r="U338" t="n">
        <f t="shared" si="54"/>
        <v>43408428.733801425</v>
      </c>
      <c r="V338" t="n">
        <f t="shared" si="55"/>
        <v>149662676.95538601</v>
      </c>
      <c r="W338" t="n">
        <f t="shared" si="59"/>
        <v>1950.4675473681098</v>
      </c>
      <c r="X338" t="n">
        <f t="shared" si="60"/>
        <v>33250308.184816618</v>
      </c>
      <c r="Y338" t="n">
        <f t="shared" si="61"/>
        <v>0.68095133999317792</v>
      </c>
      <c r="Z338" t="n">
        <f t="shared" si="62"/>
        <v>22641841.913637009</v>
      </c>
    </row>
    <row r="339">
      <c r="B339" s="52" t="n">
        <v>2035</v>
      </c>
      <c r="C339" t="str">
        <f>tbl_detail_2022!C339</f>
        <v>fugitives</v>
      </c>
      <c r="D339" t="str">
        <f>tbl_detail_2022!D339</f>
        <v>G&amp;B Stations</v>
      </c>
      <c r="E339" t="n">
        <f>tbl_detail_2022!E339</f>
        <v>0</v>
      </c>
      <c r="F339" t="n">
        <f>tbl_detail_2022!F339</f>
        <v>4894.1050168458796</v>
      </c>
      <c r="G339" t="n">
        <f>tbl_detail_2022!G339</f>
        <v>-65119.127394521398</v>
      </c>
      <c r="H339" t="n">
        <f>tbl_detail_2022!H339</f>
        <v>-18101.470108373302</v>
      </c>
      <c r="I339" t="n">
        <f>tbl_detail_2022!I339</f>
        <v>-681.96050342746696</v>
      </c>
      <c r="J339" t="n">
        <f>tbl_detail_2022!J339</f>
        <v>-1476876.96636064</v>
      </c>
      <c r="K339" t="n">
        <f>tbl_detail_2022!K339</f>
        <v>65312576.921755001</v>
      </c>
      <c r="L339" t="n">
        <f>tbl_detail_2022!L339</f>
        <v>12155373.6505404</v>
      </c>
      <c r="M339" t="n">
        <f>tbl_detail_2022!M339</f>
        <v>53157203.271214701</v>
      </c>
      <c r="N339" t="n">
        <f>tbl_detail_2022!N339</f>
        <v>0</v>
      </c>
      <c r="O339" t="n">
        <f>tbl_detail_2022!O339</f>
        <v>62947978.726671703</v>
      </c>
      <c r="P339" t="n">
        <f t="shared" si="56"/>
        <v>14</v>
      </c>
      <c r="Q339" t="n">
        <f t="shared" si="57"/>
        <v>0.3878172410173249</v>
      </c>
      <c r="R339" t="n">
        <f t="shared" si="58"/>
        <v>25329343.385526832</v>
      </c>
      <c r="S339" t="n">
        <f t="shared" ref="S339:S340" si="63">L339*$Q339</f>
        <v>4714063.4726872668</v>
      </c>
      <c r="T339" t="n">
        <f t="shared" ref="T339:T340" si="64">M339*$Q339</f>
        <v>20615279.912839603</v>
      </c>
      <c r="U339" t="n">
        <f t="shared" ref="U339:U340" si="65">N339*$Q339</f>
        <v>0</v>
      </c>
      <c r="V339" t="n">
        <f t="shared" ref="V339:V340" si="66">O339*$Q339</f>
        <v>24412311.437395081</v>
      </c>
      <c r="W339" t="n">
        <f t="shared" si="59"/>
        <v>2000.103517179843</v>
      </c>
      <c r="X339" t="n">
        <f t="shared" si="60"/>
        <v>130244995.73746452</v>
      </c>
      <c r="Y339" t="n">
        <f t="shared" si="61"/>
        <v>0.66111780581861923</v>
      </c>
      <c r="Z339" t="n">
        <f t="shared" si="62"/>
        <v>86107285.800807953</v>
      </c>
    </row>
    <row r="340">
      <c r="B340" s="52" t="n">
        <v>2035</v>
      </c>
      <c r="C340" t="str">
        <f>tbl_detail_2022!C340</f>
        <v>fugitives</v>
      </c>
      <c r="D340" t="str">
        <f>tbl_detail_2022!D340</f>
        <v>Processing Plants</v>
      </c>
      <c r="E340" t="str">
        <f>tbl_detail_2022!E340</f>
        <v>Large Plants</v>
      </c>
      <c r="F340" t="n">
        <f>tbl_detail_2022!F340</f>
        <v>232.776191212512</v>
      </c>
      <c r="G340" t="n">
        <f>tbl_detail_2022!G340</f>
        <v>-5366.9314426951496</v>
      </c>
      <c r="H340" t="n">
        <f>tbl_detail_2022!H340</f>
        <v>-624.60317886515702</v>
      </c>
      <c r="I340" t="n">
        <f>tbl_detail_2022!I340</f>
        <v>-22.7915373528968</v>
      </c>
      <c r="J340" t="n">
        <f>tbl_detail_2022!J340</f>
        <v>-121719.957635981</v>
      </c>
      <c r="K340" t="n">
        <f>tbl_detail_2022!K340</f>
        <v>974932.99379829504</v>
      </c>
      <c r="L340" t="n">
        <f>tbl_detail_2022!L340</f>
        <v>954599.20127058902</v>
      </c>
      <c r="M340" t="n">
        <f>tbl_detail_2022!M340</f>
        <v>20333.7925277059</v>
      </c>
      <c r="N340" t="n">
        <f>tbl_detail_2022!N340</f>
        <v>-85336.365655655405</v>
      </c>
      <c r="O340" t="n">
        <f>tbl_detail_2022!O340</f>
        <v>1663690.7844620901</v>
      </c>
      <c r="P340" t="n">
        <f t="shared" si="56"/>
        <v>14</v>
      </c>
      <c r="Q340" t="n">
        <f t="shared" si="57"/>
        <v>0.3878172410173249</v>
      </c>
      <c r="R340" t="n">
        <f t="shared" si="58"/>
        <v>378095.8238316155</v>
      </c>
      <c r="S340" t="n">
        <f t="shared" si="63"/>
        <v>370210.02851410187</v>
      </c>
      <c r="T340" t="n">
        <f t="shared" si="64"/>
        <v>7885.795317513599</v>
      </c>
      <c r="U340" t="n">
        <f t="shared" si="65"/>
        <v>-33094.913887021881</v>
      </c>
      <c r="V340" t="n">
        <f t="shared" si="66"/>
        <v>645207.96993603674</v>
      </c>
      <c r="W340" t="n">
        <f t="shared" si="59"/>
        <v>2000.103517179843</v>
      </c>
      <c r="X340" t="n">
        <f t="shared" si="60"/>
        <v>10734418.454997659</v>
      </c>
      <c r="Y340" t="n">
        <f t="shared" si="61"/>
        <v>0.66111780581861923</v>
      </c>
      <c r="Z340" t="n">
        <f t="shared" si="62"/>
        <v>7096715.1757069444</v>
      </c>
    </row>
    <row r="341">
      <c r="B341" s="52" t="n">
        <v>2035</v>
      </c>
      <c r="C341" t="str">
        <f>tbl_detail_2022!C341</f>
        <v>fugitives</v>
      </c>
      <c r="D341" t="str">
        <f>tbl_detail_2022!D341</f>
        <v>Processing Plants</v>
      </c>
      <c r="E341" t="str">
        <f>tbl_detail_2022!E341</f>
        <v>Small Plants</v>
      </c>
      <c r="F341" t="n">
        <f>tbl_detail_2022!F341</f>
        <v>966.12419184661906</v>
      </c>
      <c r="G341" t="n">
        <f>tbl_detail_2022!G341</f>
        <v>-10698.4387356756</v>
      </c>
      <c r="H341" t="n">
        <f>tbl_detail_2022!H341</f>
        <v>-1255.0030047692101</v>
      </c>
      <c r="I341" t="n">
        <f>tbl_detail_2022!I341</f>
        <v>-45.815462611907201</v>
      </c>
      <c r="J341" t="n">
        <f>tbl_detail_2022!J341</f>
        <v>-242636.50907074401</v>
      </c>
      <c r="K341" t="n">
        <f>tbl_detail_2022!K341</f>
        <v>2588221.16784098</v>
      </c>
      <c r="L341" t="n">
        <f>tbl_detail_2022!L341</f>
        <v>1902897.6205422899</v>
      </c>
      <c r="M341" t="n">
        <f>tbl_detail_2022!M341</f>
        <v>685323.547298686</v>
      </c>
      <c r="N341" t="n">
        <f>tbl_detail_2022!N341</f>
        <v>-172913.93760315201</v>
      </c>
      <c r="O341" t="n">
        <f>tbl_detail_2022!O341</f>
        <v>3983825.7348211701</v>
      </c>
      <c r="P341" t="n">
        <f t="shared" ref="P341:P353" si="67">B341-2021</f>
        <v>14</v>
      </c>
      <c r="Q341" t="n">
        <f t="shared" ref="Q341:Q353" si="68" xml:space="preserve"> 1/(1+0.07)^P341</f>
        <v>0.3878172410173249</v>
      </c>
      <c r="R341" t="n">
        <f t="shared" ref="R341:R353" si="69">K341*$Q341</f>
        <v>1003756.7924547275</v>
      </c>
      <c r="S341" t="n">
        <f t="shared" ref="S341:S353" si="70">L341*$Q341</f>
        <v>737976.50513714331</v>
      </c>
      <c r="T341" t="n">
        <f t="shared" ref="T341:T353" si="71">M341*$Q341</f>
        <v>265780.28731758258</v>
      </c>
      <c r="U341" t="n">
        <f t="shared" ref="U341:U353" si="72">N341*$Q341</f>
        <v>-67059.006214696288</v>
      </c>
      <c r="V341" t="n">
        <f t="shared" ref="V341:V353" si="73">O341*$Q341</f>
        <v>1544996.3051721633</v>
      </c>
      <c r="W341" t="n">
        <f t="shared" si="59"/>
        <v>2000.103517179843</v>
      </c>
      <c r="X341" t="n">
        <f t="shared" si="60"/>
        <v>21397984.94355784</v>
      </c>
      <c r="Y341" t="n">
        <f t="shared" si="61"/>
        <v>0.66111780581861923</v>
      </c>
      <c r="Z341" t="n">
        <f t="shared" si="62"/>
        <v>14146588.854824809</v>
      </c>
    </row>
    <row r="342">
      <c r="B342" s="52" t="n">
        <v>2035</v>
      </c>
      <c r="C342" t="str">
        <f>tbl_detail_2022!C342</f>
        <v>fugitives</v>
      </c>
      <c r="D342" t="str">
        <f>tbl_detail_2022!D342</f>
        <v>T&amp;S Compressor Stations</v>
      </c>
      <c r="E342" t="str">
        <f>tbl_detail_2022!E342</f>
        <v>Compressor Stations (Transmission)</v>
      </c>
      <c r="F342" t="n">
        <f>tbl_detail_2022!F342</f>
        <v>1508.1641516914799</v>
      </c>
      <c r="G342" t="n">
        <f>tbl_detail_2022!G342</f>
        <v>-48733.2924340791</v>
      </c>
      <c r="H342" t="n">
        <f>tbl_detail_2022!H342</f>
        <v>-1348.67870197107</v>
      </c>
      <c r="I342" t="n">
        <f>tbl_detail_2022!I342</f>
        <v>-40.0580432477811</v>
      </c>
      <c r="J342" t="n">
        <f>tbl_detail_2022!J342</f>
        <v>-1105252.4806538499</v>
      </c>
      <c r="K342" t="n">
        <f>tbl_detail_2022!K342</f>
        <v>29662533.875112999</v>
      </c>
      <c r="L342" t="n">
        <f>tbl_detail_2022!L342</f>
        <v>8126284.9863986103</v>
      </c>
      <c r="M342" t="n">
        <f>tbl_detail_2022!M342</f>
        <v>21536248.888714399</v>
      </c>
      <c r="N342" t="n">
        <f>tbl_detail_2022!N342</f>
        <v>0</v>
      </c>
      <c r="O342" t="n">
        <f>tbl_detail_2022!O342</f>
        <v>24025054.936445199</v>
      </c>
      <c r="P342" t="n">
        <f t="shared" si="67"/>
        <v>14</v>
      </c>
      <c r="Q342" t="n">
        <f t="shared" si="68"/>
        <v>0.3878172410173249</v>
      </c>
      <c r="R342" t="n">
        <f t="shared" si="69"/>
        <v>11503642.049029263</v>
      </c>
      <c r="S342" t="n">
        <f t="shared" si="70"/>
        <v>3151513.4231456188</v>
      </c>
      <c r="T342" t="n">
        <f t="shared" si="71"/>
        <v>8352128.6258836472</v>
      </c>
      <c r="U342" t="n">
        <f t="shared" si="72"/>
        <v>0</v>
      </c>
      <c r="V342" t="n">
        <f t="shared" si="73"/>
        <v>9317330.520741839</v>
      </c>
      <c r="W342" t="n">
        <f t="shared" si="59"/>
        <v>2000.103517179843</v>
      </c>
      <c r="X342" t="n">
        <f t="shared" si="60"/>
        <v>97471629.601155445</v>
      </c>
      <c r="Y342" t="n">
        <f t="shared" si="61"/>
        <v>0.66111780581861923</v>
      </c>
      <c r="Z342" t="n">
        <f t="shared" si="62"/>
        <v>64440229.891481064</v>
      </c>
    </row>
    <row r="343">
      <c r="B343" s="52" t="n">
        <v>2035</v>
      </c>
      <c r="C343" t="str">
        <f>tbl_detail_2022!C343</f>
        <v>fugitives</v>
      </c>
      <c r="D343" t="str">
        <f>tbl_detail_2022!D343</f>
        <v>T&amp;S Compressor Stations</v>
      </c>
      <c r="E343" t="str">
        <f>tbl_detail_2022!E343</f>
        <v>Compressor Stations (Storage)</v>
      </c>
      <c r="F343" t="n">
        <f>tbl_detail_2022!F343</f>
        <v>270.735328189303</v>
      </c>
      <c r="G343" t="n">
        <f>tbl_detail_2022!G343</f>
        <v>-30850.557270571098</v>
      </c>
      <c r="H343" t="n">
        <f>tbl_detail_2022!H343</f>
        <v>-853.77957155347303</v>
      </c>
      <c r="I343" t="n">
        <f>tbl_detail_2022!I343</f>
        <v>-25.358700297837501</v>
      </c>
      <c r="J343" t="n">
        <f>tbl_detail_2022!J343</f>
        <v>-699678.86940895405</v>
      </c>
      <c r="K343" t="n">
        <f>tbl_detail_2022!K343</f>
        <v>6433747.3990476998</v>
      </c>
      <c r="L343" t="n">
        <f>tbl_detail_2022!L343</f>
        <v>5144335.7887011599</v>
      </c>
      <c r="M343" t="n">
        <f>tbl_detail_2022!M343</f>
        <v>1289411.6103465401</v>
      </c>
      <c r="N343" t="n">
        <f>tbl_detail_2022!N343</f>
        <v>0</v>
      </c>
      <c r="O343" t="n">
        <f>tbl_detail_2022!O343</f>
        <v>5421745.6823189799</v>
      </c>
      <c r="P343" t="n">
        <f t="shared" si="67"/>
        <v>14</v>
      </c>
      <c r="Q343" t="n">
        <f t="shared" si="68"/>
        <v>0.3878172410173249</v>
      </c>
      <c r="R343" t="n">
        <f t="shared" si="69"/>
        <v>2495118.1657010689</v>
      </c>
      <c r="S343" t="n">
        <f t="shared" si="70"/>
        <v>1995062.1124407679</v>
      </c>
      <c r="T343" t="n">
        <f t="shared" si="71"/>
        <v>500056.05326030118</v>
      </c>
      <c r="U343" t="n">
        <f t="shared" si="72"/>
        <v>0</v>
      </c>
      <c r="V343" t="n">
        <f t="shared" si="73"/>
        <v>2102646.4520145403</v>
      </c>
      <c r="W343" t="n">
        <f t="shared" si="59"/>
        <v>2000.103517179843</v>
      </c>
      <c r="X343" t="n">
        <f t="shared" si="60"/>
        <v>61704308.103827432</v>
      </c>
      <c r="Y343" t="n">
        <f t="shared" si="61"/>
        <v>0.66111780581861923</v>
      </c>
      <c r="Z343" t="n">
        <f t="shared" si="62"/>
        <v>40793816.783158436</v>
      </c>
    </row>
    <row r="344">
      <c r="B344" s="52" t="n">
        <v>2035</v>
      </c>
      <c r="C344" t="str">
        <f>tbl_detail_2022!C344</f>
        <v>fugitives</v>
      </c>
      <c r="D344" t="str">
        <f>tbl_detail_2022!D344</f>
        <v>Wellpad Fugitives</v>
      </c>
      <c r="E344" t="str">
        <f>tbl_detail_2022!E344</f>
        <v>1: No equipment, no tanks</v>
      </c>
      <c r="F344" t="n">
        <f>tbl_detail_2022!F344</f>
        <v>164689.41957253101</v>
      </c>
      <c r="G344" t="n">
        <f>tbl_detail_2022!G344</f>
        <v>-36988.8642062734</v>
      </c>
      <c r="H344" t="n">
        <f>tbl_detail_2022!H344</f>
        <v>-10281.968542046199</v>
      </c>
      <c r="I344" t="n">
        <f>tbl_detail_2022!I344</f>
        <v>-387.32175497887903</v>
      </c>
      <c r="J344" t="n">
        <f>tbl_detail_2022!J344</f>
        <v>-838893.32894658495</v>
      </c>
      <c r="K344" t="n">
        <f>tbl_detail_2022!K344</f>
        <v>114709511.335683</v>
      </c>
      <c r="L344" t="n">
        <f>tbl_detail_2022!L344</f>
        <v>6904476.2011687802</v>
      </c>
      <c r="M344" t="n">
        <f>tbl_detail_2022!M344</f>
        <v>107805035.134514</v>
      </c>
      <c r="N344" t="n">
        <f>tbl_detail_2022!N344</f>
        <v>650139.390895269</v>
      </c>
      <c r="O344" t="n">
        <f>tbl_detail_2022!O344</f>
        <v>111969487.949185</v>
      </c>
      <c r="P344" t="n">
        <f t="shared" si="67"/>
        <v>14</v>
      </c>
      <c r="Q344" t="n">
        <f t="shared" si="68"/>
        <v>0.3878172410173249</v>
      </c>
      <c r="R344" t="n">
        <f t="shared" si="69"/>
        <v>44486326.204650141</v>
      </c>
      <c r="S344" t="n">
        <f t="shared" si="70"/>
        <v>2677674.9110070565</v>
      </c>
      <c r="T344" t="n">
        <f t="shared" si="71"/>
        <v>41808651.293642998</v>
      </c>
      <c r="U344" t="n">
        <f t="shared" si="72"/>
        <v>252135.26485368735</v>
      </c>
      <c r="V344" t="n">
        <f t="shared" si="73"/>
        <v>43423697.894575536</v>
      </c>
      <c r="W344" t="n">
        <f t="shared" si="59"/>
        <v>2000.103517179843</v>
      </c>
      <c r="X344" t="n">
        <f t="shared" si="60"/>
        <v>73981557.395455033</v>
      </c>
      <c r="Y344" t="n">
        <f t="shared" si="61"/>
        <v>0.66111780581861923</v>
      </c>
      <c r="Z344" t="n">
        <f t="shared" si="62"/>
        <v>48910524.896327473</v>
      </c>
    </row>
    <row r="345">
      <c r="B345" s="52" t="n">
        <v>2035</v>
      </c>
      <c r="C345" t="str">
        <f>tbl_detail_2022!C345</f>
        <v>fugitives</v>
      </c>
      <c r="D345" t="str">
        <f>tbl_detail_2022!D345</f>
        <v>Wellpad Fugitives</v>
      </c>
      <c r="E345" t="str">
        <f>tbl_detail_2022!E345</f>
        <v>2: Tanks, no equipment</v>
      </c>
      <c r="F345" t="n">
        <f>tbl_detail_2022!F345</f>
        <v>26393.112047015999</v>
      </c>
      <c r="G345" t="n">
        <f>tbl_detail_2022!G345</f>
        <v>-8599.6759332305191</v>
      </c>
      <c r="H345" t="n">
        <f>tbl_detail_2022!H345</f>
        <v>-2390.4923634359998</v>
      </c>
      <c r="I345" t="n">
        <f>tbl_detail_2022!I345</f>
        <v>-90.049847330634194</v>
      </c>
      <c r="J345" t="n">
        <f>tbl_detail_2022!J345</f>
        <v>-195037.3693893</v>
      </c>
      <c r="K345" t="n">
        <f>tbl_detail_2022!K345</f>
        <v>29011147.8522618</v>
      </c>
      <c r="L345" t="n">
        <f>tbl_detail_2022!L345</f>
        <v>1605246.85179935</v>
      </c>
      <c r="M345" t="n">
        <f>tbl_detail_2022!M345</f>
        <v>27405901.000462499</v>
      </c>
      <c r="N345" t="n">
        <f>tbl_detail_2022!N345</f>
        <v>505239.349530835</v>
      </c>
      <c r="O345" t="n">
        <f>tbl_detail_2022!O345</f>
        <v>27773943.942847099</v>
      </c>
      <c r="P345" t="n">
        <f t="shared" si="67"/>
        <v>14</v>
      </c>
      <c r="Q345" t="n">
        <f t="shared" si="68"/>
        <v>0.3878172410173249</v>
      </c>
      <c r="R345" t="n">
        <f t="shared" si="69"/>
        <v>11251023.318809861</v>
      </c>
      <c r="S345" t="n">
        <f t="shared" si="70"/>
        <v>622542.40521657059</v>
      </c>
      <c r="T345" t="n">
        <f t="shared" si="71"/>
        <v>10628480.913593311</v>
      </c>
      <c r="U345" t="n">
        <f t="shared" si="72"/>
        <v>195940.53058843629</v>
      </c>
      <c r="V345" t="n">
        <f t="shared" si="73"/>
        <v>10771214.312084805</v>
      </c>
      <c r="W345" t="n">
        <f t="shared" si="59"/>
        <v>2000.103517179843</v>
      </c>
      <c r="X345" t="n">
        <f t="shared" si="60"/>
        <v>17200242.080661211</v>
      </c>
      <c r="Y345" t="n">
        <f t="shared" si="61"/>
        <v>0.66111780581861923</v>
      </c>
      <c r="Z345" t="n">
        <f t="shared" si="62"/>
        <v>11371386.303915821</v>
      </c>
    </row>
    <row r="346">
      <c r="B346" s="52" t="n">
        <v>2035</v>
      </c>
      <c r="C346" t="str">
        <f>tbl_detail_2022!C346</f>
        <v>fugitives</v>
      </c>
      <c r="D346" t="str">
        <f>tbl_detail_2022!D346</f>
        <v>Wellpad Fugitives</v>
      </c>
      <c r="E346" t="str">
        <f>tbl_detail_2022!E346</f>
        <v>3: Equipment = 1, no tanks</v>
      </c>
      <c r="F346" t="n">
        <f>tbl_detail_2022!F346</f>
        <v>21769.382052144101</v>
      </c>
      <c r="G346" t="n">
        <f>tbl_detail_2022!G346</f>
        <v>-17346.251284844799</v>
      </c>
      <c r="H346" t="n">
        <f>tbl_detail_2022!H346</f>
        <v>-4821.81904906811</v>
      </c>
      <c r="I346" t="n">
        <f>tbl_detail_2022!I346</f>
        <v>-181.637923578396</v>
      </c>
      <c r="J346" t="n">
        <f>tbl_detail_2022!J346</f>
        <v>-393406.361545416</v>
      </c>
      <c r="K346" t="n">
        <f>tbl_detail_2022!K346</f>
        <v>9928305.9062213395</v>
      </c>
      <c r="L346" t="n">
        <f>tbl_detail_2022!L346</f>
        <v>3237914.48441912</v>
      </c>
      <c r="M346" t="n">
        <f>tbl_detail_2022!M346</f>
        <v>6690391.4218022199</v>
      </c>
      <c r="N346" t="n">
        <f>tbl_detail_2022!N346</f>
        <v>-271836.35991946299</v>
      </c>
      <c r="O346" t="n">
        <f>tbl_detail_2022!O346</f>
        <v>9986448.7298620902</v>
      </c>
      <c r="P346" t="n">
        <f t="shared" si="67"/>
        <v>14</v>
      </c>
      <c r="Q346" t="n">
        <f t="shared" si="68"/>
        <v>0.3878172410173249</v>
      </c>
      <c r="R346" t="n">
        <f t="shared" si="69"/>
        <v>3850368.2045267713</v>
      </c>
      <c r="S346" t="n">
        <f t="shared" si="70"/>
        <v>1255719.0619974572</v>
      </c>
      <c r="T346" t="n">
        <f t="shared" si="71"/>
        <v>2594649.1425293144</v>
      </c>
      <c r="U346" t="n">
        <f t="shared" si="72"/>
        <v>-105422.82711215866</v>
      </c>
      <c r="V346" t="n">
        <f t="shared" si="73"/>
        <v>3872916.9939760845</v>
      </c>
      <c r="W346" t="n">
        <f t="shared" si="59"/>
        <v>2000.103517179843</v>
      </c>
      <c r="X346" t="n">
        <f t="shared" si="60"/>
        <v>34694298.20470345</v>
      </c>
      <c r="Y346" t="n">
        <f t="shared" si="61"/>
        <v>0.66111780581861923</v>
      </c>
      <c r="Z346" t="n">
        <f t="shared" si="62"/>
        <v>22937018.303510405</v>
      </c>
    </row>
    <row r="347">
      <c r="B347" s="52" t="n">
        <v>2035</v>
      </c>
      <c r="C347" t="str">
        <f>tbl_detail_2022!C347</f>
        <v>fugitives</v>
      </c>
      <c r="D347" t="str">
        <f>tbl_detail_2022!D347</f>
        <v>Wellpad Fugitives</v>
      </c>
      <c r="E347" t="str">
        <f>tbl_detail_2022!E347</f>
        <v>4: Equipment &gt; 1, no tanks</v>
      </c>
      <c r="F347" t="n">
        <f>tbl_detail_2022!F347</f>
        <v>33757.776291662398</v>
      </c>
      <c r="G347" t="n">
        <f>tbl_detail_2022!G347</f>
        <v>-49214.883876868204</v>
      </c>
      <c r="H347" t="n">
        <f>tbl_detail_2022!H347</f>
        <v>-13680.492728851899</v>
      </c>
      <c r="I347" t="n">
        <f>tbl_detail_2022!I347</f>
        <v>-515.34416109585197</v>
      </c>
      <c r="J347" t="n">
        <f>tbl_detail_2022!J347</f>
        <v>-1116174.7908491699</v>
      </c>
      <c r="K347" t="n">
        <f>tbl_detail_2022!K347</f>
        <v>105075819.098609</v>
      </c>
      <c r="L347" t="n">
        <f>tbl_detail_2022!L347</f>
        <v>9186629.5914404094</v>
      </c>
      <c r="M347" t="n">
        <f>tbl_detail_2022!M347</f>
        <v>95889189.5071688</v>
      </c>
      <c r="N347" t="n">
        <f>tbl_detail_2022!N347</f>
        <v>19638.761326782202</v>
      </c>
      <c r="O347" t="n">
        <f>tbl_detail_2022!O347</f>
        <v>101845617.500395</v>
      </c>
      <c r="P347" t="n">
        <f t="shared" si="67"/>
        <v>14</v>
      </c>
      <c r="Q347" t="n">
        <f t="shared" si="68"/>
        <v>0.3878172410173249</v>
      </c>
      <c r="R347" t="n">
        <f t="shared" si="69"/>
        <v>40750214.260458075</v>
      </c>
      <c r="S347" t="n">
        <f t="shared" si="70"/>
        <v>3562733.3424005341</v>
      </c>
      <c r="T347" t="n">
        <f t="shared" si="71"/>
        <v>37187480.918057621</v>
      </c>
      <c r="U347" t="n">
        <f t="shared" si="72"/>
        <v>7616.2502347504123</v>
      </c>
      <c r="V347" t="n">
        <f t="shared" si="73"/>
        <v>39497486.388708971</v>
      </c>
      <c r="W347" t="n">
        <f t="shared" si="59"/>
        <v>2000.103517179843</v>
      </c>
      <c r="X347" t="n">
        <f t="shared" si="60"/>
        <v>98434862.33972165</v>
      </c>
      <c r="Y347" t="n">
        <f t="shared" si="61"/>
        <v>0.66111780581861923</v>
      </c>
      <c r="Z347" t="n">
        <f t="shared" si="62"/>
        <v>65077040.206094615</v>
      </c>
    </row>
    <row r="348">
      <c r="B348" s="52" t="n">
        <v>2035</v>
      </c>
      <c r="C348" t="str">
        <f>tbl_detail_2022!C348</f>
        <v>fugitives</v>
      </c>
      <c r="D348" t="str">
        <f>tbl_detail_2022!D348</f>
        <v>Wellpad Fugitives</v>
      </c>
      <c r="E348" t="str">
        <f>tbl_detail_2022!E348</f>
        <v>5: Equipment = 1 and tanks</v>
      </c>
      <c r="F348" t="n">
        <f>tbl_detail_2022!F348</f>
        <v>49177.604337724399</v>
      </c>
      <c r="G348" t="n">
        <f>tbl_detail_2022!G348</f>
        <v>-55855.4335080694</v>
      </c>
      <c r="H348" t="n">
        <f>tbl_detail_2022!H348</f>
        <v>-15526.397540341801</v>
      </c>
      <c r="I348" t="n">
        <f>tbl_detail_2022!I348</f>
        <v>-584.87939534467705</v>
      </c>
      <c r="J348" t="n">
        <f>tbl_detail_2022!J348</f>
        <v>-1266779.92311513</v>
      </c>
      <c r="K348" t="n">
        <f>tbl_detail_2022!K348</f>
        <v>180944428.73868999</v>
      </c>
      <c r="L348" t="n">
        <f>tbl_detail_2022!L348</f>
        <v>10426178.7875342</v>
      </c>
      <c r="M348" t="n">
        <f>tbl_detail_2022!M348</f>
        <v>170518249.95115599</v>
      </c>
      <c r="N348" t="n">
        <f>tbl_detail_2022!N348</f>
        <v>13746.860371752</v>
      </c>
      <c r="O348" t="n">
        <f>tbl_detail_2022!O348</f>
        <v>174489430.330744</v>
      </c>
      <c r="P348" t="n">
        <f t="shared" si="67"/>
        <v>14</v>
      </c>
      <c r="Q348" t="n">
        <f t="shared" si="68"/>
        <v>0.3878172410173249</v>
      </c>
      <c r="R348" t="n">
        <f t="shared" si="69"/>
        <v>70173369.130894706</v>
      </c>
      <c r="S348" t="n">
        <f t="shared" si="70"/>
        <v>4043451.8917348711</v>
      </c>
      <c r="T348" t="n">
        <f t="shared" si="71"/>
        <v>66129917.239159912</v>
      </c>
      <c r="U348" t="n">
        <f t="shared" si="72"/>
        <v>5331.2694620232578</v>
      </c>
      <c r="V348" t="n">
        <f t="shared" si="73"/>
        <v>67670009.457553864</v>
      </c>
      <c r="W348" t="n">
        <f t="shared" si="59"/>
        <v>2000.103517179843</v>
      </c>
      <c r="X348" t="n">
        <f t="shared" si="60"/>
        <v>111716649.01309447</v>
      </c>
      <c r="Y348" t="n">
        <f t="shared" si="61"/>
        <v>0.66111780581861923</v>
      </c>
      <c r="Z348" t="n">
        <f t="shared" si="62"/>
        <v>73857865.868945822</v>
      </c>
    </row>
    <row r="349">
      <c r="B349" s="52" t="n">
        <v>2035</v>
      </c>
      <c r="C349" t="str">
        <f>tbl_detail_2022!C349</f>
        <v>fugitives</v>
      </c>
      <c r="D349" t="str">
        <f>tbl_detail_2022!D349</f>
        <v>Wellpad Fugitives</v>
      </c>
      <c r="E349" t="str">
        <f>tbl_detail_2022!E349</f>
        <v>6: Equipment &gt; 1 and tanks</v>
      </c>
      <c r="F349" t="n">
        <f>tbl_detail_2022!F349</f>
        <v>148826.253037291</v>
      </c>
      <c r="G349" t="n">
        <f>tbl_detail_2022!G349</f>
        <v>-155148.13259676099</v>
      </c>
      <c r="H349" t="n">
        <f>tbl_detail_2022!H349</f>
        <v>-43127.256079589402</v>
      </c>
      <c r="I349" t="n">
        <f>tbl_detail_2022!I349</f>
        <v>-1624.6037365181301</v>
      </c>
      <c r="J349" t="n">
        <f>tbl_detail_2022!J349</f>
        <v>-3518700.4582819599</v>
      </c>
      <c r="K349" t="n">
        <f>tbl_detail_2022!K349</f>
        <v>435247780.397928</v>
      </c>
      <c r="L349" t="n">
        <f>tbl_detail_2022!L349</f>
        <v>28960515.878409602</v>
      </c>
      <c r="M349" t="n">
        <f>tbl_detail_2022!M349</f>
        <v>406287264.51951802</v>
      </c>
      <c r="N349" t="n">
        <f>tbl_detail_2022!N349</f>
        <v>102392.319348651</v>
      </c>
      <c r="O349" t="n">
        <f>tbl_detail_2022!O349</f>
        <v>422763953.69389701</v>
      </c>
      <c r="P349" t="n">
        <f t="shared" si="67"/>
        <v>14</v>
      </c>
      <c r="Q349" t="n">
        <f t="shared" si="68"/>
        <v>0.3878172410173249</v>
      </c>
      <c r="R349" t="n">
        <f t="shared" si="69"/>
        <v>168796593.35283893</v>
      </c>
      <c r="S349" t="n">
        <f t="shared" si="70"/>
        <v>11231387.366403241</v>
      </c>
      <c r="T349" t="n">
        <f t="shared" si="71"/>
        <v>157565205.98643556</v>
      </c>
      <c r="U349" t="n">
        <f t="shared" si="72"/>
        <v>39709.506791158681</v>
      </c>
      <c r="V349" t="n">
        <f t="shared" si="73"/>
        <v>163955150.12314323</v>
      </c>
      <c r="W349" t="n">
        <f t="shared" si="59"/>
        <v>2000.103517179843</v>
      </c>
      <c r="X349" t="n">
        <f t="shared" si="60"/>
        <v>310312325.69066632</v>
      </c>
      <c r="Y349" t="n">
        <f t="shared" si="61"/>
        <v>0.66111780581861923</v>
      </c>
      <c r="Z349" t="n">
        <f t="shared" si="62"/>
        <v>205153003.87908608</v>
      </c>
    </row>
    <row r="350">
      <c r="B350" s="52" t="n">
        <v>2035</v>
      </c>
      <c r="C350" t="str">
        <f>tbl_detail_2022!C350</f>
        <v>compressors</v>
      </c>
      <c r="D350" t="str">
        <f>tbl_detail_2022!D350</f>
        <v>G&amp;B Station Recip Comp</v>
      </c>
      <c r="E350" t="n">
        <f>tbl_detail_2022!E350</f>
        <v>0</v>
      </c>
      <c r="F350" t="n">
        <f>tbl_detail_2022!F350</f>
        <v>31273.977154463999</v>
      </c>
      <c r="G350" t="n">
        <f>tbl_detail_2022!G350</f>
        <v>-198847.28965324699</v>
      </c>
      <c r="H350" t="n">
        <f>tbl_detail_2022!H350</f>
        <v>-55274.516318105903</v>
      </c>
      <c r="I350" t="n">
        <f>tbl_detail_2022!I350</f>
        <v>-2082.4295899352701</v>
      </c>
      <c r="J350" t="n">
        <f>tbl_detail_2022!J350</f>
        <v>-4509780.6690946398</v>
      </c>
      <c r="K350" t="n">
        <f>tbl_detail_2022!K350</f>
        <v>34185079.675810598</v>
      </c>
      <c r="L350" t="n">
        <f>tbl_detail_2022!L350</f>
        <v>37117559.799116701</v>
      </c>
      <c r="M350" t="n">
        <f>tbl_detail_2022!M350</f>
        <v>-2932480.1233060998</v>
      </c>
      <c r="N350" t="n">
        <f>tbl_detail_2022!N350</f>
        <v>0</v>
      </c>
      <c r="O350" t="n">
        <f>tbl_detail_2022!O350</f>
        <v>18670564.361214999</v>
      </c>
      <c r="P350" t="n">
        <f t="shared" si="67"/>
        <v>14</v>
      </c>
      <c r="Q350" t="n">
        <f t="shared" si="68"/>
        <v>0.3878172410173249</v>
      </c>
      <c r="R350" t="n">
        <f t="shared" si="69"/>
        <v>13257563.283830294</v>
      </c>
      <c r="S350" t="n">
        <f t="shared" si="70"/>
        <v>14394829.634589011</v>
      </c>
      <c r="T350" t="n">
        <f t="shared" si="71"/>
        <v>-1137266.3507587162</v>
      </c>
      <c r="U350" t="n">
        <f t="shared" si="72"/>
        <v>0</v>
      </c>
      <c r="V350" t="n">
        <f t="shared" si="73"/>
        <v>7240766.7588027939</v>
      </c>
      <c r="W350" t="n">
        <f t="shared" si="59"/>
        <v>2000.103517179843</v>
      </c>
      <c r="X350" t="n">
        <f t="shared" si="60"/>
        <v>397715163.41713834</v>
      </c>
      <c r="Y350" t="n">
        <f t="shared" si="61"/>
        <v>0.66111780581861923</v>
      </c>
      <c r="Z350" t="n">
        <f t="shared" si="62"/>
        <v>262936576.17913207</v>
      </c>
    </row>
    <row r="351">
      <c r="B351" s="52" t="n">
        <v>2035</v>
      </c>
      <c r="C351" t="str">
        <f>tbl_detail_2022!C351</f>
        <v>compressors</v>
      </c>
      <c r="D351" t="str">
        <f>tbl_detail_2022!D351</f>
        <v>Proc Recip Comp</v>
      </c>
      <c r="E351" t="n">
        <f>tbl_detail_2022!E351</f>
        <v>0</v>
      </c>
      <c r="F351" t="n">
        <f>tbl_detail_2022!F351</f>
        <v>4170.5133937487799</v>
      </c>
      <c r="G351" t="n">
        <f>tbl_detail_2022!G351</f>
        <v>-63757.3572542576</v>
      </c>
      <c r="H351" t="n">
        <f>tbl_detail_2022!H351</f>
        <v>-17722.932457843599</v>
      </c>
      <c r="I351" t="n">
        <f>tbl_detail_2022!I351</f>
        <v>-667.69935639488403</v>
      </c>
      <c r="J351" t="n">
        <f>tbl_detail_2022!J351</f>
        <v>-1445992.5390947701</v>
      </c>
      <c r="K351" t="n">
        <f>tbl_detail_2022!K351</f>
        <v>6862686.8347022701</v>
      </c>
      <c r="L351" t="n">
        <f>tbl_detail_2022!L351</f>
        <v>11340320.434477899</v>
      </c>
      <c r="M351" t="n">
        <f>tbl_detail_2022!M351</f>
        <v>-4477633.5997756403</v>
      </c>
      <c r="N351" t="n">
        <f>tbl_detail_2022!N351</f>
        <v>13375501.051341999</v>
      </c>
      <c r="O351" t="n">
        <f>tbl_detail_2022!O351</f>
        <v>2489796.4960680199</v>
      </c>
      <c r="P351" t="n">
        <f t="shared" si="67"/>
        <v>14</v>
      </c>
      <c r="Q351" t="n">
        <f t="shared" si="68"/>
        <v>0.3878172410173249</v>
      </c>
      <c r="R351" t="n">
        <f t="shared" si="69"/>
        <v>2661468.2742001526</v>
      </c>
      <c r="S351" t="n">
        <f t="shared" si="70"/>
        <v>4397971.7831516098</v>
      </c>
      <c r="T351" t="n">
        <f t="shared" si="71"/>
        <v>-1736503.5089514616</v>
      </c>
      <c r="U351" t="n">
        <f t="shared" si="72"/>
        <v>5187249.9149557827</v>
      </c>
      <c r="V351" t="n">
        <f t="shared" si="73"/>
        <v>965586.00779970235</v>
      </c>
      <c r="W351" t="n">
        <f t="shared" si="59"/>
        <v>2000.103517179843</v>
      </c>
      <c r="X351" t="n">
        <f t="shared" si="60"/>
        <v>127521314.49033241</v>
      </c>
      <c r="Y351" t="n">
        <f t="shared" si="61"/>
        <v>0.66111780581861923</v>
      </c>
      <c r="Z351" t="n">
        <f t="shared" si="62"/>
        <v>84306611.630954653</v>
      </c>
    </row>
    <row r="352">
      <c r="B352" s="52" t="n">
        <v>2035</v>
      </c>
      <c r="C352" t="str">
        <f>tbl_detail_2022!C352</f>
        <v>compressors</v>
      </c>
      <c r="D352" t="str">
        <f>tbl_detail_2022!D352</f>
        <v>T&amp;S Recip Comp</v>
      </c>
      <c r="E352" t="str">
        <f>tbl_detail_2022!E352</f>
        <v>Reciprocating Compressors (Transmission)</v>
      </c>
      <c r="F352" t="n">
        <f>tbl_detail_2022!F352</f>
        <v>10171.8797047183</v>
      </c>
      <c r="G352" t="n">
        <f>tbl_detail_2022!G352</f>
        <v>-104196.292461248</v>
      </c>
      <c r="H352" t="n">
        <f>tbl_detail_2022!H352</f>
        <v>-2883.5999672487501</v>
      </c>
      <c r="I352" t="n">
        <f>tbl_detail_2022!I352</f>
        <v>-85.647806277753503</v>
      </c>
      <c r="J352" t="n">
        <f>tbl_detail_2022!J352</f>
        <v>-2363132.1621355298</v>
      </c>
      <c r="K352" t="n">
        <f>tbl_detail_2022!K352</f>
        <v>12053704.671991199</v>
      </c>
      <c r="L352" t="n">
        <f>tbl_detail_2022!L352</f>
        <v>17374749.8840059</v>
      </c>
      <c r="M352" t="n">
        <f>tbl_detail_2022!M352</f>
        <v>-5321045.2120146099</v>
      </c>
      <c r="N352" t="n">
        <f>tbl_detail_2022!N352</f>
        <v>0</v>
      </c>
      <c r="O352" t="n">
        <f>tbl_detail_2022!O352</f>
        <v>6072612.1837168001</v>
      </c>
      <c r="P352" t="n">
        <f t="shared" si="67"/>
        <v>14</v>
      </c>
      <c r="Q352" t="n">
        <f t="shared" si="68"/>
        <v>0.3878172410173249</v>
      </c>
      <c r="R352" t="n">
        <f t="shared" si="69"/>
        <v>4674634.4899292663</v>
      </c>
      <c r="S352" t="n">
        <f t="shared" si="70"/>
        <v>6738227.5633812537</v>
      </c>
      <c r="T352" t="n">
        <f t="shared" si="71"/>
        <v>-2063593.0734519525</v>
      </c>
      <c r="U352" t="n">
        <f t="shared" si="72"/>
        <v>0</v>
      </c>
      <c r="V352" t="n">
        <f t="shared" si="73"/>
        <v>2355063.702857242</v>
      </c>
      <c r="W352" t="n">
        <f t="shared" si="59"/>
        <v>2000.103517179843</v>
      </c>
      <c r="X352" t="n">
        <f t="shared" si="60"/>
        <v>208403371.02884167</v>
      </c>
      <c r="Y352" t="n">
        <f t="shared" si="61"/>
        <v>0.66111780581861923</v>
      </c>
      <c r="Z352" t="n">
        <f t="shared" si="62"/>
        <v>137779179.37979141</v>
      </c>
    </row>
    <row r="353">
      <c r="B353" s="52" t="n">
        <v>2035</v>
      </c>
      <c r="C353" t="str">
        <f>tbl_detail_2022!C353</f>
        <v>compressors</v>
      </c>
      <c r="D353" t="str">
        <f>tbl_detail_2022!D353</f>
        <v>T&amp;S Recip Comp</v>
      </c>
      <c r="E353" t="str">
        <f>tbl_detail_2022!E353</f>
        <v>Reciprocating Compressors (Storage)</v>
      </c>
      <c r="F353" t="n">
        <f>tbl_detail_2022!F353</f>
        <v>1390.7552963692101</v>
      </c>
      <c r="G353" t="n">
        <f>tbl_detail_2022!G353</f>
        <v>-30926.1094666114</v>
      </c>
      <c r="H353" t="n">
        <f>tbl_detail_2022!H353</f>
        <v>-855.87045506651395</v>
      </c>
      <c r="I353" t="n">
        <f>tbl_detail_2022!I353</f>
        <v>-25.420803081894999</v>
      </c>
      <c r="J353" t="n">
        <f>tbl_detail_2022!J353</f>
        <v>-701392.36439198395</v>
      </c>
      <c r="K353" t="n">
        <f>tbl_detail_2022!K353</f>
        <v>3361713.95166618</v>
      </c>
      <c r="L353" t="n">
        <f>tbl_detail_2022!L353</f>
        <v>5156934.1305267597</v>
      </c>
      <c r="M353" t="n">
        <f>tbl_detail_2022!M353</f>
        <v>-1795220.1788605901</v>
      </c>
      <c r="N353" t="n">
        <f>tbl_detail_2022!N353</f>
        <v>0</v>
      </c>
      <c r="O353" t="n">
        <f>tbl_detail_2022!O353</f>
        <v>830280.91193241603</v>
      </c>
      <c r="P353" t="n">
        <f t="shared" si="67"/>
        <v>14</v>
      </c>
      <c r="Q353" t="n">
        <f t="shared" si="68"/>
        <v>0.3878172410173249</v>
      </c>
      <c r="R353" t="n">
        <f t="shared" si="69"/>
        <v>1303730.6298246267</v>
      </c>
      <c r="S353" t="n">
        <f t="shared" si="70"/>
        <v>1999947.9666089651</v>
      </c>
      <c r="T353" t="n">
        <f t="shared" si="71"/>
        <v>-696217.33678434254</v>
      </c>
      <c r="U353" t="n">
        <f t="shared" si="72"/>
        <v>0</v>
      </c>
      <c r="V353" t="n">
        <f t="shared" si="73"/>
        <v>321997.25253497809</v>
      </c>
      <c r="W353" t="n">
        <f t="shared" si="59"/>
        <v>2000.103517179843</v>
      </c>
      <c r="X353" t="n">
        <f t="shared" si="60"/>
        <v>61855420.316858299</v>
      </c>
      <c r="Y353" t="n">
        <f t="shared" si="61"/>
        <v>0.66111780581861923</v>
      </c>
      <c r="Z353" t="n">
        <f t="shared" si="62"/>
        <v>40893719.757869802</v>
      </c>
    </row>
    <row r="354">
      <c r="B354" s="52" t="n">
        <v>2035</v>
      </c>
      <c r="C354" t="str">
        <f>tbl_detail_2022!C354</f>
        <v>compressors</v>
      </c>
      <c r="D354" t="str">
        <f>tbl_detail_2022!D354</f>
        <v>Wet Seal Centrifugal Compr</v>
      </c>
      <c r="E354" t="str">
        <f>tbl_detail_2022!E354</f>
        <v>G&amp;B WS Centrifugal Comp</v>
      </c>
      <c r="F354" t="n">
        <f>tbl_detail_2022!F354</f>
        <v>416.25274233515199</v>
      </c>
      <c r="G354" t="n">
        <f>tbl_detail_2022!G354</f>
        <v>-93343.835258696301</v>
      </c>
      <c r="H354" t="n">
        <f>tbl_detail_2022!H354</f>
        <v>-25947.224899060398</v>
      </c>
      <c r="I354" t="n">
        <f>tbl_detail_2022!I354</f>
        <v>-977.54394802020397</v>
      </c>
      <c r="J354" t="n">
        <f>tbl_detail_2022!J354</f>
        <v>-2117002.5729940799</v>
      </c>
      <c r="K354" t="n">
        <f>tbl_detail_2022!K354</f>
        <v>10406318.558378801</v>
      </c>
      <c r="L354" t="n">
        <f>tbl_detail_2022!L354</f>
        <v>17423900.4873305</v>
      </c>
      <c r="M354" t="n">
        <f>tbl_detail_2022!M354</f>
        <v>-7017581.92895169</v>
      </c>
      <c r="N354" t="n">
        <f>tbl_detail_2022!N354</f>
        <v>0</v>
      </c>
      <c r="O354" t="n">
        <f>tbl_detail_2022!O354</f>
        <v>10406318.558378801</v>
      </c>
      <c r="P354" t="n">
        <f t="shared" ref="P354:P366" si="74">B354-2021</f>
        <v>14</v>
      </c>
      <c r="Q354" t="n">
        <f t="shared" ref="Q354:Q366" si="75" xml:space="preserve"> 1/(1+0.07)^P354</f>
        <v>0.3878172410173249</v>
      </c>
      <c r="R354" t="n">
        <f t="shared" ref="R354:R366" si="76">K354*$Q354</f>
        <v>4035749.7524578525</v>
      </c>
      <c r="S354" t="n">
        <f t="shared" ref="S354:S366" si="77">L354*$Q354</f>
        <v>6757289.0147569375</v>
      </c>
      <c r="T354" t="n">
        <f t="shared" ref="T354:T366" si="78">M354*$Q354</f>
        <v>-2721539.2622990813</v>
      </c>
      <c r="U354" t="n">
        <f t="shared" ref="U354:U366" si="79">N354*$Q354</f>
        <v>0</v>
      </c>
      <c r="V354" t="n">
        <f t="shared" ref="V354:V366" si="80">O354*$Q354</f>
        <v>4035749.7524578525</v>
      </c>
      <c r="W354" t="n">
        <f t="shared" si="59"/>
        <v>2000.103517179843</v>
      </c>
      <c r="X354" t="n">
        <f t="shared" si="60"/>
        <v>186697333.20797431</v>
      </c>
      <c r="Y354" t="n">
        <f t="shared" si="61"/>
        <v>0.66111780581861923</v>
      </c>
      <c r="Z354" t="n">
        <f t="shared" si="62"/>
        <v>123428931.28264362</v>
      </c>
    </row>
    <row r="355">
      <c r="B355" s="52" t="n">
        <v>2035</v>
      </c>
      <c r="C355" t="str">
        <f>tbl_detail_2022!C355</f>
        <v>compressors</v>
      </c>
      <c r="D355" t="str">
        <f>tbl_detail_2022!D355</f>
        <v>Wet Seal Centrifugal Compr</v>
      </c>
      <c r="E355" t="str">
        <f>tbl_detail_2022!E355</f>
        <v>Proc WS Centrifugal Comp</v>
      </c>
      <c r="F355" t="n">
        <f>tbl_detail_2022!F355</f>
        <v>264.74232918895001</v>
      </c>
      <c r="G355" t="n">
        <f>tbl_detail_2022!G355</f>
        <v>-36068.495507917301</v>
      </c>
      <c r="H355" t="n">
        <f>tbl_detail_2022!H355</f>
        <v>-10026.129332708</v>
      </c>
      <c r="I355" t="n">
        <f>tbl_detail_2022!I355</f>
        <v>-2787.01032523306</v>
      </c>
      <c r="J355" t="n">
        <f>tbl_detail_2022!J355</f>
        <v>-818019.71798852703</v>
      </c>
      <c r="K355" t="n">
        <f>tbl_detail_2022!K355</f>
        <v>6618558.2297237497</v>
      </c>
      <c r="L355" t="n">
        <f>tbl_detail_2022!L355</f>
        <v>6415389.7567953998</v>
      </c>
      <c r="M355" t="n">
        <f>tbl_detail_2022!M355</f>
        <v>203168.47292835001</v>
      </c>
      <c r="N355" t="n">
        <f>tbl_detail_2022!N355</f>
        <v>0</v>
      </c>
      <c r="O355" t="n">
        <f>tbl_detail_2022!O355</f>
        <v>6618558.2297237497</v>
      </c>
      <c r="P355" t="n">
        <f t="shared" si="74"/>
        <v>14</v>
      </c>
      <c r="Q355" t="n">
        <f t="shared" si="75"/>
        <v>0.3878172410173249</v>
      </c>
      <c r="R355" t="n">
        <f t="shared" si="76"/>
        <v>2566790.9921639748</v>
      </c>
      <c r="S355" t="n">
        <f t="shared" si="77"/>
        <v>2487998.7555311988</v>
      </c>
      <c r="T355" t="n">
        <f t="shared" si="78"/>
        <v>78792.236632775763</v>
      </c>
      <c r="U355" t="n">
        <f t="shared" si="79"/>
        <v>0</v>
      </c>
      <c r="V355" t="n">
        <f t="shared" si="80"/>
        <v>2566790.9921639748</v>
      </c>
      <c r="W355" t="n">
        <f t="shared" si="59"/>
        <v>2000.103517179843</v>
      </c>
      <c r="X355" t="n">
        <f t="shared" si="60"/>
        <v>72140724.724770769</v>
      </c>
      <c r="Y355" t="n">
        <f t="shared" si="61"/>
        <v>0.66111780581861923</v>
      </c>
      <c r="Z355" t="n">
        <f t="shared" si="62"/>
        <v>47693517.640205465</v>
      </c>
    </row>
    <row r="356">
      <c r="B356" s="52" t="n">
        <v>2035</v>
      </c>
      <c r="C356" t="str">
        <f>tbl_detail_2022!C356</f>
        <v>compressors</v>
      </c>
      <c r="D356" t="str">
        <f>tbl_detail_2022!D356</f>
        <v>Wet Seal Centrifugal Compr</v>
      </c>
      <c r="E356" t="str">
        <f>tbl_detail_2022!E356</f>
        <v>T&amp;S WS Centrifugal Comp</v>
      </c>
      <c r="F356" t="n">
        <f>tbl_detail_2022!F356</f>
        <v>730.73907434087096</v>
      </c>
      <c r="G356" t="n">
        <f>tbl_detail_2022!G356</f>
        <v>-25711.696237197601</v>
      </c>
      <c r="H356" t="n">
        <f>tbl_detail_2022!H356</f>
        <v>-711.563191704421</v>
      </c>
      <c r="I356" t="n">
        <f>tbl_detail_2022!I356</f>
        <v>-19.692289886968901</v>
      </c>
      <c r="J356" t="n">
        <f>tbl_detail_2022!J356</f>
        <v>-583131.46164752694</v>
      </c>
      <c r="K356" t="n">
        <f>tbl_detail_2022!K356</f>
        <v>18268476.8585218</v>
      </c>
      <c r="L356" t="n">
        <f>tbl_detail_2022!L356</f>
        <v>4287429.8179178396</v>
      </c>
      <c r="M356" t="n">
        <f>tbl_detail_2022!M356</f>
        <v>13981047.0406039</v>
      </c>
      <c r="N356" t="n">
        <f>tbl_detail_2022!N356</f>
        <v>0</v>
      </c>
      <c r="O356" t="n">
        <f>tbl_detail_2022!O356</f>
        <v>18268476.8585218</v>
      </c>
      <c r="P356" t="n">
        <f t="shared" si="74"/>
        <v>14</v>
      </c>
      <c r="Q356" t="n">
        <f t="shared" si="75"/>
        <v>0.3878172410173249</v>
      </c>
      <c r="R356" t="n">
        <f t="shared" si="76"/>
        <v>7084830.2928607715</v>
      </c>
      <c r="S356" t="n">
        <f t="shared" si="77"/>
        <v>1662739.2030403083</v>
      </c>
      <c r="T356" t="n">
        <f t="shared" si="78"/>
        <v>5422091.0898204399</v>
      </c>
      <c r="U356" t="n">
        <f t="shared" si="79"/>
        <v>0</v>
      </c>
      <c r="V356" t="n">
        <f t="shared" si="80"/>
        <v>7084830.2928607715</v>
      </c>
      <c r="W356" t="n">
        <f t="shared" si="59"/>
        <v>2000.103517179843</v>
      </c>
      <c r="X356" t="n">
        <f t="shared" si="60"/>
        <v>51426054.076678656</v>
      </c>
      <c r="Y356" t="n">
        <f t="shared" si="61"/>
        <v>0.66111780581861923</v>
      </c>
      <c r="Z356" t="n">
        <f t="shared" si="62"/>
        <v>33998680.033083454</v>
      </c>
    </row>
    <row r="357">
      <c r="B357" s="52" t="n">
        <v>2035</v>
      </c>
      <c r="C357" t="str">
        <f>tbl_detail_2022!C357</f>
        <v>compressors</v>
      </c>
      <c r="D357" t="str">
        <f>tbl_detail_2022!D357</f>
        <v>Dry Seal Centrifugal Compr</v>
      </c>
      <c r="E357" t="str">
        <f>tbl_detail_2022!E357</f>
        <v>G&amp;B DS Centrifugal Comp</v>
      </c>
      <c r="F357" t="n">
        <f>tbl_detail_2022!F357</f>
        <v>644.36343231340697</v>
      </c>
      <c r="G357" t="n">
        <f>tbl_detail_2022!G357</f>
        <v>-10391.2214904509</v>
      </c>
      <c r="H357" t="n">
        <f>tbl_detail_2022!H357</f>
        <v>-2888.4967094123999</v>
      </c>
      <c r="I357" t="n">
        <f>tbl_detail_2022!I357</f>
        <v>-108.822137556014</v>
      </c>
      <c r="J357" t="n">
        <f>tbl_detail_2022!J357</f>
        <v>-235668.93915242699</v>
      </c>
      <c r="K357" t="n">
        <f>tbl_detail_2022!K357</f>
        <v>9665451.4847011101</v>
      </c>
      <c r="L357" t="n">
        <f>tbl_detail_2022!L357</f>
        <v>1939663.2749194601</v>
      </c>
      <c r="M357" t="n">
        <f>tbl_detail_2022!M357</f>
        <v>7725788.2097816505</v>
      </c>
      <c r="N357" t="n">
        <f>tbl_detail_2022!N357</f>
        <v>0</v>
      </c>
      <c r="O357" t="n">
        <f>tbl_detail_2022!O357</f>
        <v>9665451.4847011101</v>
      </c>
      <c r="P357" t="n">
        <f t="shared" si="74"/>
        <v>14</v>
      </c>
      <c r="Q357" t="n">
        <f t="shared" si="75"/>
        <v>0.3878172410173249</v>
      </c>
      <c r="R357" t="n">
        <f t="shared" si="76"/>
        <v>3748428.7279835911</v>
      </c>
      <c r="S357" t="n">
        <f t="shared" si="77"/>
        <v>752234.85978189402</v>
      </c>
      <c r="T357" t="n">
        <f t="shared" si="78"/>
        <v>2996193.8682016972</v>
      </c>
      <c r="U357" t="n">
        <f t="shared" si="79"/>
        <v>0</v>
      </c>
      <c r="V357" t="n">
        <f t="shared" si="80"/>
        <v>3748428.7279835911</v>
      </c>
      <c r="W357" t="n">
        <f t="shared" si="59"/>
        <v>2000.103517179843</v>
      </c>
      <c r="X357" t="n">
        <f t="shared" si="60"/>
        <v>20783518.650845617</v>
      </c>
      <c r="Y357" t="n">
        <f t="shared" si="61"/>
        <v>0.66111780581861923</v>
      </c>
      <c r="Z357" t="n">
        <f t="shared" si="62"/>
        <v>13740354.247637404</v>
      </c>
    </row>
    <row r="358">
      <c r="B358" s="52" t="n">
        <v>2035</v>
      </c>
      <c r="C358" t="str">
        <f>tbl_detail_2022!C358</f>
        <v>compressors</v>
      </c>
      <c r="D358" t="str">
        <f>tbl_detail_2022!D358</f>
        <v>Dry Seal Centrifugal Compr</v>
      </c>
      <c r="E358" t="str">
        <f>tbl_detail_2022!E358</f>
        <v>Proc DS Centrifugal Comp</v>
      </c>
      <c r="F358" t="n">
        <f>tbl_detail_2022!F358</f>
        <v>440.28950496366701</v>
      </c>
      <c r="G358" t="n">
        <f>tbl_detail_2022!G358</f>
        <v>-3426.4681970485399</v>
      </c>
      <c r="H358" t="n">
        <f>tbl_detail_2022!H358</f>
        <v>-952.47148000610298</v>
      </c>
      <c r="I358" t="n">
        <f>tbl_detail_2022!I358</f>
        <v>-264.76297693539198</v>
      </c>
      <c r="J358" t="n">
        <f>tbl_detail_2022!J358</f>
        <v>-77710.991511443703</v>
      </c>
      <c r="K358" t="n">
        <f>tbl_detail_2022!K358</f>
        <v>6604342.5744550098</v>
      </c>
      <c r="L358" t="n">
        <f>tbl_detail_2022!L358</f>
        <v>609455.11210760602</v>
      </c>
      <c r="M358" t="n">
        <f>tbl_detail_2022!M358</f>
        <v>5994887.4623474097</v>
      </c>
      <c r="N358" t="n">
        <f>tbl_detail_2022!N358</f>
        <v>0</v>
      </c>
      <c r="O358" t="n">
        <f>tbl_detail_2022!O358</f>
        <v>6604342.5744550098</v>
      </c>
      <c r="P358" t="n">
        <f t="shared" si="74"/>
        <v>14</v>
      </c>
      <c r="Q358" t="n">
        <f t="shared" si="75"/>
        <v>0.3878172410173249</v>
      </c>
      <c r="R358" t="n">
        <f t="shared" si="76"/>
        <v>2561277.9159583985</v>
      </c>
      <c r="S358" t="n">
        <f t="shared" si="77"/>
        <v>236357.20010147622</v>
      </c>
      <c r="T358" t="n">
        <f t="shared" si="78"/>
        <v>2324920.7158569247</v>
      </c>
      <c r="U358" t="n">
        <f t="shared" si="79"/>
        <v>0</v>
      </c>
      <c r="V358" t="n">
        <f t="shared" si="80"/>
        <v>2561277.9159583985</v>
      </c>
      <c r="W358" t="n">
        <f t="shared" si="59"/>
        <v>2000.103517179843</v>
      </c>
      <c r="X358" t="n">
        <f t="shared" si="60"/>
        <v>6853291.0924216602</v>
      </c>
      <c r="Y358" t="n">
        <f t="shared" si="61"/>
        <v>0.66111780581861923</v>
      </c>
      <c r="Z358" t="n">
        <f t="shared" si="62"/>
        <v>4530832.7696580961</v>
      </c>
    </row>
    <row r="359">
      <c r="B359" s="52" t="n">
        <v>2035</v>
      </c>
      <c r="C359" t="str">
        <f>tbl_detail_2022!C359</f>
        <v>compressors</v>
      </c>
      <c r="D359" t="str">
        <f>tbl_detail_2022!D359</f>
        <v>Dry Seal Centrifugal Compr</v>
      </c>
      <c r="E359" t="str">
        <f>tbl_detail_2022!E359</f>
        <v>T&amp;S DS Centrifugal Comp</v>
      </c>
      <c r="F359" t="n">
        <f>tbl_detail_2022!F359</f>
        <v>3553.6043970281398</v>
      </c>
      <c r="G359" t="n">
        <f>tbl_detail_2022!G359</f>
        <v>-64150.233282188397</v>
      </c>
      <c r="H359" t="n">
        <f>tbl_detail_2022!H359</f>
        <v>-1775.33774208249</v>
      </c>
      <c r="I359" t="n">
        <f>tbl_detail_2022!I359</f>
        <v>-49.131919514588198</v>
      </c>
      <c r="J359" t="n">
        <f>tbl_detail_2022!J359</f>
        <v>-1454902.8175260299</v>
      </c>
      <c r="K359" t="n">
        <f>tbl_detail_2022!K359</f>
        <v>53304065.9554222</v>
      </c>
      <c r="L359" t="n">
        <f>tbl_detail_2022!L359</f>
        <v>10697062.553287899</v>
      </c>
      <c r="M359" t="n">
        <f>tbl_detail_2022!M359</f>
        <v>42607003.402134299</v>
      </c>
      <c r="N359" t="n">
        <f>tbl_detail_2022!N359</f>
        <v>0</v>
      </c>
      <c r="O359" t="n">
        <f>tbl_detail_2022!O359</f>
        <v>53304065.9554222</v>
      </c>
      <c r="P359" t="n">
        <f t="shared" si="74"/>
        <v>14</v>
      </c>
      <c r="Q359" t="n">
        <f t="shared" si="75"/>
        <v>0.3878172410173249</v>
      </c>
      <c r="R359" t="n">
        <f t="shared" si="76"/>
        <v>20672235.793837354</v>
      </c>
      <c r="S359" t="n">
        <f t="shared" si="77"/>
        <v>4148505.2864058539</v>
      </c>
      <c r="T359" t="n">
        <f t="shared" si="78"/>
        <v>16523730.5074315</v>
      </c>
      <c r="U359" t="n">
        <f t="shared" si="79"/>
        <v>0</v>
      </c>
      <c r="V359" t="n">
        <f t="shared" si="80"/>
        <v>20672235.793837354</v>
      </c>
      <c r="W359" t="n">
        <f t="shared" si="59"/>
        <v>2000.103517179843</v>
      </c>
      <c r="X359" t="n">
        <f t="shared" si="60"/>
        <v>128307107.21561244</v>
      </c>
      <c r="Y359" t="n">
        <f t="shared" si="61"/>
        <v>0.66111780581861923</v>
      </c>
      <c r="Z359" t="n">
        <f t="shared" si="62"/>
        <v>84826113.193320021</v>
      </c>
    </row>
    <row r="360">
      <c r="B360" s="52" t="n">
        <v>2035</v>
      </c>
      <c r="C360" t="str">
        <f>tbl_detail_2022!C360</f>
        <v>liquids_unloading</v>
      </c>
      <c r="D360" t="n">
        <f>tbl_detail_2022!D360</f>
        <v>0</v>
      </c>
      <c r="E360" t="n">
        <f>tbl_detail_2022!E360</f>
        <v>0</v>
      </c>
      <c r="F360" t="n">
        <f>tbl_detail_2022!F360</f>
        <v>243303.792177661</v>
      </c>
      <c r="G360" t="n">
        <f>tbl_detail_2022!G360</f>
        <v>-24079.141021013002</v>
      </c>
      <c r="H360" t="n">
        <f>tbl_detail_2022!H360</f>
        <v>-6693.3920779755799</v>
      </c>
      <c r="I360" t="n">
        <f>tbl_detail_2022!I360</f>
        <v>-252.16896770291399</v>
      </c>
      <c r="J360" t="n">
        <f>tbl_detail_2022!J360</f>
        <v>-546105.73216427595</v>
      </c>
      <c r="K360" t="n">
        <f>tbl_detail_2022!K360</f>
        <v>15814746.491548</v>
      </c>
      <c r="L360" t="n">
        <f>tbl_detail_2022!L360</f>
        <v>4494700.2210458396</v>
      </c>
      <c r="M360" t="n">
        <f>tbl_detail_2022!M360</f>
        <v>11320046.2705021</v>
      </c>
      <c r="N360" t="n">
        <f>tbl_detail_2022!N360</f>
        <v>0</v>
      </c>
      <c r="O360" t="n">
        <f>tbl_detail_2022!O360</f>
        <v>15814746.491548</v>
      </c>
      <c r="P360" t="n">
        <f t="shared" si="74"/>
        <v>14</v>
      </c>
      <c r="Q360" t="n">
        <f t="shared" si="75"/>
        <v>0.3878172410173249</v>
      </c>
      <c r="R360" t="n">
        <f t="shared" si="76"/>
        <v>6133231.3517405642</v>
      </c>
      <c r="S360" t="n">
        <f t="shared" si="77"/>
        <v>1743122.2389259578</v>
      </c>
      <c r="T360" t="n">
        <f t="shared" si="78"/>
        <v>4390109.1128145829</v>
      </c>
      <c r="U360" t="n">
        <f t="shared" si="79"/>
        <v>0</v>
      </c>
      <c r="V360" t="n">
        <f t="shared" si="80"/>
        <v>6133231.3517405642</v>
      </c>
      <c r="W360" t="n">
        <f t="shared" si="59"/>
        <v>2000.103517179843</v>
      </c>
      <c r="X360" t="n">
        <f t="shared" si="60"/>
        <v>48160774.646797538</v>
      </c>
      <c r="Y360" t="n">
        <f t="shared" si="61"/>
        <v>0.66111780581861923</v>
      </c>
      <c r="Z360" t="n">
        <f t="shared" si="62"/>
        <v>31839945.661015775</v>
      </c>
    </row>
    <row r="361">
      <c r="B361" s="52" t="n">
        <v>2035</v>
      </c>
      <c r="C361" t="str">
        <f>tbl_detail_2022!C361</f>
        <v>pneucontr</v>
      </c>
      <c r="D361" t="str">
        <f>tbl_detail_2022!D361</f>
        <v>G&amp;B Pneumatic Controllers</v>
      </c>
      <c r="E361" t="n">
        <f>tbl_detail_2022!E361</f>
        <v>0</v>
      </c>
      <c r="F361" t="n">
        <f>tbl_detail_2022!F361</f>
        <v>7354.0685172942303</v>
      </c>
      <c r="G361" t="n">
        <f>tbl_detail_2022!G361</f>
        <v>-377737.05372010701</v>
      </c>
      <c r="H361" t="n">
        <f>tbl_detail_2022!H361</f>
        <v>-105001.345319942</v>
      </c>
      <c r="I361" t="n">
        <f>tbl_detail_2022!I361</f>
        <v>-3955.4006782022102</v>
      </c>
      <c r="J361" t="n">
        <f>tbl_detail_2022!J361</f>
        <v>-8566932.2716860399</v>
      </c>
      <c r="K361" t="n">
        <f>tbl_detail_2022!K361</f>
        <v>75957535.360978201</v>
      </c>
      <c r="L361" t="n">
        <f>tbl_detail_2022!L361</f>
        <v>70509775.135722101</v>
      </c>
      <c r="M361" t="n">
        <f>tbl_detail_2022!M361</f>
        <v>5447760.2252560798</v>
      </c>
      <c r="N361" t="n">
        <f>tbl_detail_2022!N361</f>
        <v>23178135.539668102</v>
      </c>
      <c r="O361" t="n">
        <f>tbl_detail_2022!O361</f>
        <v>-15543302.334989401</v>
      </c>
      <c r="P361" t="n">
        <f t="shared" si="74"/>
        <v>14</v>
      </c>
      <c r="Q361" t="n">
        <f t="shared" si="75"/>
        <v>0.3878172410173249</v>
      </c>
      <c r="R361" t="n">
        <f t="shared" si="76"/>
        <v>29457641.798170462</v>
      </c>
      <c r="S361" t="n">
        <f t="shared" si="77"/>
        <v>27344906.45788772</v>
      </c>
      <c r="T361" t="n">
        <f t="shared" si="78"/>
        <v>2112735.3402827331</v>
      </c>
      <c r="U361" t="n">
        <f t="shared" si="79"/>
        <v>8988880.5769196879</v>
      </c>
      <c r="V361" t="n">
        <f t="shared" si="80"/>
        <v>-6027960.6278537335</v>
      </c>
      <c r="W361" t="n">
        <f t="shared" si="59"/>
        <v>2000.103517179843</v>
      </c>
      <c r="X361" t="n">
        <f t="shared" si="60"/>
        <v>755513209.7147373</v>
      </c>
      <c r="Y361" t="n">
        <f t="shared" si="61"/>
        <v>0.66111780581861923</v>
      </c>
      <c r="Z361" t="n">
        <f t="shared" si="62"/>
        <v>499483235.47358942</v>
      </c>
    </row>
    <row r="362">
      <c r="B362" s="52" t="n">
        <v>2035</v>
      </c>
      <c r="C362" t="str">
        <f>tbl_detail_2022!C362</f>
        <v>pneucontr</v>
      </c>
      <c r="D362" t="str">
        <f>tbl_detail_2022!D362</f>
        <v>T&amp;S Pneumatic Controllers</v>
      </c>
      <c r="E362" t="n">
        <f>tbl_detail_2022!E362</f>
        <v>0</v>
      </c>
      <c r="F362" t="n">
        <f>tbl_detail_2022!F362</f>
        <v>70800.641548927306</v>
      </c>
      <c r="G362" t="n">
        <f>tbl_detail_2022!G362</f>
        <v>-78439.853166852394</v>
      </c>
      <c r="H362" t="n">
        <f>tbl_detail_2022!H362</f>
        <v>-2170.7985253607299</v>
      </c>
      <c r="I362" t="n">
        <f>tbl_detail_2022!I362</f>
        <v>-64.476395366836996</v>
      </c>
      <c r="J362" t="n">
        <f>tbl_detail_2022!J362</f>
        <v>-1778985.94502023</v>
      </c>
      <c r="K362" t="n">
        <f>tbl_detail_2022!K362</f>
        <v>19022338.4081444</v>
      </c>
      <c r="L362" t="n">
        <f>tbl_detail_2022!L362</f>
        <v>13079859.153520999</v>
      </c>
      <c r="M362" t="n">
        <f>tbl_detail_2022!M362</f>
        <v>5942479.2546234401</v>
      </c>
      <c r="N362" t="n">
        <f>tbl_detail_2022!N362</f>
        <v>7332299.52850872</v>
      </c>
      <c r="O362" t="n">
        <f>tbl_detail_2022!O362</f>
        <v>-17643906.802503601</v>
      </c>
      <c r="P362" t="n">
        <f t="shared" si="74"/>
        <v>14</v>
      </c>
      <c r="Q362" t="n">
        <f t="shared" si="75"/>
        <v>0.3878172410173249</v>
      </c>
      <c r="R362" t="n">
        <f t="shared" si="76"/>
        <v>7377190.7991444534</v>
      </c>
      <c r="S362" t="n">
        <f t="shared" si="77"/>
        <v>5072594.8898137165</v>
      </c>
      <c r="T362" t="n">
        <f t="shared" si="78"/>
        <v>2304595.9093307517</v>
      </c>
      <c r="U362" t="n">
        <f t="shared" si="79"/>
        <v>2843592.173458884</v>
      </c>
      <c r="V362" t="n">
        <f t="shared" si="80"/>
        <v>-6842611.256913757</v>
      </c>
      <c r="W362" t="n">
        <f t="shared" si="59"/>
        <v>2000.103517179843</v>
      </c>
      <c r="X362" t="n">
        <f t="shared" si="60"/>
        <v>156887826.20609191</v>
      </c>
      <c r="Y362" t="n">
        <f t="shared" si="61"/>
        <v>0.66111780581861923</v>
      </c>
      <c r="Z362" t="n">
        <f t="shared" si="62"/>
        <v>103721335.42102435</v>
      </c>
    </row>
    <row r="363">
      <c r="B363" s="52" t="n">
        <v>2035</v>
      </c>
      <c r="C363" t="str">
        <f>tbl_detail_2022!C363</f>
        <v>pneucontr</v>
      </c>
      <c r="D363" t="str">
        <f>tbl_detail_2022!D363</f>
        <v>Well Pad Pneumatic Controllers</v>
      </c>
      <c r="E363" t="n">
        <f>tbl_detail_2022!E363</f>
        <v>0</v>
      </c>
      <c r="F363" t="n">
        <f>tbl_detail_2022!F363</f>
        <v>1324137.7745427501</v>
      </c>
      <c r="G363" t="n">
        <f>tbl_detail_2022!G363</f>
        <v>-1704899.1470502799</v>
      </c>
      <c r="H363" t="n">
        <f>tbl_detail_2022!H363</f>
        <v>-473918.83404625597</v>
      </c>
      <c r="I363" t="n">
        <f>tbl_detail_2022!I363</f>
        <v>-17852.5224785225</v>
      </c>
      <c r="J363" t="n">
        <f>tbl_detail_2022!J363</f>
        <v>-38666462.236075804</v>
      </c>
      <c r="K363" t="n">
        <f>tbl_detail_2022!K363</f>
        <v>745332491.93711805</v>
      </c>
      <c r="L363" t="n">
        <f>tbl_detail_2022!L363</f>
        <v>318242688.40904802</v>
      </c>
      <c r="M363" t="n">
        <f>tbl_detail_2022!M363</f>
        <v>427089803.52806997</v>
      </c>
      <c r="N363" t="n">
        <f>tbl_detail_2022!N363</f>
        <v>167084161.33220199</v>
      </c>
      <c r="O363" t="n">
        <f>tbl_detail_2022!O363</f>
        <v>-79448266.472564995</v>
      </c>
      <c r="P363" t="n">
        <f t="shared" si="74"/>
        <v>14</v>
      </c>
      <c r="Q363" t="n">
        <f t="shared" si="75"/>
        <v>0.3878172410173249</v>
      </c>
      <c r="R363" t="n">
        <f t="shared" si="76"/>
        <v>289052790.66362065</v>
      </c>
      <c r="S363" t="n">
        <f t="shared" si="77"/>
        <v>123420001.3927332</v>
      </c>
      <c r="T363" t="n">
        <f t="shared" si="78"/>
        <v>165632789.27088746</v>
      </c>
      <c r="U363" t="n">
        <f t="shared" si="79"/>
        <v>64798118.465548173</v>
      </c>
      <c r="V363" t="n">
        <f t="shared" si="80"/>
        <v>-30811407.506999392</v>
      </c>
      <c r="W363" t="n">
        <f t="shared" si="59"/>
        <v>2000.103517179843</v>
      </c>
      <c r="X363" t="n">
        <f t="shared" si="60"/>
        <v>3409974780.4521794</v>
      </c>
      <c r="Y363" t="n">
        <f t="shared" si="61"/>
        <v>0.66111780581861923</v>
      </c>
      <c r="Z363" t="n">
        <f t="shared" si="62"/>
        <v>2254395044.7493725</v>
      </c>
    </row>
    <row r="364">
      <c r="B364" s="52" t="n">
        <v>2035</v>
      </c>
      <c r="C364" t="str">
        <f>tbl_detail_2022!C364</f>
        <v>pumps</v>
      </c>
      <c r="D364" t="str">
        <f>tbl_detail_2022!D364</f>
        <v>G&amp;B Pneumatic Pumps</v>
      </c>
      <c r="E364" t="n">
        <f>tbl_detail_2022!E364</f>
        <v>0</v>
      </c>
      <c r="F364" t="n">
        <f>tbl_detail_2022!F364</f>
        <v>787.74513565229495</v>
      </c>
      <c r="G364" t="n">
        <f>tbl_detail_2022!G364</f>
        <v>-52082.002296345097</v>
      </c>
      <c r="H364" t="n">
        <f>tbl_detail_2022!H364</f>
        <v>-14477.4791199719</v>
      </c>
      <c r="I364" t="n">
        <f>tbl_detail_2022!I364</f>
        <v>-545.36663844934003</v>
      </c>
      <c r="J364" t="n">
        <f>tbl_detail_2022!J364</f>
        <v>-1181199.9427972301</v>
      </c>
      <c r="K364" t="n">
        <f>tbl_detail_2022!K364</f>
        <v>27680683.4225903</v>
      </c>
      <c r="L364" t="n">
        <f>tbl_detail_2022!L364</f>
        <v>9721816.3650276195</v>
      </c>
      <c r="M364" t="n">
        <f>tbl_detail_2022!M364</f>
        <v>17958867.057562701</v>
      </c>
      <c r="N364" t="n">
        <f>tbl_detail_2022!N364</f>
        <v>7821468.8122249702</v>
      </c>
      <c r="O364" t="n">
        <f>tbl_detail_2022!O364</f>
        <v>-1664950.6021825599</v>
      </c>
      <c r="P364" t="n">
        <f t="shared" si="74"/>
        <v>14</v>
      </c>
      <c r="Q364" t="n">
        <f t="shared" si="75"/>
        <v>0.3878172410173249</v>
      </c>
      <c r="R364" t="n">
        <f t="shared" si="76"/>
        <v>10735046.274422972</v>
      </c>
      <c r="S364" t="n">
        <f t="shared" si="77"/>
        <v>3770288.0003620898</v>
      </c>
      <c r="T364" t="n">
        <f t="shared" si="78"/>
        <v>6964758.274060891</v>
      </c>
      <c r="U364" t="n">
        <f t="shared" si="79"/>
        <v>3033300.4554601409</v>
      </c>
      <c r="V364" t="n">
        <f t="shared" si="80"/>
        <v>-645696.54896857403</v>
      </c>
      <c r="W364" t="n">
        <f t="shared" si="59"/>
        <v>2000.103517179843</v>
      </c>
      <c r="X364" t="n">
        <f t="shared" si="60"/>
        <v>104169395.97468849</v>
      </c>
      <c r="Y364" t="n">
        <f t="shared" si="61"/>
        <v>0.66111780581861923</v>
      </c>
      <c r="Z364" t="n">
        <f t="shared" si="62"/>
        <v>68868242.500236958</v>
      </c>
    </row>
    <row r="365">
      <c r="B365" s="52" t="n">
        <v>2035</v>
      </c>
      <c r="C365" t="str">
        <f>tbl_detail_2022!C365</f>
        <v>pumps</v>
      </c>
      <c r="D365" t="str">
        <f>tbl_detail_2022!D365</f>
        <v>Well Pad Pumps</v>
      </c>
      <c r="E365" t="n">
        <f>tbl_detail_2022!E365</f>
        <v>0</v>
      </c>
      <c r="F365" t="n">
        <f>tbl_detail_2022!F365</f>
        <v>95163.1858382676</v>
      </c>
      <c r="G365" t="n">
        <f>tbl_detail_2022!G365</f>
        <v>-159568.853450322</v>
      </c>
      <c r="H365" t="n">
        <f>tbl_detail_2022!H365</f>
        <v>-44356.104645903702</v>
      </c>
      <c r="I365" t="n">
        <f>tbl_detail_2022!I365</f>
        <v>-1670.8944620111899</v>
      </c>
      <c r="J365" t="n">
        <f>tbl_detail_2022!J365</f>
        <v>-3618960.7207356999</v>
      </c>
      <c r="K365" t="n">
        <f>tbl_detail_2022!K365</f>
        <v>115018704.872463</v>
      </c>
      <c r="L365" t="n">
        <f>tbl_detail_2022!L365</f>
        <v>29785703.744552299</v>
      </c>
      <c r="M365" t="n">
        <f>tbl_detail_2022!M365</f>
        <v>85233001.127910301</v>
      </c>
      <c r="N365" t="n">
        <f>tbl_detail_2022!N365</f>
        <v>20512450.910405599</v>
      </c>
      <c r="O365" t="n">
        <f>tbl_detail_2022!O365</f>
        <v>-5709791.1502960501</v>
      </c>
      <c r="P365" t="n">
        <f t="shared" si="74"/>
        <v>14</v>
      </c>
      <c r="Q365" t="n">
        <f t="shared" si="75"/>
        <v>0.3878172410173249</v>
      </c>
      <c r="R365" t="n">
        <f t="shared" si="76"/>
        <v>44606236.789024547</v>
      </c>
      <c r="S365" t="n">
        <f t="shared" si="77"/>
        <v>11551409.447971676</v>
      </c>
      <c r="T365" t="n">
        <f t="shared" si="78"/>
        <v>33054827.341052715</v>
      </c>
      <c r="U365" t="n">
        <f t="shared" si="79"/>
        <v>7955082.1185768135</v>
      </c>
      <c r="V365" t="n">
        <f t="shared" si="80"/>
        <v>-2214355.4506929521</v>
      </c>
      <c r="W365" t="n">
        <f t="shared" si="59"/>
        <v>2000.103517179843</v>
      </c>
      <c r="X365" t="n">
        <f t="shared" si="60"/>
        <v>319154225.01834399</v>
      </c>
      <c r="Y365" t="n">
        <f t="shared" si="61"/>
        <v>0.66111780581861923</v>
      </c>
      <c r="Z365" t="n">
        <f t="shared" si="62"/>
        <v>210998540.96186945</v>
      </c>
    </row>
    <row r="366">
      <c r="B366" s="52" t="n">
        <v>2035</v>
      </c>
      <c r="C366" t="str">
        <f>tbl_detail_2022!C366</f>
        <v>Storage vessels</v>
      </c>
      <c r="D366" t="n">
        <f>tbl_detail_2022!D366</f>
        <v>0</v>
      </c>
      <c r="E366" t="n">
        <f>tbl_detail_2022!E366</f>
        <v>0</v>
      </c>
      <c r="F366" t="n">
        <f>tbl_detail_2022!F366</f>
        <v>17031.563685599602</v>
      </c>
      <c r="G366" t="n">
        <f>tbl_detail_2022!G366</f>
        <v>-17392.0303587331</v>
      </c>
      <c r="H366" t="n">
        <f>tbl_detail_2022!H366</f>
        <v>-82893.304910768202</v>
      </c>
      <c r="I366" t="n">
        <f>tbl_detail_2022!I366</f>
        <v>-3122.5907959886399</v>
      </c>
      <c r="J366" t="n">
        <f>tbl_detail_2022!J366</f>
        <v>-394444.61347648402</v>
      </c>
      <c r="K366" t="n">
        <f>tbl_detail_2022!K366</f>
        <v>527680253.98059398</v>
      </c>
      <c r="L366" t="n">
        <f>tbl_detail_2022!L366</f>
        <v>0</v>
      </c>
      <c r="M366" t="n">
        <f>tbl_detail_2022!M366</f>
        <v>527680253.98059398</v>
      </c>
      <c r="N366" t="n">
        <f>tbl_detail_2022!N366</f>
        <v>104570498.85181899</v>
      </c>
      <c r="O366" t="n">
        <f>tbl_detail_2022!O366</f>
        <v>389000914.57909399</v>
      </c>
      <c r="P366" t="n">
        <f t="shared" si="74"/>
        <v>14</v>
      </c>
      <c r="Q366" t="n">
        <f t="shared" si="75"/>
        <v>0.3878172410173249</v>
      </c>
      <c r="R366" t="n">
        <f t="shared" si="76"/>
        <v>204643500.23807523</v>
      </c>
      <c r="S366" t="n">
        <f t="shared" si="77"/>
        <v>0</v>
      </c>
      <c r="T366" t="n">
        <f t="shared" si="78"/>
        <v>204643500.23807523</v>
      </c>
      <c r="U366" t="n">
        <f t="shared" si="79"/>
        <v>40554242.356517784</v>
      </c>
      <c r="V366" t="n">
        <f t="shared" si="80"/>
        <v>150861261.44528031</v>
      </c>
      <c r="W366" t="n">
        <f t="shared" si="59"/>
        <v>2000.103517179843</v>
      </c>
      <c r="X366" t="n">
        <f t="shared" si="60"/>
        <v>34785861.091400683</v>
      </c>
      <c r="Y366" t="n">
        <f t="shared" si="61"/>
        <v>0.66111780581861923</v>
      </c>
      <c r="Z366" t="n">
        <f t="shared" si="62"/>
        <v>22997552.158258099</v>
      </c>
    </row>
    <row r="369">
      <c r="B369" t="s">
        <v>232</v>
      </c>
      <c r="C369" t="n">
        <f xml:space="preserve"> 0.03 / (1 - (1 + 0.03)^-(2035-2023+1))</f>
        <v>9.4029543955328074E-2</v>
      </c>
      <c r="E369" t="s">
        <v>232</v>
      </c>
      <c r="F369" t="n">
        <f xml:space="preserve"> 0.03 / (1 - (1 + 0.03)^-(2035-2023+1))</f>
        <v>9.4029543955328074E-2</v>
      </c>
    </row>
    <row r="370" ht="15" customHeight="1">
      <c r="B370" s="52"/>
      <c r="C370" s="52"/>
      <c r="D370" s="52"/>
      <c r="E370" s="52"/>
      <c r="K370" s="51"/>
      <c r="L370" s="52"/>
      <c r="Q370" s="123" t="s">
        <v>243</v>
      </c>
    </row>
    <row r="371" ht="65.25" customHeight="1">
      <c r="B371" s="19" t="s">
        <v>105</v>
      </c>
      <c r="C371" s="19"/>
      <c r="D371" s="19"/>
      <c r="E371" s="19"/>
      <c r="F371" s="55" t="s">
        <v>106</v>
      </c>
      <c r="G371" s="119"/>
      <c r="H371" s="119"/>
      <c r="I371" s="119"/>
      <c r="J371" s="55"/>
      <c r="K371" s="55"/>
      <c r="L371" s="55" t="s">
        <v>107</v>
      </c>
      <c r="M371" s="119"/>
      <c r="P371" s="4"/>
      <c r="Q371" s="19" t="s">
        <v>105</v>
      </c>
      <c r="R371" s="19"/>
      <c r="S371" s="55"/>
      <c r="T371" s="121" t="s">
        <v>158</v>
      </c>
      <c r="U371" s="121" t="s">
        <v>159</v>
      </c>
      <c r="V371" s="121" t="s">
        <v>160</v>
      </c>
    </row>
    <row r="372" ht="39.75" customHeight="1">
      <c r="B372" s="8"/>
      <c r="C372" s="8"/>
      <c r="D372" s="8"/>
      <c r="E372" s="8"/>
      <c r="F372" s="66" t="s">
        <v>108</v>
      </c>
      <c r="G372" s="66" t="s">
        <v>109</v>
      </c>
      <c r="H372" s="66" t="s">
        <v>110</v>
      </c>
      <c r="I372" s="66" t="s">
        <v>111</v>
      </c>
      <c r="J372" s="66" t="s">
        <v>228</v>
      </c>
      <c r="K372" s="66" t="s">
        <v>231</v>
      </c>
      <c r="L372" s="66" t="s">
        <v>24</v>
      </c>
      <c r="M372" s="66" t="s">
        <v>25</v>
      </c>
      <c r="N372" s="4"/>
      <c r="O372" s="4"/>
      <c r="Q372" s="8"/>
      <c r="R372" s="8"/>
      <c r="S372" s="8"/>
      <c r="T372" s="8" t="s">
        <v>25</v>
      </c>
      <c r="U372" s="124" t="s">
        <v>25</v>
      </c>
      <c r="V372" s="124" t="s">
        <v>25</v>
      </c>
    </row>
    <row r="373">
      <c r="B373" s="4" t="s">
        <v>103</v>
      </c>
      <c r="C373" s="4"/>
      <c r="D373" s="4"/>
      <c r="E373" s="4"/>
      <c r="F373" s="3" t="n">
        <f xml:space="preserve"> SUMIF($D$3:$D$366, "*Wellpad Fugitives*", G$3:G$366)</f>
        <v>-3675847.773805833</v>
      </c>
      <c r="G373" s="3" t="n">
        <f xml:space="preserve"> SUMIF($D$3:$D$366, "*Wellpad Fugitives*", H$3:H$366)</f>
        <v>-1021792.6931968869</v>
      </c>
      <c r="H373" s="3" t="n">
        <f xml:space="preserve"> SUMIF($D$3:$D$366, "*Wellpad Fugitives*", I$3:I$366)</f>
        <v>-38490.930752726745</v>
      </c>
      <c r="I373" s="3" t="n">
        <f xml:space="preserve"> SUMIF($D$3:$D$366, "*Wellpad Fugitives*", J$3:J$366)</f>
        <v>-83366825.173990533</v>
      </c>
      <c r="J373" s="7" t="n">
        <f xml:space="preserve"> SUMIF($D$3:$D$366, "*Wellpad Fugitives*", Z$3:Z$366)/1000000</f>
        <v>4943.706843875314</v>
      </c>
      <c r="K373" s="7" t="n">
        <f>J373*$F$369</f>
        <v>464.85449997843006</v>
      </c>
      <c r="L373" s="7" t="n">
        <f xml:space="preserve"> SUMIF($D$3:$D$366, "Wellpad Fugitives",  T$3:T$366)/1000000</f>
        <v>5027.7965620402774</v>
      </c>
      <c r="M373" s="7" t="n">
        <f xml:space="preserve"> L373*$C$369</f>
        <v>472.76141782881365</v>
      </c>
      <c r="N373" s="7"/>
      <c r="O373" s="7"/>
      <c r="Q373" s="4" t="s">
        <v>103</v>
      </c>
      <c r="R373" s="4"/>
      <c r="S373" s="4"/>
      <c r="T373" s="7" t="n">
        <f xml:space="preserve"> (SUMIF($D$3:$D$366, "*Wellpad Fugitives*",  U$3:U$366)/1000000)*$C$369</f>
        <v>22.517568913173029</v>
      </c>
      <c r="U373" s="7" t="n">
        <f xml:space="preserve"> (SUMIF($D$3:$D$366, "*Wellpad Fugitives*",  R$3:R$366)/1000000)*$C$369</f>
        <v>505.1777159253304</v>
      </c>
      <c r="V373" s="7" t="n">
        <f xml:space="preserve"> (SUMIF($D$3:$D$366, "*Wellpad Fugitives*",  T$3:T$366)/1000000)*$C$369</f>
        <v>472.76141782881365</v>
      </c>
    </row>
    <row r="374">
      <c r="B374" s="4" t="s">
        <v>102</v>
      </c>
      <c r="C374" s="4"/>
      <c r="D374" s="4"/>
      <c r="E374" s="4"/>
      <c r="F374" s="3" t="n">
        <f xml:space="preserve"> SUMIF($D$3:$D$366, "G&amp;B Stations", G$3:G$366)</f>
        <v>-674282.50845746091</v>
      </c>
      <c r="G374" s="3" t="n">
        <f xml:space="preserve"> SUMIF($D$3:$D$366, "G&amp;B Stations", H$3:H$366)</f>
        <v>-187433.4801431715</v>
      </c>
      <c r="H374" s="3" t="n">
        <f xml:space="preserve"> SUMIF($D$3:$D$366, "G&amp;B Stations", I$3:I$366)</f>
        <v>-7061.4281443622704</v>
      </c>
      <c r="I374" s="3" t="n">
        <f xml:space="preserve"> SUMIF($D$3:$D$366, "G&amp;B Stations", J$3:J$366)</f>
        <v>-15292470.053038239</v>
      </c>
      <c r="J374" s="7" t="n">
        <f xml:space="preserve"> SUMIF($D$3:$D$366, "G&amp;B Stations", Z$3:Z$366)/1000000</f>
        <v>906.27974733232554</v>
      </c>
      <c r="K374" s="7" t="n">
        <f t="shared" ref="K374:K382" si="81">J374*$F$369</f>
        <v>85.21707133760853</v>
      </c>
      <c r="L374" s="7" t="n">
        <f xml:space="preserve"> SUMIF($D$3:$D$366, "G&amp;B Stations",  T$3:T$366)/1000000</f>
        <v>301.20786026357422</v>
      </c>
      <c r="M374" s="7" t="n">
        <f t="shared" ref="M374:M382" si="82" xml:space="preserve"> L374*$C$369</f>
        <v>28.322437736344067</v>
      </c>
      <c r="N374" s="7"/>
      <c r="O374" s="7"/>
      <c r="Q374" s="4" t="s">
        <v>102</v>
      </c>
      <c r="R374" s="4"/>
      <c r="S374" s="4"/>
      <c r="T374" s="7" t="n">
        <f xml:space="preserve"> (SUMIF($D$3:$D$366, "G&amp;B Stations",  U$3:U$366)/1000000)*$C$369</f>
        <v>1.6797054654543171</v>
      </c>
      <c r="U374" s="7" t="n">
        <f xml:space="preserve"> (SUMIF($D$3:$D$366, "G&amp;B Stations",  R$3:R$366)/1000000)*$C$369</f>
        <v>34.219328822334163</v>
      </c>
      <c r="V374" s="7" t="n">
        <f xml:space="preserve"> (SUMIF($D$3:$D$366, "G&amp;B Stations",  T$3:T$366)/1000000)*$C$369</f>
        <v>28.322437736344067</v>
      </c>
    </row>
    <row r="375">
      <c r="B375" s="4" t="s">
        <v>101</v>
      </c>
      <c r="C375" s="4"/>
      <c r="D375" s="4"/>
      <c r="E375" s="4"/>
      <c r="F375" s="3" t="n">
        <f xml:space="preserve"> SUMIF($D$3:$D$366, "T&amp;S Compressor Stations", G$3:G$366)</f>
        <v>-826528.6622116802</v>
      </c>
      <c r="G375" s="3" t="n">
        <f xml:space="preserve"> SUMIF($D$3:$D$366, "T&amp;S Compressor Stations", H$3:H$366)</f>
        <v>-22873.92350519733</v>
      </c>
      <c r="H375" s="3" t="n">
        <f xml:space="preserve"> SUMIF($D$3:$D$366, "T&amp;S Compressor Stations", I$3:I$366)</f>
        <v>-679.39429582338221</v>
      </c>
      <c r="I375" s="3" t="n">
        <f xml:space="preserve"> SUMIF($D$3:$D$366, "T&amp;S Compressor Stations", J$3:J$366)</f>
        <v>-18745354.738276277</v>
      </c>
      <c r="J375" s="7" t="n">
        <f xml:space="preserve"> SUMIF($D$3:$D$366, "T&amp;S Compressor Stations", Z$3:Z$366)/1000000</f>
        <v>1110.9295097460254</v>
      </c>
      <c r="K375" s="7" t="n">
        <f t="shared" si="81"/>
        <v>104.46019516793496</v>
      </c>
      <c r="L375" s="7" t="n">
        <f xml:space="preserve"> SUMIF($D$3:$D$366, "T&amp;S Compressor Stations",  T$3:T$366)/1000000</f>
        <v>132.61390029936408</v>
      </c>
      <c r="M375" s="7" t="n">
        <f t="shared" si="82"/>
        <v>12.46962456728655</v>
      </c>
      <c r="N375" s="7"/>
      <c r="O375" s="7"/>
      <c r="Q375" s="4" t="s">
        <v>101</v>
      </c>
      <c r="R375" s="4"/>
      <c r="S375" s="4"/>
      <c r="T375" s="7" t="n">
        <f xml:space="preserve"> (SUMIF($D$3:$D$366, "T&amp;S Compressor Stations",  U$3:U$366)/1000000)*$C$369</f>
        <v>4.7266457901935075</v>
      </c>
      <c r="U375" s="7" t="n">
        <f xml:space="preserve"> (SUMIF($D$3:$D$366, "T&amp;S Compressor Stations",  R$3:R$366)/1000000)*$C$369</f>
        <v>18.928355230894169</v>
      </c>
      <c r="V375" s="7" t="n">
        <f xml:space="preserve"> (SUMIF($D$3:$D$366, "T&amp;S Compressor Stations",  T$3:T$366)/1000000)*$C$369</f>
        <v>12.46962456728655</v>
      </c>
    </row>
    <row r="376">
      <c r="B376" s="4" t="s">
        <v>100</v>
      </c>
      <c r="C376" s="4"/>
      <c r="D376" s="4"/>
      <c r="E376" s="4"/>
      <c r="F376" s="3" t="n">
        <f xml:space="preserve"> SUMIF($D$3:$D$366, "Processing Plants",G$3:G$366)</f>
        <v>-162832.61120079787</v>
      </c>
      <c r="G376" s="3" t="n">
        <f xml:space="preserve"> SUMIF($D$3:$D$366, "Processing Plants",H$3:H$366)</f>
        <v>-19445.450239772254</v>
      </c>
      <c r="H376" s="3" t="n">
        <f xml:space="preserve"> SUMIF($D$3:$D$366, "Processing Plants",I$3:I$366)</f>
        <v>-710.59872628688652</v>
      </c>
      <c r="I376" s="3" t="n">
        <f xml:space="preserve"> SUMIF($D$3:$D$366, "Processing Plants",J$3:J$366)</f>
        <v>-3692981.5013929252</v>
      </c>
      <c r="J376" s="7" t="n">
        <f xml:space="preserve"> SUMIF($D$3:$D$366, "Processing Plants",Z$3:Z$366)/1000000</f>
        <v>218.84592389252234</v>
      </c>
      <c r="K376" s="7" t="n">
        <f t="shared" si="81"/>
        <v>20.577982420096312</v>
      </c>
      <c r="L376" s="7" t="n">
        <f xml:space="preserve"> SUMIF($D$3:$D$366, "Processing Plants",T$3:T$366)/1000000</f>
        <v>11.052213785459076</v>
      </c>
      <c r="M376" s="7" t="n">
        <f t="shared" si="82"/>
        <v>1.0392346219435071</v>
      </c>
      <c r="N376" s="7"/>
      <c r="O376" s="7"/>
      <c r="Q376" s="4" t="s">
        <v>100</v>
      </c>
      <c r="R376" s="4"/>
      <c r="S376" s="4"/>
      <c r="T376" s="7" t="n">
        <f xml:space="preserve"> (SUMIF($D$3:$D$366, "Processing Plants",  U$3:U$366)/1000000)*$C$369</f>
        <v>-1.0853344532182374</v>
      </c>
      <c r="U376" s="7" t="n">
        <f xml:space="preserve"> (SUMIF($D$3:$D$366, "Processing Plants",  R$3:R$366)/1000000)*$C$369</f>
        <v>2.3965009371398907</v>
      </c>
      <c r="V376" s="7" t="n">
        <f xml:space="preserve"> (SUMIF($D$3:$D$366, "Processing Plants",  T$3:T$366)/1000000)*$C$369</f>
        <v>1.0392346219435071</v>
      </c>
    </row>
    <row r="377">
      <c r="B377" s="4" t="s">
        <v>99</v>
      </c>
      <c r="C377" s="4"/>
      <c r="D377" s="4"/>
      <c r="F377" s="3" t="n">
        <f xml:space="preserve"> SUMIF($D$3:$D$366, "*Pumps", G$3:G$366)</f>
        <v>-2149477.1064416636</v>
      </c>
      <c r="G377" s="3" t="n">
        <f xml:space="preserve"> SUMIF($D$3:$D$366, "*Pumps", H$3:H$366)</f>
        <v>-597500.26026842021</v>
      </c>
      <c r="H377" s="3" t="n">
        <f xml:space="preserve"> SUMIF($D$3:$D$366, "*Pumps", I$3:I$366)</f>
        <v>-22507.834804311387</v>
      </c>
      <c r="I377" s="3" t="n">
        <f xml:space="preserve"> SUMIF($D$3:$D$366, "*Pumps", J$3:J$366)</f>
        <v>-48749320.748580799</v>
      </c>
      <c r="J377" s="7" t="n">
        <f xml:space="preserve"> SUMIF($D$3:$D$366, "*Pumps", Z$3:Z$366)/1000000</f>
        <v>2889.5173130617113</v>
      </c>
      <c r="K377" s="7" t="n">
        <f t="shared" si="81"/>
        <v>271.69999519821766</v>
      </c>
      <c r="L377" s="7" t="n">
        <f xml:space="preserve"> SUMIF($D$3:$D$366, "*Pumps", T$3:T$366)/1000000</f>
        <v>661.2815931123971</v>
      </c>
      <c r="M377" s="7" t="n">
        <f t="shared" si="82"/>
        <v>62.180006626411519</v>
      </c>
      <c r="N377" s="7"/>
      <c r="O377" s="7"/>
      <c r="Q377" s="4" t="s">
        <v>99</v>
      </c>
      <c r="R377" s="4"/>
      <c r="S377" s="4"/>
      <c r="T377" s="7" t="n">
        <f xml:space="preserve"> (SUMIF($D$3:$D$366, "*Pumps",  U$3:U$366)/1000000)*$C$369</f>
        <v>119.95063434300081</v>
      </c>
      <c r="U377" s="7" t="n">
        <f xml:space="preserve"> (SUMIF($D$3:$D$366, "*Pumps",  R$3:R$366)/1000000)*$C$369</f>
        <v>81.073678007771832</v>
      </c>
      <c r="V377" s="7" t="n">
        <f xml:space="preserve"> (SUMIF($D$3:$D$366, "*Pumps",  T$3:T$366)/1000000)*$C$369</f>
        <v>62.180006626411519</v>
      </c>
    </row>
    <row r="378">
      <c r="B378" s="4" t="s">
        <v>112</v>
      </c>
      <c r="C378" s="4"/>
      <c r="D378" s="4"/>
      <c r="F378" s="3" t="n">
        <f xml:space="preserve"> SUMIF($C$3:$C$366, "pneu*", G$3:G$366)</f>
        <v>-21677297.910789087</v>
      </c>
      <c r="G378" s="3" t="n">
        <f xml:space="preserve"> SUMIF($C$3:$C$366, "pneu*", H$3:H$366)</f>
        <v>-5836872.8214798775</v>
      </c>
      <c r="H378" s="3" t="n">
        <f xml:space="preserve"> SUMIF($C$3:$C$366, "pneu*", I$3:I$366)</f>
        <v>-219708.60223835357</v>
      </c>
      <c r="I378" s="3" t="n">
        <f xml:space="preserve"> SUMIF($C$3:$C$366, "pneu*", J$3:J$366)</f>
        <v>-491632846.72754359</v>
      </c>
      <c r="J378" s="7" t="n">
        <f xml:space="preserve"> SUMIF($C$3:$C$366, "pneu*", Z$3:Z$366)/1000000</f>
        <v>29139.026785330545</v>
      </c>
      <c r="K378" s="7" t="n">
        <f t="shared" si="81"/>
        <v>2739.9293999267206</v>
      </c>
      <c r="L378" s="7" t="n">
        <f xml:space="preserve"> SUMIF($C$3:$C$366, "pneu*",  T$3:T$366)/1000000</f>
        <v>3153.8116333974326</v>
      </c>
      <c r="M378" s="7" t="n">
        <f t="shared" si="82"/>
        <v>296.55146960936889</v>
      </c>
      <c r="N378" s="7"/>
      <c r="O378" s="7"/>
      <c r="Q378" s="4" t="s">
        <v>112</v>
      </c>
      <c r="R378" s="4"/>
      <c r="S378" s="4"/>
      <c r="T378" s="7" t="n">
        <f xml:space="preserve"> (SUMIF($C$3:$C$366, "pneu*",  U$3:U$366)/1000000)*$C$369</f>
        <v>788.92256967447622</v>
      </c>
      <c r="U378" s="7" t="n">
        <f xml:space="preserve"> (SUMIF($C$3:$C$366, "pneu*",  R$3:R$366)/1000000)*$C$369</f>
        <v>486.36108795812669</v>
      </c>
      <c r="V378" s="7" t="n">
        <f xml:space="preserve"> (SUMIF($C$3:$C$366, "pneu*",  T$3:T$366)/1000000)*$C$369</f>
        <v>296.55146960936889</v>
      </c>
    </row>
    <row r="379">
      <c r="B379" s="4" t="s">
        <v>98</v>
      </c>
      <c r="C379" s="4"/>
      <c r="D379" s="4"/>
      <c r="F379" s="3" t="n">
        <f xml:space="preserve"> SUMIF($D$3:$D$366, "*Recip Comp*", G$3:G$366)</f>
        <v>-3900274.3194582341</v>
      </c>
      <c r="G379" s="3" t="n">
        <f xml:space="preserve"> SUMIF($D$3:$D$366, "*Recip Comp*", H$3:H$366)</f>
        <v>-741763.72460237145</v>
      </c>
      <c r="H379" s="3" t="n">
        <f xml:space="preserve"> SUMIF($D$3:$D$366, "*Recip Comp*", I$3:I$366)</f>
        <v>-27643.602597541005</v>
      </c>
      <c r="I379" s="3" t="n">
        <f xml:space="preserve"> SUMIF($D$3:$D$366, "*Recip Comp*", J$3:J$366)</f>
        <v>-88456733.610659897</v>
      </c>
      <c r="J379" s="7" t="n">
        <f xml:space="preserve"> SUMIF($D$3:$D$366, "*Recip Comp*", Z$3:Z$366)/1000000</f>
        <v>5241.3541700504047</v>
      </c>
      <c r="K379" s="7" t="n">
        <f t="shared" si="81"/>
        <v>492.84214231819664</v>
      </c>
      <c r="L379" s="7" t="n">
        <f xml:space="preserve"> SUMIF($D$3:$D$366, "*Recip Comp*",  T$3:T$366)/1000000</f>
        <v>-48.966776294304154</v>
      </c>
      <c r="M379" s="7" t="n">
        <f t="shared" si="82"/>
        <v>-4.6043236439159889</v>
      </c>
      <c r="N379" s="7"/>
      <c r="O379" s="7"/>
      <c r="Q379" s="4" t="s">
        <v>98</v>
      </c>
      <c r="R379" s="4"/>
      <c r="S379" s="4"/>
      <c r="T379" s="7" t="n">
        <f xml:space="preserve"> (SUMIF($D$3:$D$366, "*Recip Comp*",  U$3:U$366)/1000000)*$C$369</f>
        <v>16.9314168797872</v>
      </c>
      <c r="U379" s="7" t="n">
        <f xml:space="preserve"> (SUMIF($D$3:$D$366, "*Recip Comp*",  R$3:R$366)/1000000)*$C$369</f>
        <v>27.956047896316882</v>
      </c>
      <c r="V379" s="7" t="n">
        <f xml:space="preserve"> (SUMIF($D$3:$D$366, "*Recip Comp*",  T$3:T$366)/1000000)*$C$369</f>
        <v>-4.6043236439159889</v>
      </c>
    </row>
    <row r="380">
      <c r="B380" s="4" t="s">
        <v>97</v>
      </c>
      <c r="C380" s="4"/>
      <c r="D380" s="4"/>
      <c r="F380" s="3" t="n">
        <f xml:space="preserve"> SUMIF($D$3:$D$366, "*Centrifugal*", G$3:G$366)</f>
        <v>-2177583.4498895924</v>
      </c>
      <c r="G380" s="3" t="n">
        <f xml:space="preserve"> SUMIF($D$3:$D$366, "*Centrifugal*", H$3:H$366)</f>
        <v>-396079.51673802617</v>
      </c>
      <c r="H380" s="3" t="n">
        <f xml:space="preserve"> SUMIF($D$3:$D$366, "*Centrifugal*", I$3:I$366)</f>
        <v>-42116.716091731818</v>
      </c>
      <c r="I380" s="3" t="n">
        <f xml:space="preserve"> SUMIF($D$3:$D$366, "*Centrifugal*", J$3:J$366)</f>
        <v>-49386761.895409808</v>
      </c>
      <c r="J380" s="7" t="n">
        <f xml:space="preserve"> SUMIF($D$3:$D$366, "*Centrifugal*", Z$3:Z$366)/1000000</f>
        <v>2925.7829796337151</v>
      </c>
      <c r="K380" s="7" t="n">
        <f t="shared" si="81"/>
        <v>275.11003928721914</v>
      </c>
      <c r="L380" s="7" t="n">
        <f xml:space="preserve"> SUMIF($D$3:$D$366, "*Centrifugal*",  T$3:T$366)/1000000</f>
        <v>330.46768844291933</v>
      </c>
      <c r="M380" s="7" t="n">
        <f t="shared" si="82"/>
        <v>31.073726036259146</v>
      </c>
      <c r="N380" s="7"/>
      <c r="O380" s="7"/>
      <c r="Q380" s="4" t="s">
        <v>97</v>
      </c>
      <c r="R380" s="4"/>
      <c r="S380" s="4"/>
      <c r="T380" s="7" t="n">
        <f xml:space="preserve"> (SUMIF($D$3:$D$366, "*Centrifugal*",  U$3:U$366)/1000000)*$C$369</f>
        <v>0</v>
      </c>
      <c r="U380" s="7" t="n">
        <f xml:space="preserve"> (SUMIF($D$3:$D$366, "*Centrifugal*",  R$3:R$366)/1000000)*$C$369</f>
        <v>49.155649754686657</v>
      </c>
      <c r="V380" s="7" t="n">
        <f xml:space="preserve"> (SUMIF($D$3:$D$366, "*Centrifugal*",  T$3:T$366)/1000000)*$C$369</f>
        <v>31.073726036259146</v>
      </c>
    </row>
    <row r="381">
      <c r="B381" s="4" t="s">
        <v>96</v>
      </c>
      <c r="C381" s="4"/>
      <c r="D381" s="4"/>
      <c r="F381" s="3" t="n">
        <f xml:space="preserve"> SUMIF($C$3:$C$366, "liquids_unloading", G$3:G$366)</f>
        <v>-252596.20374540659</v>
      </c>
      <c r="G381" s="3" t="n">
        <f xml:space="preserve"> SUMIF($C$3:$C$366, "liquids_unloading", H$3:H$366)</f>
        <v>-70215.354758742105</v>
      </c>
      <c r="H381" s="3" t="n">
        <f xml:space="preserve"> SUMIF($C$3:$C$366, "liquids_unloading", I$3:I$366)</f>
        <v>-2645.3154574146997</v>
      </c>
      <c r="I381" s="3" t="n">
        <f xml:space="preserve"> SUMIF($C$3:$C$366, "liquids_unloading", J$3:J$366)</f>
        <v>-5728785.5354940938</v>
      </c>
      <c r="J381" s="7" t="n">
        <f xml:space="preserve"> SUMIF($C$3:$C$366, "liquids_unloading", Z$3:Z$366)/1000000</f>
        <v>339.59851073347261</v>
      </c>
      <c r="K381" s="7" t="n">
        <f t="shared" si="81"/>
        <v>31.932293092177016</v>
      </c>
      <c r="L381" s="7" t="n">
        <f xml:space="preserve"> SUMIF($C$3:$C$366, "liquids_unloading",  T$3:T$366)/1000000</f>
        <v>66.241502351851253</v>
      </c>
      <c r="M381" s="7" t="n">
        <f t="shared" si="82"/>
        <v>6.2286582570603652</v>
      </c>
      <c r="N381" s="7"/>
      <c r="O381" s="7"/>
      <c r="Q381" s="4" t="s">
        <v>96</v>
      </c>
      <c r="R381" s="4"/>
      <c r="S381" s="4"/>
      <c r="T381" s="7" t="n">
        <f xml:space="preserve"> (SUMIF($C$3:$C$366, "liquids_unloading",  U$3:U$366)/1000000)*$C$369</f>
        <v>0</v>
      </c>
      <c r="U381" s="7" t="n">
        <f xml:space="preserve"> (SUMIF($C$3:$C$366, "liquids_unloading",  R$3:R$366)/1000000)*$C$369</f>
        <v>8.449458148447512</v>
      </c>
      <c r="V381" s="7" t="n">
        <f xml:space="preserve"> (SUMIF($C$3:$C$366, "liquids_unloading",  T$3:T$366)/1000000)*$C$369</f>
        <v>6.2286582570603652</v>
      </c>
    </row>
    <row r="382" ht="15" customHeight="1">
      <c r="B382" s="8" t="s">
        <v>95</v>
      </c>
      <c r="C382" s="8"/>
      <c r="D382" s="8"/>
      <c r="E382" s="107"/>
      <c r="F382" s="16" t="n">
        <f xml:space="preserve"> SUMIF($C$3:$C$366, "Storage vessels", G$3:G$366)</f>
        <v>-171297.73904975195</v>
      </c>
      <c r="G382" s="16" t="n">
        <f xml:space="preserve"> SUMIF($C$3:$C$366, "Storage vessels", H$3:H$366)</f>
        <v>-815423.78197836841</v>
      </c>
      <c r="H382" s="16" t="n">
        <f xml:space="preserve"> SUMIF($C$3:$C$366, "Storage vessels", I$3:I$366)</f>
        <v>-30717.013867125137</v>
      </c>
      <c r="I382" s="16" t="n">
        <f xml:space="preserve"> SUMIF($C$3:$C$366, "Storage vessels", J$3:J$366)</f>
        <v>-3884967.3715609265</v>
      </c>
      <c r="J382" s="14" t="n">
        <f xml:space="preserve"> SUMIF($C$3:$C$366, "Storage vessels", Z$3:Z$366)/1000000</f>
        <v>230.52847987254026</v>
      </c>
      <c r="K382" s="14" t="n">
        <f t="shared" si="81"/>
        <v>21.676487831129986</v>
      </c>
      <c r="L382" s="14" t="n">
        <f xml:space="preserve"> SUMIF($C$3:$C$366, "Storage vessels", T$3:T$366)/1000000</f>
        <v>2025.031138926355</v>
      </c>
      <c r="M382" s="14" t="n">
        <f t="shared" si="82"/>
        <v>190.41275448858377</v>
      </c>
      <c r="N382" s="7"/>
      <c r="O382" s="7"/>
      <c r="Q382" s="8" t="s">
        <v>95</v>
      </c>
      <c r="R382" s="8"/>
      <c r="S382" s="8"/>
      <c r="T382" s="14" t="n">
        <f xml:space="preserve"> (SUMIF($C$3:$C$366, "Storage vessels",  U$3:U$366)/1000000)*$C$369</f>
        <v>80.278302211628329</v>
      </c>
      <c r="U382" s="14" t="n">
        <f xml:space="preserve"> (SUMIF($C$3:$C$366, "Storage vessels",  R$3:R$366)/1000000)*$C$369</f>
        <v>190.41275448858377</v>
      </c>
      <c r="V382" s="14" t="n">
        <f xml:space="preserve"> (SUMIF($C$3:$C$366, "Storage vessels",  T$3:T$366)/1000000)*$C$369</f>
        <v>190.41275448858377</v>
      </c>
    </row>
    <row r="383" ht="15" customHeight="1">
      <c r="P383" s="4"/>
      <c r="Q383" s="9" t="s">
        <v>26</v>
      </c>
      <c r="R383" s="125"/>
      <c r="S383" s="126"/>
      <c r="T383" s="126" t="n">
        <f xml:space="preserve"> SUM(T373:T382)</f>
        <v>1033.921508824495</v>
      </c>
      <c r="U383" s="126" t="n">
        <f t="shared" ref="U383:V383" si="83" xml:space="preserve"> SUM(U373:U382)</f>
        <v>1404.130577169632</v>
      </c>
      <c r="V383" s="126" t="n">
        <f t="shared" si="83"/>
        <v>1096.4350061281555</v>
      </c>
    </row>
    <row r="384" ht="15" customHeight="1">
      <c r="B384" s="85" t="s">
        <v>451</v>
      </c>
      <c r="C384" s="85" t="s">
        <v>452</v>
      </c>
    </row>
    <row r="385" ht="15" customHeight="1">
      <c r="B385" s="19" t="s">
        <v>105</v>
      </c>
      <c r="C385" s="19"/>
      <c r="D385" s="19"/>
      <c r="E385" s="19"/>
      <c r="F385" s="55" t="s">
        <v>106</v>
      </c>
      <c r="G385" s="55"/>
      <c r="H385" s="55"/>
      <c r="I385" s="55" t="s">
        <v>236</v>
      </c>
      <c r="J385" s="55"/>
      <c r="K385" s="55"/>
      <c r="L385" s="55"/>
      <c r="M385" s="4"/>
    </row>
    <row r="386" ht="51.75" customHeight="1">
      <c r="B386" s="8"/>
      <c r="C386" s="8"/>
      <c r="D386" s="8"/>
      <c r="E386" s="8"/>
      <c r="F386" s="66" t="s">
        <v>111</v>
      </c>
      <c r="G386" s="66" t="s">
        <v>109</v>
      </c>
      <c r="H386" s="66" t="s">
        <v>110</v>
      </c>
      <c r="I386" s="120" t="s">
        <v>231</v>
      </c>
      <c r="J386" s="120" t="s">
        <v>234</v>
      </c>
      <c r="K386" s="120" t="s">
        <v>233</v>
      </c>
      <c r="L386" s="120" t="s">
        <v>235</v>
      </c>
      <c r="M386" s="4"/>
    </row>
    <row r="387">
      <c r="B387" s="4" t="s">
        <v>103</v>
      </c>
      <c r="C387" s="4"/>
      <c r="D387" s="4"/>
      <c r="E387" s="4"/>
      <c r="F387" s="3" t="n">
        <f>-I373</f>
        <v>83366825.173990533</v>
      </c>
      <c r="G387" s="3" t="n">
        <f>-G373</f>
        <v>1021792.6931968869</v>
      </c>
      <c r="H387" s="3" t="n">
        <f>-H373</f>
        <v>38490.930752726745</v>
      </c>
      <c r="I387" s="7" t="n">
        <f>K373</f>
        <v>464.85449997843006</v>
      </c>
      <c r="J387" s="7" t="n">
        <f>T373</f>
        <v>22.517568913173029</v>
      </c>
      <c r="K387" s="7" t="n">
        <f>U373</f>
        <v>505.1777159253304</v>
      </c>
      <c r="L387" s="7" t="n">
        <f>V373</f>
        <v>472.76141782881365</v>
      </c>
      <c r="M387" s="23"/>
    </row>
    <row r="388">
      <c r="B388" s="4" t="s">
        <v>102</v>
      </c>
      <c r="C388" s="4"/>
      <c r="D388" s="4"/>
      <c r="E388" s="4"/>
      <c r="F388" s="3" t="n">
        <f>-I374</f>
        <v>15292470.053038239</v>
      </c>
      <c r="G388" s="3" t="n">
        <f>-G374</f>
        <v>187433.4801431715</v>
      </c>
      <c r="H388" s="3" t="n">
        <f>-H374</f>
        <v>7061.4281443622704</v>
      </c>
      <c r="I388" s="7" t="n">
        <f>K374</f>
        <v>85.21707133760853</v>
      </c>
      <c r="J388" s="7" t="n">
        <f>T374</f>
        <v>1.6797054654543171</v>
      </c>
      <c r="K388" s="7" t="n">
        <f>U374</f>
        <v>34.219328822334163</v>
      </c>
      <c r="L388" s="7" t="n">
        <f>V374</f>
        <v>28.322437736344067</v>
      </c>
      <c r="M388" s="23"/>
    </row>
    <row r="389">
      <c r="B389" s="4" t="s">
        <v>101</v>
      </c>
      <c r="C389" s="4"/>
      <c r="D389" s="4"/>
      <c r="E389" s="4"/>
      <c r="F389" s="3" t="n">
        <f>-I375</f>
        <v>18745354.738276277</v>
      </c>
      <c r="G389" s="3" t="n">
        <f>-G375</f>
        <v>22873.92350519733</v>
      </c>
      <c r="H389" s="3" t="n">
        <f>-H375</f>
        <v>679.39429582338221</v>
      </c>
      <c r="I389" s="7" t="n">
        <f>K375</f>
        <v>104.46019516793496</v>
      </c>
      <c r="J389" s="7" t="n">
        <f>T375</f>
        <v>4.7266457901935075</v>
      </c>
      <c r="K389" s="7" t="n">
        <f>U375</f>
        <v>18.928355230894169</v>
      </c>
      <c r="L389" s="7" t="n">
        <f>V375</f>
        <v>12.46962456728655</v>
      </c>
      <c r="M389" s="23"/>
    </row>
    <row r="390">
      <c r="B390" s="4" t="s">
        <v>100</v>
      </c>
      <c r="C390" s="4"/>
      <c r="D390" s="4"/>
      <c r="E390" s="4"/>
      <c r="F390" s="3" t="n">
        <f>-I376</f>
        <v>3692981.5013929252</v>
      </c>
      <c r="G390" s="3" t="n">
        <f>-G376</f>
        <v>19445.450239772254</v>
      </c>
      <c r="H390" s="3" t="n">
        <f>-H376</f>
        <v>710.59872628688652</v>
      </c>
      <c r="I390" s="7" t="n">
        <f>K376</f>
        <v>20.577982420096312</v>
      </c>
      <c r="J390" s="7" t="n">
        <f>T376</f>
        <v>-1.0853344532182374</v>
      </c>
      <c r="K390" s="7" t="n">
        <f>U376</f>
        <v>2.3965009371398907</v>
      </c>
      <c r="L390" s="7" t="n">
        <f>V376</f>
        <v>1.0392346219435071</v>
      </c>
      <c r="M390" s="23"/>
    </row>
    <row r="391">
      <c r="B391" s="4" t="s">
        <v>173</v>
      </c>
      <c r="C391" s="4"/>
      <c r="D391" s="4"/>
      <c r="F391" s="3" t="n">
        <f xml:space="preserve"> -I377 + -I378</f>
        <v>540382167.47612441</v>
      </c>
      <c r="G391" s="3" t="n">
        <f xml:space="preserve"> -G377+-G378</f>
        <v>6434373.0817482974</v>
      </c>
      <c r="H391" s="3" t="n">
        <f xml:space="preserve"> -H377+-H378</f>
        <v>242216.43704266497</v>
      </c>
      <c r="I391" s="7" t="n">
        <f>K377+K378</f>
        <v>3011.6293951249381</v>
      </c>
      <c r="J391" s="7" t="n">
        <f>T377 +T378</f>
        <v>908.87320401747706</v>
      </c>
      <c r="K391" s="7" t="n">
        <f>U377 +U378</f>
        <v>567.43476596589858</v>
      </c>
      <c r="L391" s="7" t="n">
        <f>V377 +V378</f>
        <v>358.73147623578041</v>
      </c>
      <c r="M391" s="23"/>
    </row>
    <row r="392">
      <c r="B392" s="4" t="s">
        <v>98</v>
      </c>
      <c r="C392" s="4"/>
      <c r="D392" s="4"/>
      <c r="F392" s="3" t="n">
        <f>-I379</f>
        <v>88456733.610659897</v>
      </c>
      <c r="G392" s="3" t="n">
        <f>-G379</f>
        <v>741763.72460237145</v>
      </c>
      <c r="H392" s="3" t="n">
        <f>-H379</f>
        <v>27643.602597541005</v>
      </c>
      <c r="I392" s="7" t="n">
        <f>K379</f>
        <v>492.84214231819664</v>
      </c>
      <c r="J392" s="7" t="n">
        <f>T379</f>
        <v>16.9314168797872</v>
      </c>
      <c r="K392" s="7" t="n">
        <f>U379</f>
        <v>27.956047896316882</v>
      </c>
      <c r="L392" s="7" t="n">
        <f>V379</f>
        <v>-4.6043236439159889</v>
      </c>
      <c r="M392" s="23"/>
    </row>
    <row r="393">
      <c r="B393" s="4" t="s">
        <v>97</v>
      </c>
      <c r="C393" s="4"/>
      <c r="D393" s="4"/>
      <c r="F393" s="3" t="n">
        <f>-I380</f>
        <v>49386761.895409808</v>
      </c>
      <c r="G393" s="3" t="n">
        <f>-G380</f>
        <v>396079.51673802617</v>
      </c>
      <c r="H393" s="3" t="n">
        <f>-H380</f>
        <v>42116.716091731818</v>
      </c>
      <c r="I393" s="7" t="n">
        <f>K380</f>
        <v>275.11003928721914</v>
      </c>
      <c r="J393" s="7" t="n">
        <f>T380</f>
        <v>0</v>
      </c>
      <c r="K393" s="7" t="n">
        <f>U380</f>
        <v>49.155649754686657</v>
      </c>
      <c r="L393" s="7" t="n">
        <f>V380</f>
        <v>31.073726036259146</v>
      </c>
      <c r="M393" s="23"/>
    </row>
    <row r="394">
      <c r="B394" s="4" t="s">
        <v>96</v>
      </c>
      <c r="C394" s="4"/>
      <c r="D394" s="4"/>
      <c r="F394" s="3" t="n">
        <f>-I381</f>
        <v>5728785.5354940938</v>
      </c>
      <c r="G394" s="3" t="n">
        <f>-G381</f>
        <v>70215.354758742105</v>
      </c>
      <c r="H394" s="3" t="n">
        <f>-H381</f>
        <v>2645.3154574146997</v>
      </c>
      <c r="I394" s="7" t="n">
        <f>K381</f>
        <v>31.932293092177016</v>
      </c>
      <c r="J394" s="7" t="n">
        <f>T381</f>
        <v>0</v>
      </c>
      <c r="K394" s="7" t="n">
        <f>U381</f>
        <v>8.449458148447512</v>
      </c>
      <c r="L394" s="7" t="n">
        <f>V381</f>
        <v>6.2286582570603652</v>
      </c>
      <c r="M394" s="23"/>
    </row>
    <row r="395" ht="15" customHeight="1">
      <c r="B395" s="8" t="s">
        <v>95</v>
      </c>
      <c r="C395" s="8"/>
      <c r="D395" s="8"/>
      <c r="E395" s="107"/>
      <c r="F395" s="16" t="n">
        <f>-I382</f>
        <v>3884967.3715609265</v>
      </c>
      <c r="G395" s="16" t="n">
        <f>-G382</f>
        <v>815423.78197836841</v>
      </c>
      <c r="H395" s="16" t="n">
        <f>-H382</f>
        <v>30717.013867125137</v>
      </c>
      <c r="I395" s="14" t="n">
        <f>K382</f>
        <v>21.676487831129986</v>
      </c>
      <c r="J395" s="14" t="n">
        <f>T382</f>
        <v>80.278302211628329</v>
      </c>
      <c r="K395" s="14" t="n">
        <f>U382</f>
        <v>190.41275448858377</v>
      </c>
      <c r="L395" s="14" t="n">
        <f>V382</f>
        <v>190.41275448858377</v>
      </c>
      <c r="M395" s="23"/>
    </row>
    <row r="397" ht="15" customHeight="1">
      <c r="B397" s="85" t="s">
        <v>451</v>
      </c>
      <c r="C397" s="85" t="s">
        <v>452</v>
      </c>
    </row>
    <row r="398" ht="15" customHeight="1">
      <c r="B398" s="19" t="s">
        <v>105</v>
      </c>
      <c r="C398" s="19"/>
      <c r="D398" s="19"/>
      <c r="E398" s="19"/>
      <c r="F398" s="55" t="s">
        <v>106</v>
      </c>
      <c r="G398" s="55"/>
      <c r="H398" s="55"/>
      <c r="I398" s="55" t="s">
        <v>236</v>
      </c>
      <c r="J398" s="55"/>
      <c r="K398" s="55"/>
      <c r="L398" s="55"/>
    </row>
    <row r="399" ht="51.75" customHeight="1">
      <c r="B399" s="8"/>
      <c r="C399" s="8"/>
      <c r="D399" s="8"/>
      <c r="E399" s="8"/>
      <c r="F399" s="66" t="s">
        <v>111</v>
      </c>
      <c r="G399" s="66" t="s">
        <v>109</v>
      </c>
      <c r="H399" s="66" t="s">
        <v>110</v>
      </c>
      <c r="I399" s="120" t="s">
        <v>237</v>
      </c>
      <c r="J399" s="120" t="s">
        <v>234</v>
      </c>
      <c r="K399" s="120" t="s">
        <v>233</v>
      </c>
      <c r="L399" s="120" t="s">
        <v>235</v>
      </c>
    </row>
    <row r="400">
      <c r="B400" s="4" t="s">
        <v>103</v>
      </c>
      <c r="C400" s="4"/>
      <c r="D400" s="4"/>
      <c r="E400" s="4"/>
      <c r="F400" s="3" t="n">
        <f>ROUND(F387,2-(1+INT(LOG10(ABS(F387)))))</f>
        <v>83000000</v>
      </c>
      <c r="G400" s="3" t="n">
        <f t="shared" ref="G400:L400" si="84">ROUND(G387,2-(1+INT(LOG10(ABS(G387)))))</f>
        <v>1000000</v>
      </c>
      <c r="H400" s="3" t="n">
        <f t="shared" si="84"/>
        <v>38000</v>
      </c>
      <c r="I400" s="23" t="n">
        <f t="shared" si="84"/>
        <v>460</v>
      </c>
      <c r="J400" s="23" t="n">
        <f t="shared" si="84"/>
        <v>23</v>
      </c>
      <c r="K400" s="23" t="n">
        <f t="shared" si="84"/>
        <v>510</v>
      </c>
      <c r="L400" s="23" t="n">
        <f t="shared" si="84"/>
        <v>470</v>
      </c>
    </row>
    <row r="401">
      <c r="B401" s="4" t="s">
        <v>102</v>
      </c>
      <c r="C401" s="4"/>
      <c r="D401" s="4"/>
      <c r="E401" s="4"/>
      <c r="F401" s="3" t="n">
        <f t="shared" ref="F401:L408" si="85">ROUND(F388,2-(1+INT(LOG10(ABS(F388)))))</f>
        <v>15000000</v>
      </c>
      <c r="G401" s="3" t="n">
        <f t="shared" si="85"/>
        <v>190000</v>
      </c>
      <c r="H401" s="3" t="n">
        <f t="shared" si="85"/>
        <v>7100</v>
      </c>
      <c r="I401" s="23" t="n">
        <f t="shared" si="85"/>
        <v>85</v>
      </c>
      <c r="J401" s="122" t="n">
        <f t="shared" si="85"/>
        <v>1.7</v>
      </c>
      <c r="K401" s="23" t="n">
        <f t="shared" si="85"/>
        <v>34</v>
      </c>
      <c r="L401" s="23" t="n">
        <f t="shared" si="85"/>
        <v>28</v>
      </c>
    </row>
    <row r="402">
      <c r="B402" s="4" t="s">
        <v>101</v>
      </c>
      <c r="C402" s="4"/>
      <c r="D402" s="4"/>
      <c r="E402" s="4"/>
      <c r="F402" s="3" t="n">
        <f t="shared" si="85"/>
        <v>19000000</v>
      </c>
      <c r="G402" s="3" t="n">
        <f t="shared" si="85"/>
        <v>23000</v>
      </c>
      <c r="H402" s="3" t="n">
        <f t="shared" si="85"/>
        <v>680</v>
      </c>
      <c r="I402" s="23" t="n">
        <f t="shared" si="85"/>
        <v>100</v>
      </c>
      <c r="J402" s="122" t="n">
        <f t="shared" si="85"/>
        <v>4.7</v>
      </c>
      <c r="K402" s="23" t="n">
        <f t="shared" si="85"/>
        <v>19</v>
      </c>
      <c r="L402" s="23" t="n">
        <f t="shared" si="85"/>
        <v>12</v>
      </c>
    </row>
    <row r="403">
      <c r="B403" s="4" t="s">
        <v>100</v>
      </c>
      <c r="C403" s="4"/>
      <c r="D403" s="4"/>
      <c r="E403" s="4"/>
      <c r="F403" s="3" t="n">
        <f t="shared" si="85"/>
        <v>3700000</v>
      </c>
      <c r="G403" s="3" t="n">
        <f t="shared" si="85"/>
        <v>19000</v>
      </c>
      <c r="H403" s="3" t="n">
        <f t="shared" si="85"/>
        <v>710</v>
      </c>
      <c r="I403" s="23" t="n">
        <f t="shared" si="85"/>
        <v>21</v>
      </c>
      <c r="J403" s="122" t="n">
        <f t="shared" si="85"/>
        <v>-1.1000000000000001</v>
      </c>
      <c r="K403" s="122" t="n">
        <f t="shared" si="85"/>
        <v>2.4</v>
      </c>
      <c r="L403" s="122" t="n">
        <f t="shared" si="85"/>
        <v>1</v>
      </c>
    </row>
    <row r="404">
      <c r="B404" s="4" t="s">
        <v>173</v>
      </c>
      <c r="C404" s="4"/>
      <c r="D404" s="4"/>
      <c r="F404" s="3" t="n">
        <f t="shared" si="85"/>
        <v>540000000</v>
      </c>
      <c r="G404" s="3" t="n">
        <f t="shared" si="85"/>
        <v>6400000</v>
      </c>
      <c r="H404" s="3" t="n">
        <f t="shared" si="85"/>
        <v>240000</v>
      </c>
      <c r="I404" s="23" t="n">
        <f t="shared" si="85"/>
        <v>3000</v>
      </c>
      <c r="J404" s="23" t="n">
        <f t="shared" si="85"/>
        <v>910</v>
      </c>
      <c r="K404" s="23" t="n">
        <f t="shared" si="85"/>
        <v>570</v>
      </c>
      <c r="L404" s="23" t="n">
        <f t="shared" si="85"/>
        <v>360</v>
      </c>
    </row>
    <row r="405">
      <c r="B405" s="4" t="s">
        <v>98</v>
      </c>
      <c r="C405" s="4"/>
      <c r="D405" s="4"/>
      <c r="F405" s="3" t="n">
        <f t="shared" si="85"/>
        <v>88000000</v>
      </c>
      <c r="G405" s="3" t="n">
        <f t="shared" si="85"/>
        <v>740000</v>
      </c>
      <c r="H405" s="3" t="n">
        <f t="shared" si="85"/>
        <v>28000</v>
      </c>
      <c r="I405" s="23" t="n">
        <f t="shared" si="85"/>
        <v>490</v>
      </c>
      <c r="J405" s="23" t="n">
        <f t="shared" si="85"/>
        <v>17</v>
      </c>
      <c r="K405" s="23" t="n">
        <f t="shared" si="85"/>
        <v>28</v>
      </c>
      <c r="L405" s="122" t="n">
        <f t="shared" si="85"/>
        <v>-4.5999999999999996</v>
      </c>
    </row>
    <row r="406">
      <c r="B406" s="4" t="s">
        <v>97</v>
      </c>
      <c r="C406" s="4"/>
      <c r="D406" s="4"/>
      <c r="F406" s="3" t="n">
        <f t="shared" si="85"/>
        <v>49000000</v>
      </c>
      <c r="G406" s="3" t="n">
        <f t="shared" si="85"/>
        <v>400000</v>
      </c>
      <c r="H406" s="3" t="n">
        <f t="shared" si="85"/>
        <v>42000</v>
      </c>
      <c r="I406" s="23" t="n">
        <f t="shared" si="85"/>
        <v>280</v>
      </c>
      <c r="J406" s="23" t="n">
        <v>0</v>
      </c>
      <c r="K406" s="23" t="n">
        <f t="shared" si="85"/>
        <v>49</v>
      </c>
      <c r="L406" s="23" t="n">
        <f t="shared" si="85"/>
        <v>31</v>
      </c>
    </row>
    <row r="407">
      <c r="B407" s="4" t="s">
        <v>96</v>
      </c>
      <c r="C407" s="4"/>
      <c r="D407" s="4"/>
      <c r="F407" s="3" t="n">
        <f t="shared" si="85"/>
        <v>5700000</v>
      </c>
      <c r="G407" s="3" t="n">
        <f t="shared" si="85"/>
        <v>70000</v>
      </c>
      <c r="H407" s="3" t="n">
        <f t="shared" si="85"/>
        <v>2600</v>
      </c>
      <c r="I407" s="23" t="n">
        <f t="shared" si="85"/>
        <v>32</v>
      </c>
      <c r="J407" s="23" t="n">
        <v>0</v>
      </c>
      <c r="K407" s="122" t="n">
        <f t="shared" si="85"/>
        <v>8.4</v>
      </c>
      <c r="L407" s="122" t="n">
        <f t="shared" si="85"/>
        <v>6.2</v>
      </c>
    </row>
    <row r="408" ht="15" customHeight="1">
      <c r="B408" s="8" t="s">
        <v>95</v>
      </c>
      <c r="C408" s="8"/>
      <c r="D408" s="8"/>
      <c r="E408" s="107"/>
      <c r="F408" s="16" t="n">
        <f t="shared" si="85"/>
        <v>3900000</v>
      </c>
      <c r="G408" s="16" t="n">
        <f t="shared" si="85"/>
        <v>820000</v>
      </c>
      <c r="H408" s="16" t="n">
        <f t="shared" si="85"/>
        <v>31000</v>
      </c>
      <c r="I408" s="25" t="n">
        <f t="shared" si="85"/>
        <v>22</v>
      </c>
      <c r="J408" s="25" t="n">
        <f t="shared" ref="J408" si="86">ROUND(J395,2-(1+INT(LOG10(ABS(J395)))))</f>
        <v>80</v>
      </c>
      <c r="K408" s="25" t="n">
        <f t="shared" si="85"/>
        <v>190</v>
      </c>
      <c r="L408" s="25" t="n">
        <f t="shared" si="85"/>
        <v>190</v>
      </c>
    </row>
  </sheetData>
  <mergeCells count="46">
    <mergeCell ref="B407:D407"/>
    <mergeCell ref="B408:D408"/>
    <mergeCell ref="B402:D402"/>
    <mergeCell ref="B403:D403"/>
    <mergeCell ref="B404:D404"/>
    <mergeCell ref="B405:D405"/>
    <mergeCell ref="B406:D406"/>
    <mergeCell ref="B398:E399"/>
    <mergeCell ref="F398:H398"/>
    <mergeCell ref="I398:L398"/>
    <mergeCell ref="B400:D400"/>
    <mergeCell ref="B401:D401"/>
    <mergeCell ref="Q382:S382"/>
    <mergeCell ref="Q377:S377"/>
    <mergeCell ref="Q378:S378"/>
    <mergeCell ref="Q379:S379"/>
    <mergeCell ref="Q380:S380"/>
    <mergeCell ref="Q381:S381"/>
    <mergeCell ref="F371:I371"/>
    <mergeCell ref="B373:D373"/>
    <mergeCell ref="B374:D374"/>
    <mergeCell ref="B381:D381"/>
    <mergeCell ref="Q373:S373"/>
    <mergeCell ref="Q374:S374"/>
    <mergeCell ref="Q375:S375"/>
    <mergeCell ref="Q376:S376"/>
    <mergeCell ref="B382:D382"/>
    <mergeCell ref="B385:E386"/>
    <mergeCell ref="B375:D375"/>
    <mergeCell ref="B371:E372"/>
    <mergeCell ref="B376:D376"/>
    <mergeCell ref="B377:D377"/>
    <mergeCell ref="B378:D378"/>
    <mergeCell ref="B379:D379"/>
    <mergeCell ref="B380:D380"/>
    <mergeCell ref="F385:H385"/>
    <mergeCell ref="I385:L385"/>
    <mergeCell ref="B387:D387"/>
    <mergeCell ref="B394:D394"/>
    <mergeCell ref="B395:D395"/>
    <mergeCell ref="B389:D389"/>
    <mergeCell ref="B390:D390"/>
    <mergeCell ref="B391:D391"/>
    <mergeCell ref="B392:D392"/>
    <mergeCell ref="B393:D393"/>
    <mergeCell ref="B388:D388"/>
  </mergeCell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2" max="2" width="24.85546875" hidden="0" customWidth="1"/>
  </cols>
  <sheetData>
    <row r="2">
      <c r="B2" t="str">
        <f>icr_equip_props_tbl!B2</f>
        <v>equip_bin</v>
      </c>
      <c r="C2" t="str">
        <f>icr_equip_props_tbl!C2</f>
        <v>Gas_Low_Single</v>
      </c>
      <c r="D2" t="str">
        <f>icr_equip_props_tbl!D2</f>
        <v>Gas_Low_Multi</v>
      </c>
      <c r="E2" t="str">
        <f>icr_equip_props_tbl!E2</f>
        <v>Gas_Non_low_Single</v>
      </c>
      <c r="F2" t="str">
        <f>icr_equip_props_tbl!F2</f>
        <v>Gas_Non_low_Multi</v>
      </c>
      <c r="G2" t="str">
        <f>icr_equip_props_tbl!G2</f>
        <v>Oil_Low_Single</v>
      </c>
      <c r="H2" t="str">
        <f>icr_equip_props_tbl!H2</f>
        <v>Oil_Low_Multi</v>
      </c>
      <c r="I2" t="str">
        <f>icr_equip_props_tbl!I2</f>
        <v>Oil_Non_low_Single</v>
      </c>
      <c r="J2" t="str">
        <f>icr_equip_props_tbl!J2</f>
        <v>Oil_Non_low_Multi</v>
      </c>
    </row>
    <row r="3">
      <c r="B3" t="str">
        <f>icr_equip_props_tbl!B3</f>
        <v>1: No equipment, no tanks</v>
      </c>
      <c r="C3" t="n">
        <f>icr_equip_props_tbl!C3</f>
        <v>0.36795479910714302</v>
      </c>
      <c r="D3" t="n">
        <f>icr_equip_props_tbl!D3</f>
        <v>4.0479760119939999E-2</v>
      </c>
      <c r="E3" t="n">
        <f>icr_equip_props_tbl!E3</f>
        <v>0.33416708354177099</v>
      </c>
      <c r="F3" t="n">
        <f>icr_equip_props_tbl!F3</f>
        <v>1.06780565936999E-2</v>
      </c>
      <c r="G3" t="n">
        <f>icr_equip_props_tbl!G3</f>
        <v>0.57970581849761205</v>
      </c>
      <c r="H3" t="n">
        <f>icr_equip_props_tbl!H3</f>
        <v>0.105939562348038</v>
      </c>
      <c r="I3" t="n">
        <f>icr_equip_props_tbl!I3</f>
        <v>0.43679519825391</v>
      </c>
      <c r="J3" t="n">
        <f>icr_equip_props_tbl!J3</f>
        <v>3.2467532467532499E-2</v>
      </c>
    </row>
    <row r="4">
      <c r="B4" t="str">
        <f>icr_equip_props_tbl!B4</f>
        <v>2: Tanks, no equipment</v>
      </c>
      <c r="C4" t="n">
        <f>icr_equip_props_tbl!C4</f>
        <v>5.0037202380952397E-2</v>
      </c>
      <c r="D4" t="n">
        <f>icr_equip_props_tbl!D4</f>
        <v>0.14392803598200901</v>
      </c>
      <c r="E4" t="n">
        <f>icr_equip_props_tbl!E4</f>
        <v>1.7608804402201101E-2</v>
      </c>
      <c r="F4" t="n">
        <f>icr_equip_props_tbl!F4</f>
        <v>8.0085424452749597E-3</v>
      </c>
      <c r="G4" t="n">
        <f>icr_equip_props_tbl!G4</f>
        <v>9.4442032132001696E-2</v>
      </c>
      <c r="H4" t="n">
        <f>icr_equip_props_tbl!H4</f>
        <v>0.23862452240361201</v>
      </c>
      <c r="I4" t="n">
        <f>icr_equip_props_tbl!I4</f>
        <v>2.3463077482721001E-2</v>
      </c>
      <c r="J4" t="n">
        <f>icr_equip_props_tbl!J4</f>
        <v>5.7142857142857099E-2</v>
      </c>
    </row>
    <row r="5">
      <c r="B5" t="str">
        <f>icr_equip_props_tbl!B5</f>
        <v>3: Equipment = 1, no tanks</v>
      </c>
      <c r="C5" t="n">
        <f>icr_equip_props_tbl!C5</f>
        <v>0.21028645833333301</v>
      </c>
      <c r="D5" t="n">
        <f>icr_equip_props_tbl!D5</f>
        <v>4.4977511244377801E-2</v>
      </c>
      <c r="E5" t="n">
        <f>icr_equip_props_tbl!E5</f>
        <v>0.116358179089545</v>
      </c>
      <c r="F5" t="n">
        <f>icr_equip_props_tbl!F5</f>
        <v>3.6305392418579802E-2</v>
      </c>
      <c r="G5" t="n">
        <f>icr_equip_props_tbl!G5</f>
        <v>1.9186930091185401E-2</v>
      </c>
      <c r="H5" t="n">
        <f>icr_equip_props_tbl!H5</f>
        <v>5.9048280653004499E-3</v>
      </c>
      <c r="I5" t="n">
        <f>icr_equip_props_tbl!I5</f>
        <v>7.8392142597308104E-2</v>
      </c>
      <c r="J5" t="n">
        <f>icr_equip_props_tbl!J5</f>
        <v>9.5238095238095195E-3</v>
      </c>
    </row>
    <row r="6">
      <c r="B6" t="str">
        <f>icr_equip_props_tbl!B6</f>
        <v>4: Equipment &gt; 1, no tanks</v>
      </c>
      <c r="C6" t="n">
        <f>icr_equip_props_tbl!C6</f>
        <v>2.0275297619047599E-2</v>
      </c>
      <c r="D6" t="n">
        <f>icr_equip_props_tbl!D6</f>
        <v>4.6476761619190399E-2</v>
      </c>
      <c r="E6" t="n">
        <f>icr_equip_props_tbl!E6</f>
        <v>9.5047523761880894E-3</v>
      </c>
      <c r="F6" t="n">
        <f>icr_equip_props_tbl!F6</f>
        <v>9.3432995194874496E-2</v>
      </c>
      <c r="G6" t="n">
        <f>icr_equip_props_tbl!G6</f>
        <v>2.1168041684758998E-3</v>
      </c>
      <c r="H6" t="n">
        <f>icr_equip_props_tbl!H6</f>
        <v>2.4313997915943E-3</v>
      </c>
      <c r="I6" t="n">
        <f>icr_equip_props_tbl!I6</f>
        <v>6.91160421971626E-3</v>
      </c>
      <c r="J6" t="n">
        <f>icr_equip_props_tbl!J6</f>
        <v>0.15974025974025999</v>
      </c>
    </row>
    <row r="7">
      <c r="B7" t="str">
        <f>icr_equip_props_tbl!B7</f>
        <v>5: Equipment = 1 and tanks</v>
      </c>
      <c r="C7" t="n">
        <f>icr_equip_props_tbl!C7</f>
        <v>0.3017578125</v>
      </c>
      <c r="D7" t="n">
        <f>icr_equip_props_tbl!D7</f>
        <v>0.29535232383808102</v>
      </c>
      <c r="E7" t="n">
        <f>icr_equip_props_tbl!E7</f>
        <v>0.38959479739869901</v>
      </c>
      <c r="F7" t="n">
        <f>icr_equip_props_tbl!F7</f>
        <v>6.1398825413774699E-2</v>
      </c>
      <c r="G7" t="n">
        <f>icr_equip_props_tbl!G7</f>
        <v>0.24356817194963101</v>
      </c>
      <c r="H7" t="n">
        <f>icr_equip_props_tbl!H7</f>
        <v>0.44234109065647798</v>
      </c>
      <c r="I7" t="n">
        <f>icr_equip_props_tbl!I7</f>
        <v>0.23199345216442299</v>
      </c>
      <c r="J7" t="n">
        <f>icr_equip_props_tbl!J7</f>
        <v>6.6666666666666693E-2</v>
      </c>
    </row>
    <row r="8">
      <c r="B8" t="str">
        <f>icr_equip_props_tbl!B8</f>
        <v>6: Equipment &gt; 1 and tanks</v>
      </c>
      <c r="C8" t="n">
        <f>icr_equip_props_tbl!C8</f>
        <v>4.9688430059523801E-2</v>
      </c>
      <c r="D8" t="n">
        <f>icr_equip_props_tbl!D8</f>
        <v>0.42878560719640202</v>
      </c>
      <c r="E8" t="n">
        <f>icr_equip_props_tbl!E8</f>
        <v>0.132766383191596</v>
      </c>
      <c r="F8" t="n">
        <f>icr_equip_props_tbl!F8</f>
        <v>0.79017618793379596</v>
      </c>
      <c r="G8" t="n">
        <f>icr_equip_props_tbl!G8</f>
        <v>6.0980243161094197E-2</v>
      </c>
      <c r="H8" t="n">
        <f>icr_equip_props_tbl!H8</f>
        <v>0.20475859673497701</v>
      </c>
      <c r="I8" t="n">
        <f>icr_equip_props_tbl!I8</f>
        <v>0.22244452528192099</v>
      </c>
      <c r="J8" t="n">
        <f>icr_equip_props_tbl!J8</f>
        <v>0.67445887445887398</v>
      </c>
    </row>
    <row r="11" ht="16.5" customHeight="1">
      <c r="B11" s="85" t="s">
        <v>421</v>
      </c>
      <c r="C11" s="85" t="s">
        <v>422</v>
      </c>
    </row>
    <row r="12" ht="16.5" customHeight="1">
      <c r="B12" s="127"/>
      <c r="C12" s="35" t="s">
        <v>255</v>
      </c>
      <c r="D12" s="35"/>
      <c r="E12" s="35"/>
      <c r="F12" s="35"/>
      <c r="G12" s="39" t="s">
        <v>238</v>
      </c>
      <c r="H12" s="39"/>
      <c r="I12" s="39"/>
      <c r="J12" s="39"/>
    </row>
    <row r="13" ht="15.75" customHeight="1">
      <c r="B13" s="128"/>
      <c r="C13" s="136" t="s">
        <v>400</v>
      </c>
      <c r="D13" s="136"/>
      <c r="E13" s="137" t="s">
        <v>412</v>
      </c>
      <c r="F13" s="137"/>
      <c r="G13" s="137" t="s">
        <v>413</v>
      </c>
      <c r="H13" s="137"/>
      <c r="I13" s="137" t="s">
        <v>412</v>
      </c>
      <c r="J13" s="137"/>
    </row>
    <row r="14" ht="39" customHeight="1">
      <c r="B14" s="129" t="s">
        <v>414</v>
      </c>
      <c r="C14" s="29" t="s">
        <v>401</v>
      </c>
      <c r="D14" s="130" t="s">
        <v>402</v>
      </c>
      <c r="E14" s="29" t="s">
        <v>401</v>
      </c>
      <c r="F14" s="131" t="s">
        <v>402</v>
      </c>
      <c r="G14" s="29" t="s">
        <v>401</v>
      </c>
      <c r="H14" s="131" t="s">
        <v>402</v>
      </c>
      <c r="I14" s="29" t="s">
        <v>401</v>
      </c>
      <c r="J14" s="131" t="s">
        <v>402</v>
      </c>
    </row>
    <row r="15" ht="25.5" customHeight="1">
      <c r="B15" s="132" t="s">
        <v>415</v>
      </c>
      <c r="C15" s="32" t="n">
        <f>ROUND(C3,2-(1+INT(LOG10(ABS(C3)))))</f>
        <v>0.37</v>
      </c>
      <c r="D15" s="32" t="n">
        <f t="shared" ref="D15:J15" si="0">ROUND(D3,2-(1+INT(LOG10(ABS(D3)))))</f>
        <v>0.04</v>
      </c>
      <c r="E15" s="32" t="n">
        <f t="shared" si="0"/>
        <v>0.33</v>
      </c>
      <c r="F15" s="32" t="n">
        <f t="shared" si="0"/>
        <v>1.0999999999999999E-2</v>
      </c>
      <c r="G15" s="32" t="n">
        <f t="shared" si="0"/>
        <v>0.57999999999999996</v>
      </c>
      <c r="H15" s="32" t="n">
        <f t="shared" si="0"/>
        <v>0.11</v>
      </c>
      <c r="I15" s="32" t="n">
        <f t="shared" si="0"/>
        <v>0.44</v>
      </c>
      <c r="J15" s="32" t="n">
        <f t="shared" si="0"/>
        <v>3.2000000000000001E-2</v>
      </c>
    </row>
    <row r="16" ht="25.5" customHeight="1">
      <c r="B16" s="132" t="s">
        <v>416</v>
      </c>
      <c r="C16" s="32" t="n">
        <f t="shared" ref="C16:J16" si="1">ROUND(C4,2-(1+INT(LOG10(ABS(C4)))))</f>
        <v>0.05</v>
      </c>
      <c r="D16" s="32" t="n">
        <f t="shared" si="1"/>
        <v>0.14000000000000001</v>
      </c>
      <c r="E16" s="32" t="n">
        <f t="shared" si="1"/>
        <v>1.7999999999999999E-2</v>
      </c>
      <c r="F16" s="32" t="n">
        <f t="shared" si="1"/>
        <v>8.0000000000000002E-3</v>
      </c>
      <c r="G16" s="32" t="n">
        <f t="shared" si="1"/>
        <v>9.4E-2</v>
      </c>
      <c r="H16" s="32" t="n">
        <f t="shared" si="1"/>
        <v>0.24</v>
      </c>
      <c r="I16" s="32" t="n">
        <f t="shared" si="1"/>
        <v>2.3E-2</v>
      </c>
      <c r="J16" s="133" t="n">
        <f t="shared" si="1"/>
        <v>5.7000000000000002E-2</v>
      </c>
    </row>
    <row r="17" ht="25.5" customHeight="1">
      <c r="B17" s="132" t="s">
        <v>417</v>
      </c>
      <c r="C17" s="32" t="n">
        <f t="shared" ref="C17:J17" si="2">ROUND(C5,2-(1+INT(LOG10(ABS(C5)))))</f>
        <v>0.21</v>
      </c>
      <c r="D17" s="32" t="n">
        <f t="shared" si="2"/>
        <v>4.4999999999999998E-2</v>
      </c>
      <c r="E17" s="32" t="n">
        <f t="shared" si="2"/>
        <v>0.12</v>
      </c>
      <c r="F17" s="32" t="n">
        <f t="shared" si="2"/>
        <v>3.5999999999999997E-2</v>
      </c>
      <c r="G17" s="32" t="n">
        <f t="shared" si="2"/>
        <v>1.9E-2</v>
      </c>
      <c r="H17" s="32" t="n">
        <f t="shared" si="2"/>
        <v>5.8999999999999999E-3</v>
      </c>
      <c r="I17" s="32" t="n">
        <f t="shared" si="2"/>
        <v>7.8E-2</v>
      </c>
      <c r="J17" s="133" t="n">
        <f t="shared" si="2"/>
        <v>9.4999999999999998E-3</v>
      </c>
    </row>
    <row r="18" ht="25.5" customHeight="1">
      <c r="B18" s="132" t="s">
        <v>418</v>
      </c>
      <c r="C18" s="32" t="n">
        <f t="shared" ref="C18:J18" si="3">ROUND(C6,2-(1+INT(LOG10(ABS(C6)))))</f>
        <v>0.02</v>
      </c>
      <c r="D18" s="32" t="n">
        <f t="shared" si="3"/>
        <v>4.5999999999999999E-2</v>
      </c>
      <c r="E18" s="32" t="n">
        <f t="shared" si="3"/>
        <v>9.4999999999999998E-3</v>
      </c>
      <c r="F18" s="32" t="n">
        <f t="shared" si="3"/>
        <v>9.2999999999999999E-2</v>
      </c>
      <c r="G18" s="32" t="n">
        <f t="shared" si="3"/>
        <v>2.0999999999999999E-3</v>
      </c>
      <c r="H18" s="32" t="n">
        <f t="shared" si="3"/>
        <v>2.3999999999999998E-3</v>
      </c>
      <c r="I18" s="32" t="n">
        <f t="shared" si="3"/>
        <v>6.8999999999999999E-3</v>
      </c>
      <c r="J18" s="133" t="n">
        <f t="shared" si="3"/>
        <v>0.16</v>
      </c>
    </row>
    <row r="19" ht="25.5" customHeight="1">
      <c r="B19" s="132" t="s">
        <v>419</v>
      </c>
      <c r="C19" s="32" t="n">
        <f t="shared" ref="C19:J19" si="4">ROUND(C7,2-(1+INT(LOG10(ABS(C7)))))</f>
        <v>0.3</v>
      </c>
      <c r="D19" s="32" t="n">
        <f t="shared" si="4"/>
        <v>0.3</v>
      </c>
      <c r="E19" s="32" t="n">
        <f t="shared" si="4"/>
        <v>0.39</v>
      </c>
      <c r="F19" s="32" t="n">
        <f t="shared" si="4"/>
        <v>6.0999999999999999E-2</v>
      </c>
      <c r="G19" s="32" t="n">
        <f t="shared" si="4"/>
        <v>0.24</v>
      </c>
      <c r="H19" s="32" t="n">
        <f t="shared" si="4"/>
        <v>0.44</v>
      </c>
      <c r="I19" s="32" t="n">
        <f t="shared" si="4"/>
        <v>0.23</v>
      </c>
      <c r="J19" s="133" t="n">
        <f t="shared" si="4"/>
        <v>6.7000000000000004E-2</v>
      </c>
    </row>
    <row r="20" ht="26.25" customHeight="1">
      <c r="B20" s="134" t="s">
        <v>420</v>
      </c>
      <c r="C20" s="34" t="n">
        <f t="shared" ref="C20:J20" si="5">ROUND(C8,2-(1+INT(LOG10(ABS(C8)))))</f>
        <v>0.05</v>
      </c>
      <c r="D20" s="34" t="n">
        <f t="shared" si="5"/>
        <v>0.43</v>
      </c>
      <c r="E20" s="34" t="n">
        <f t="shared" si="5"/>
        <v>0.13</v>
      </c>
      <c r="F20" s="34" t="n">
        <f t="shared" si="5"/>
        <v>0.79</v>
      </c>
      <c r="G20" s="34" t="n">
        <f t="shared" si="5"/>
        <v>6.0999999999999999E-2</v>
      </c>
      <c r="H20" s="34" t="n">
        <f t="shared" si="5"/>
        <v>0.2</v>
      </c>
      <c r="I20" s="34" t="n">
        <f t="shared" si="5"/>
        <v>0.22</v>
      </c>
      <c r="J20" s="135" t="n">
        <f t="shared" si="5"/>
        <v>0.67</v>
      </c>
    </row>
    <row r="21" ht="15.75" customHeight="1"/>
  </sheetData>
  <mergeCells count="6">
    <mergeCell ref="C12:F12"/>
    <mergeCell ref="G12:J12"/>
    <mergeCell ref="C13:D13"/>
    <mergeCell ref="E13:F13"/>
    <mergeCell ref="G13:H13"/>
    <mergeCell ref="I13:J13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2" max="2" width="9.85546875" hidden="0" customWidth="1"/>
  </cols>
  <sheetData>
    <row r="2">
      <c r="B2" t="str">
        <f>icr_equip_avg_tbl!B2</f>
        <v>well_type</v>
      </c>
      <c r="C2" t="str">
        <f>icr_equip_avg_tbl!C2</f>
        <v>site_prod_lvl</v>
      </c>
      <c r="D2" t="str">
        <f>icr_equip_avg_tbl!D2</f>
        <v>site_bin</v>
      </c>
      <c r="E2" t="str">
        <f>icr_equip_avg_tbl!E2</f>
        <v>equip_bin</v>
      </c>
      <c r="F2" t="str">
        <f>icr_equip_avg_tbl!F2</f>
        <v>sep</v>
      </c>
      <c r="G2" t="str">
        <f>icr_equip_avg_tbl!G2</f>
        <v>compr</v>
      </c>
      <c r="H2" t="str">
        <f>icr_equip_avg_tbl!H2</f>
        <v>deh</v>
      </c>
      <c r="I2" t="str">
        <f>icr_equip_avg_tbl!I2</f>
        <v>tank</v>
      </c>
    </row>
    <row r="3">
      <c r="B3" t="str">
        <f>icr_equip_avg_tbl!B3</f>
        <v>gas</v>
      </c>
      <c r="C3" t="str">
        <f>icr_equip_avg_tbl!C3</f>
        <v>Low Production</v>
      </c>
      <c r="D3" t="str">
        <f>icr_equip_avg_tbl!D3</f>
        <v>Single</v>
      </c>
      <c r="E3" t="str">
        <f>icr_equip_avg_tbl!E3</f>
        <v>1: No equipment, no tanks</v>
      </c>
      <c r="F3" t="n">
        <f>icr_equip_avg_tbl!F3</f>
        <v>0</v>
      </c>
      <c r="G3" t="n">
        <f>icr_equip_avg_tbl!G3</f>
        <v>0</v>
      </c>
      <c r="H3" t="n">
        <f>icr_equip_avg_tbl!H3</f>
        <v>0</v>
      </c>
      <c r="I3" t="n">
        <f>icr_equip_avg_tbl!I3</f>
        <v>0</v>
      </c>
    </row>
    <row r="4">
      <c r="B4" t="str">
        <f>icr_equip_avg_tbl!B4</f>
        <v>gas</v>
      </c>
      <c r="C4" t="str">
        <f>icr_equip_avg_tbl!C4</f>
        <v>Low Production</v>
      </c>
      <c r="D4" t="str">
        <f>icr_equip_avg_tbl!D4</f>
        <v>Single</v>
      </c>
      <c r="E4" t="str">
        <f>icr_equip_avg_tbl!E4</f>
        <v>2: Tanks, no equipment</v>
      </c>
      <c r="F4" t="n">
        <f>icr_equip_avg_tbl!F4</f>
        <v>0</v>
      </c>
      <c r="G4" t="n">
        <f>icr_equip_avg_tbl!G4</f>
        <v>0</v>
      </c>
      <c r="H4" t="n">
        <f>icr_equip_avg_tbl!H4</f>
        <v>0</v>
      </c>
      <c r="I4" t="n">
        <f>icr_equip_avg_tbl!I4</f>
        <v>1.4753717472118999</v>
      </c>
    </row>
    <row r="5">
      <c r="B5" t="str">
        <f>icr_equip_avg_tbl!B5</f>
        <v>gas</v>
      </c>
      <c r="C5" t="str">
        <f>icr_equip_avg_tbl!C5</f>
        <v>Low Production</v>
      </c>
      <c r="D5" t="str">
        <f>icr_equip_avg_tbl!D5</f>
        <v>Single</v>
      </c>
      <c r="E5" t="str">
        <f>icr_equip_avg_tbl!E5</f>
        <v>3: Equipment = 1, no tanks</v>
      </c>
      <c r="F5" t="n">
        <f>icr_equip_avg_tbl!F5</f>
        <v>0.96572313135780596</v>
      </c>
      <c r="G5" t="n">
        <f>icr_equip_avg_tbl!G5</f>
        <v>2.3772666961521499E-2</v>
      </c>
      <c r="H5" t="n">
        <f>icr_equip_avg_tbl!H5</f>
        <v>1.0504201680672299E-2</v>
      </c>
      <c r="I5" t="n">
        <f>icr_equip_avg_tbl!I5</f>
        <v>0</v>
      </c>
    </row>
    <row r="6">
      <c r="B6" t="str">
        <f>icr_equip_avg_tbl!B6</f>
        <v>gas</v>
      </c>
      <c r="C6" t="str">
        <f>icr_equip_avg_tbl!C6</f>
        <v>Low Production</v>
      </c>
      <c r="D6" t="str">
        <f>icr_equip_avg_tbl!D6</f>
        <v>Single</v>
      </c>
      <c r="E6" t="str">
        <f>icr_equip_avg_tbl!E6</f>
        <v>4: Equipment &gt; 1, no tanks</v>
      </c>
      <c r="F6" t="n">
        <f>icr_equip_avg_tbl!F6</f>
        <v>1.19839449541284</v>
      </c>
      <c r="G6" t="n">
        <f>icr_equip_avg_tbl!G6</f>
        <v>0.855504587155963</v>
      </c>
      <c r="H6" t="n">
        <f>icr_equip_avg_tbl!H6</f>
        <v>0.216743119266055</v>
      </c>
      <c r="I6" t="n">
        <f>icr_equip_avg_tbl!I6</f>
        <v>0</v>
      </c>
    </row>
    <row r="7">
      <c r="B7" t="str">
        <f>icr_equip_avg_tbl!B7</f>
        <v>gas</v>
      </c>
      <c r="C7" t="str">
        <f>icr_equip_avg_tbl!C7</f>
        <v>Low Production</v>
      </c>
      <c r="D7" t="str">
        <f>icr_equip_avg_tbl!D7</f>
        <v>Single</v>
      </c>
      <c r="E7" t="str">
        <f>icr_equip_avg_tbl!E7</f>
        <v>5: Equipment = 1 and tanks</v>
      </c>
      <c r="F7" t="n">
        <f>icr_equip_avg_tbl!F7</f>
        <v>0.98643858838033605</v>
      </c>
      <c r="G7" t="n">
        <f>icr_equip_avg_tbl!G7</f>
        <v>6.7036523347203001E-3</v>
      </c>
      <c r="H7" t="n">
        <f>icr_equip_avg_tbl!H7</f>
        <v>6.8577592849437497E-3</v>
      </c>
      <c r="I7" t="n">
        <f>icr_equip_avg_tbl!I7</f>
        <v>1.50285097857913</v>
      </c>
    </row>
    <row r="8">
      <c r="B8" t="str">
        <f>icr_equip_avg_tbl!B8</f>
        <v>gas</v>
      </c>
      <c r="C8" t="str">
        <f>icr_equip_avg_tbl!C8</f>
        <v>Low Production</v>
      </c>
      <c r="D8" t="str">
        <f>icr_equip_avg_tbl!D8</f>
        <v>Single</v>
      </c>
      <c r="E8" t="str">
        <f>icr_equip_avg_tbl!E8</f>
        <v>6: Equipment &gt; 1 and tanks</v>
      </c>
      <c r="F8" t="n">
        <f>icr_equip_avg_tbl!F8</f>
        <v>1.8699110903135201</v>
      </c>
      <c r="G8" t="n">
        <f>icr_equip_avg_tbl!G8</f>
        <v>0.38043986897519899</v>
      </c>
      <c r="H8" t="n">
        <f>icr_equip_avg_tbl!H8</f>
        <v>0.13102480112306999</v>
      </c>
      <c r="I8" t="n">
        <f>icr_equip_avg_tbl!I8</f>
        <v>2.0313523631258801</v>
      </c>
    </row>
    <row r="9">
      <c r="B9" t="str">
        <f>icr_equip_avg_tbl!B9</f>
        <v>gas</v>
      </c>
      <c r="C9" t="str">
        <f>icr_equip_avg_tbl!C9</f>
        <v>Low Production</v>
      </c>
      <c r="D9" t="str">
        <f>icr_equip_avg_tbl!D9</f>
        <v>Multi</v>
      </c>
      <c r="E9" t="str">
        <f>icr_equip_avg_tbl!E9</f>
        <v>1: No equipment, no tanks</v>
      </c>
      <c r="F9" t="n">
        <f>icr_equip_avg_tbl!F9</f>
        <v>0</v>
      </c>
      <c r="G9" t="n">
        <f>icr_equip_avg_tbl!G9</f>
        <v>0</v>
      </c>
      <c r="H9" t="n">
        <f>icr_equip_avg_tbl!H9</f>
        <v>0</v>
      </c>
      <c r="I9" t="n">
        <f>icr_equip_avg_tbl!I9</f>
        <v>0</v>
      </c>
    </row>
    <row r="10">
      <c r="B10" t="str">
        <f>icr_equip_avg_tbl!B10</f>
        <v>gas</v>
      </c>
      <c r="C10" t="str">
        <f>icr_equip_avg_tbl!C10</f>
        <v>Low Production</v>
      </c>
      <c r="D10" t="str">
        <f>icr_equip_avg_tbl!D10</f>
        <v>Multi</v>
      </c>
      <c r="E10" t="str">
        <f>icr_equip_avg_tbl!E10</f>
        <v>2: Tanks, no equipment</v>
      </c>
      <c r="F10" t="n">
        <f>icr_equip_avg_tbl!F10</f>
        <v>0</v>
      </c>
      <c r="G10" t="n">
        <f>icr_equip_avg_tbl!G10</f>
        <v>0</v>
      </c>
      <c r="H10" t="n">
        <f>icr_equip_avg_tbl!H10</f>
        <v>0</v>
      </c>
      <c r="I10" t="n">
        <f>icr_equip_avg_tbl!I10</f>
        <v>0.66518565203859303</v>
      </c>
    </row>
    <row r="11">
      <c r="B11" t="str">
        <f>icr_equip_avg_tbl!B11</f>
        <v>gas</v>
      </c>
      <c r="C11" t="str">
        <f>icr_equip_avg_tbl!C11</f>
        <v>Low Production</v>
      </c>
      <c r="D11" t="str">
        <f>icr_equip_avg_tbl!D11</f>
        <v>Multi</v>
      </c>
      <c r="E11" t="str">
        <f>icr_equip_avg_tbl!E11</f>
        <v>3: Equipment = 1, no tanks</v>
      </c>
      <c r="F11" t="n">
        <f>icr_equip_avg_tbl!F11</f>
        <v>0.28717948717948699</v>
      </c>
      <c r="G11" t="n">
        <f>icr_equip_avg_tbl!G11</f>
        <v>9.6153846153846194E-3</v>
      </c>
      <c r="H11" t="n">
        <f>icr_equip_avg_tbl!H11</f>
        <v>0</v>
      </c>
      <c r="I11" t="n">
        <f>icr_equip_avg_tbl!I11</f>
        <v>0</v>
      </c>
    </row>
    <row r="12">
      <c r="B12" t="str">
        <f>icr_equip_avg_tbl!B12</f>
        <v>gas</v>
      </c>
      <c r="C12" t="str">
        <f>icr_equip_avg_tbl!C12</f>
        <v>Low Production</v>
      </c>
      <c r="D12" t="str">
        <f>icr_equip_avg_tbl!D12</f>
        <v>Multi</v>
      </c>
      <c r="E12" t="str">
        <f>icr_equip_avg_tbl!E12</f>
        <v>4: Equipment &gt; 1, no tanks</v>
      </c>
      <c r="F12" t="n">
        <f>icr_equip_avg_tbl!F12</f>
        <v>0.85435435435435403</v>
      </c>
      <c r="G12" t="n">
        <f>icr_equip_avg_tbl!G12</f>
        <v>0.31531531531531498</v>
      </c>
      <c r="H12" t="n">
        <f>icr_equip_avg_tbl!H12</f>
        <v>9.0090090090090107E-3</v>
      </c>
      <c r="I12" t="n">
        <f>icr_equip_avg_tbl!I12</f>
        <v>0</v>
      </c>
    </row>
    <row r="13">
      <c r="B13" t="str">
        <f>icr_equip_avg_tbl!B13</f>
        <v>gas</v>
      </c>
      <c r="C13" t="str">
        <f>icr_equip_avg_tbl!C13</f>
        <v>Low Production</v>
      </c>
      <c r="D13" t="str">
        <f>icr_equip_avg_tbl!D13</f>
        <v>Multi</v>
      </c>
      <c r="E13" t="str">
        <f>icr_equip_avg_tbl!E13</f>
        <v>5: Equipment = 1 and tanks</v>
      </c>
      <c r="F13" t="n">
        <f>icr_equip_avg_tbl!F13</f>
        <v>0.34163544961518</v>
      </c>
      <c r="G13" t="n">
        <f>icr_equip_avg_tbl!G13</f>
        <v>4.7095761381475698E-3</v>
      </c>
      <c r="H13" t="n">
        <f>icr_equip_avg_tbl!H13</f>
        <v>6.2794348508634201E-3</v>
      </c>
      <c r="I13" t="n">
        <f>icr_equip_avg_tbl!I13</f>
        <v>0.63880386051292903</v>
      </c>
    </row>
    <row r="14">
      <c r="B14" t="str">
        <f>icr_equip_avg_tbl!B14</f>
        <v>gas</v>
      </c>
      <c r="C14" t="str">
        <f>icr_equip_avg_tbl!C14</f>
        <v>Low Production</v>
      </c>
      <c r="D14" t="str">
        <f>icr_equip_avg_tbl!D14</f>
        <v>Multi</v>
      </c>
      <c r="E14" t="str">
        <f>icr_equip_avg_tbl!E14</f>
        <v>6: Equipment &gt; 1 and tanks</v>
      </c>
      <c r="F14" t="n">
        <f>icr_equip_avg_tbl!F14</f>
        <v>0.91128831581189595</v>
      </c>
      <c r="G14" t="n">
        <f>icr_equip_avg_tbl!G14</f>
        <v>0.15364934893398799</v>
      </c>
      <c r="H14" t="n">
        <f>icr_equip_avg_tbl!H14</f>
        <v>5.1689460981496398E-2</v>
      </c>
      <c r="I14" t="n">
        <f>icr_equip_avg_tbl!I14</f>
        <v>0.86429886424656299</v>
      </c>
    </row>
    <row r="15">
      <c r="B15" t="str">
        <f>icr_equip_avg_tbl!B15</f>
        <v>gas</v>
      </c>
      <c r="C15" t="str">
        <f>icr_equip_avg_tbl!C15</f>
        <v>Non-low Production</v>
      </c>
      <c r="D15" t="str">
        <f>icr_equip_avg_tbl!D15</f>
        <v>Single</v>
      </c>
      <c r="E15" t="str">
        <f>icr_equip_avg_tbl!E15</f>
        <v>1: No equipment, no tanks</v>
      </c>
      <c r="F15" t="n">
        <f>icr_equip_avg_tbl!F15</f>
        <v>0</v>
      </c>
      <c r="G15" t="n">
        <f>icr_equip_avg_tbl!G15</f>
        <v>0</v>
      </c>
      <c r="H15" t="n">
        <f>icr_equip_avg_tbl!H15</f>
        <v>0</v>
      </c>
      <c r="I15" t="n">
        <f>icr_equip_avg_tbl!I15</f>
        <v>0</v>
      </c>
    </row>
    <row r="16">
      <c r="B16" t="str">
        <f>icr_equip_avg_tbl!B16</f>
        <v>gas</v>
      </c>
      <c r="C16" t="str">
        <f>icr_equip_avg_tbl!C16</f>
        <v>Non-low Production</v>
      </c>
      <c r="D16" t="str">
        <f>icr_equip_avg_tbl!D16</f>
        <v>Single</v>
      </c>
      <c r="E16" t="str">
        <f>icr_equip_avg_tbl!E16</f>
        <v>2: Tanks, no equipment</v>
      </c>
      <c r="F16" t="n">
        <f>icr_equip_avg_tbl!F16</f>
        <v>0</v>
      </c>
      <c r="G16" t="n">
        <f>icr_equip_avg_tbl!G16</f>
        <v>0</v>
      </c>
      <c r="H16" t="n">
        <f>icr_equip_avg_tbl!H16</f>
        <v>0</v>
      </c>
      <c r="I16" t="n">
        <f>icr_equip_avg_tbl!I16</f>
        <v>2.2244318181818201</v>
      </c>
    </row>
    <row r="17">
      <c r="B17" t="str">
        <f>icr_equip_avg_tbl!B17</f>
        <v>gas</v>
      </c>
      <c r="C17" t="str">
        <f>icr_equip_avg_tbl!C17</f>
        <v>Non-low Production</v>
      </c>
      <c r="D17" t="str">
        <f>icr_equip_avg_tbl!D17</f>
        <v>Single</v>
      </c>
      <c r="E17" t="str">
        <f>icr_equip_avg_tbl!E17</f>
        <v>3: Equipment = 1, no tanks</v>
      </c>
      <c r="F17" t="n">
        <f>icr_equip_avg_tbl!F17</f>
        <v>0.93637145313843495</v>
      </c>
      <c r="G17" t="n">
        <f>icr_equip_avg_tbl!G17</f>
        <v>3.95528804815133E-2</v>
      </c>
      <c r="H17" t="n">
        <f>icr_equip_avg_tbl!H17</f>
        <v>2.40756663800516E-2</v>
      </c>
      <c r="I17" t="n">
        <f>icr_equip_avg_tbl!I17</f>
        <v>0</v>
      </c>
    </row>
    <row r="18">
      <c r="B18" t="str">
        <f>icr_equip_avg_tbl!B18</f>
        <v>gas</v>
      </c>
      <c r="C18" t="str">
        <f>icr_equip_avg_tbl!C18</f>
        <v>Non-low Production</v>
      </c>
      <c r="D18" t="str">
        <f>icr_equip_avg_tbl!D18</f>
        <v>Single</v>
      </c>
      <c r="E18" t="str">
        <f>icr_equip_avg_tbl!E18</f>
        <v>4: Equipment &gt; 1, no tanks</v>
      </c>
      <c r="F18" t="n">
        <f>icr_equip_avg_tbl!F18</f>
        <v>1.73684210526316</v>
      </c>
      <c r="G18" t="n">
        <f>icr_equip_avg_tbl!G18</f>
        <v>0.50526315789473697</v>
      </c>
      <c r="H18" t="n">
        <f>icr_equip_avg_tbl!H18</f>
        <v>0.168421052631579</v>
      </c>
      <c r="I18" t="n">
        <f>icr_equip_avg_tbl!I18</f>
        <v>0</v>
      </c>
    </row>
    <row r="19">
      <c r="B19" t="str">
        <f>icr_equip_avg_tbl!B19</f>
        <v>gas</v>
      </c>
      <c r="C19" t="str">
        <f>icr_equip_avg_tbl!C19</f>
        <v>Non-low Production</v>
      </c>
      <c r="D19" t="str">
        <f>icr_equip_avg_tbl!D19</f>
        <v>Single</v>
      </c>
      <c r="E19" t="str">
        <f>icr_equip_avg_tbl!E19</f>
        <v>5: Equipment = 1 and tanks</v>
      </c>
      <c r="F19" t="n">
        <f>icr_equip_avg_tbl!F19</f>
        <v>0.951977401129944</v>
      </c>
      <c r="G19" t="n">
        <f>icr_equip_avg_tbl!G19</f>
        <v>1.1813045711350801E-2</v>
      </c>
      <c r="H19" t="n">
        <f>icr_equip_avg_tbl!H19</f>
        <v>3.62095531587057E-2</v>
      </c>
      <c r="I19" t="n">
        <f>icr_equip_avg_tbl!I19</f>
        <v>1.65767847971238</v>
      </c>
    </row>
    <row r="20">
      <c r="B20" t="str">
        <f>icr_equip_avg_tbl!B20</f>
        <v>gas</v>
      </c>
      <c r="C20" t="str">
        <f>icr_equip_avg_tbl!C20</f>
        <v>Non-low Production</v>
      </c>
      <c r="D20" t="str">
        <f>icr_equip_avg_tbl!D20</f>
        <v>Single</v>
      </c>
      <c r="E20" t="str">
        <f>icr_equip_avg_tbl!E20</f>
        <v>6: Equipment &gt; 1 and tanks</v>
      </c>
      <c r="F20" t="n">
        <f>icr_equip_avg_tbl!F20</f>
        <v>1.81838733986436</v>
      </c>
      <c r="G20" t="n">
        <f>icr_equip_avg_tbl!G20</f>
        <v>0.504898266767144</v>
      </c>
      <c r="H20" t="n">
        <f>icr_equip_avg_tbl!H20</f>
        <v>0.18613413715146901</v>
      </c>
      <c r="I20" t="n">
        <f>icr_equip_avg_tbl!I20</f>
        <v>2.23360964581763</v>
      </c>
    </row>
    <row r="21">
      <c r="B21" t="str">
        <f>icr_equip_avg_tbl!B21</f>
        <v>gas</v>
      </c>
      <c r="C21" t="str">
        <f>icr_equip_avg_tbl!C21</f>
        <v>Non-low Production</v>
      </c>
      <c r="D21" t="str">
        <f>icr_equip_avg_tbl!D21</f>
        <v>Multi</v>
      </c>
      <c r="E21" t="str">
        <f>icr_equip_avg_tbl!E21</f>
        <v>1: No equipment, no tanks</v>
      </c>
      <c r="F21" t="n">
        <f>icr_equip_avg_tbl!F21</f>
        <v>0</v>
      </c>
      <c r="G21" t="n">
        <f>icr_equip_avg_tbl!G21</f>
        <v>0</v>
      </c>
      <c r="H21" t="n">
        <f>icr_equip_avg_tbl!H21</f>
        <v>0</v>
      </c>
      <c r="I21" t="n">
        <f>icr_equip_avg_tbl!I21</f>
        <v>0</v>
      </c>
    </row>
    <row r="22">
      <c r="B22" t="str">
        <f>icr_equip_avg_tbl!B22</f>
        <v>gas</v>
      </c>
      <c r="C22" t="str">
        <f>icr_equip_avg_tbl!C22</f>
        <v>Non-low Production</v>
      </c>
      <c r="D22" t="str">
        <f>icr_equip_avg_tbl!D22</f>
        <v>Multi</v>
      </c>
      <c r="E22" t="str">
        <f>icr_equip_avg_tbl!E22</f>
        <v>2: Tanks, no equipment</v>
      </c>
      <c r="F22" t="n">
        <f>icr_equip_avg_tbl!F22</f>
        <v>0</v>
      </c>
      <c r="G22" t="n">
        <f>icr_equip_avg_tbl!G22</f>
        <v>0</v>
      </c>
      <c r="H22" t="n">
        <f>icr_equip_avg_tbl!H22</f>
        <v>0</v>
      </c>
      <c r="I22" t="n">
        <f>icr_equip_avg_tbl!I22</f>
        <v>2.6960555555555601</v>
      </c>
    </row>
    <row r="23">
      <c r="B23" t="str">
        <f>icr_equip_avg_tbl!B23</f>
        <v>gas</v>
      </c>
      <c r="C23" t="str">
        <f>icr_equip_avg_tbl!C23</f>
        <v>Non-low Production</v>
      </c>
      <c r="D23" t="str">
        <f>icr_equip_avg_tbl!D23</f>
        <v>Multi</v>
      </c>
      <c r="E23" t="str">
        <f>icr_equip_avg_tbl!E23</f>
        <v>3: Equipment = 1, no tanks</v>
      </c>
      <c r="F23" t="n">
        <f>icr_equip_avg_tbl!F23</f>
        <v>0.25849673202614398</v>
      </c>
      <c r="G23" t="n">
        <f>icr_equip_avg_tbl!G23</f>
        <v>1.5686274509803901E-2</v>
      </c>
      <c r="H23" t="n">
        <f>icr_equip_avg_tbl!H23</f>
        <v>0</v>
      </c>
      <c r="I23" t="n">
        <f>icr_equip_avg_tbl!I23</f>
        <v>0</v>
      </c>
    </row>
    <row r="24">
      <c r="B24" t="str">
        <f>icr_equip_avg_tbl!B24</f>
        <v>gas</v>
      </c>
      <c r="C24" t="str">
        <f>icr_equip_avg_tbl!C24</f>
        <v>Non-low Production</v>
      </c>
      <c r="D24" t="str">
        <f>icr_equip_avg_tbl!D24</f>
        <v>Multi</v>
      </c>
      <c r="E24" t="str">
        <f>icr_equip_avg_tbl!E24</f>
        <v>4: Equipment &gt; 1, no tanks</v>
      </c>
      <c r="F24" t="n">
        <f>icr_equip_avg_tbl!F24</f>
        <v>1.0275879917184301</v>
      </c>
      <c r="G24" t="n">
        <f>icr_equip_avg_tbl!G24</f>
        <v>3.6180124223602499E-2</v>
      </c>
      <c r="H24" t="n">
        <f>icr_equip_avg_tbl!H24</f>
        <v>2.6035196687370601E-2</v>
      </c>
      <c r="I24" t="n">
        <f>icr_equip_avg_tbl!I24</f>
        <v>0</v>
      </c>
    </row>
    <row r="25">
      <c r="B25" t="str">
        <f>icr_equip_avg_tbl!B25</f>
        <v>gas</v>
      </c>
      <c r="C25" t="str">
        <f>icr_equip_avg_tbl!C25</f>
        <v>Non-low Production</v>
      </c>
      <c r="D25" t="str">
        <f>icr_equip_avg_tbl!D25</f>
        <v>Multi</v>
      </c>
      <c r="E25" t="str">
        <f>icr_equip_avg_tbl!E25</f>
        <v>5: Equipment = 1 and tanks</v>
      </c>
      <c r="F25" t="n">
        <f>icr_equip_avg_tbl!F25</f>
        <v>0.32044204621669398</v>
      </c>
      <c r="G25" t="n">
        <f>icr_equip_avg_tbl!G25</f>
        <v>1.5868544600938998E-2</v>
      </c>
      <c r="H25" t="n">
        <f>icr_equip_avg_tbl!H25</f>
        <v>0</v>
      </c>
      <c r="I25" t="n">
        <f>icr_equip_avg_tbl!I25</f>
        <v>0.90925996382334395</v>
      </c>
    </row>
    <row r="26">
      <c r="B26" t="str">
        <f>icr_equip_avg_tbl!B26</f>
        <v>gas</v>
      </c>
      <c r="C26" t="str">
        <f>icr_equip_avg_tbl!C26</f>
        <v>Non-low Production</v>
      </c>
      <c r="D26" t="str">
        <f>icr_equip_avg_tbl!D26</f>
        <v>Multi</v>
      </c>
      <c r="E26" t="str">
        <f>icr_equip_avg_tbl!E26</f>
        <v>6: Equipment &gt; 1 and tanks</v>
      </c>
      <c r="F26" t="n">
        <f>icr_equip_avg_tbl!F26</f>
        <v>1.00216683432649</v>
      </c>
      <c r="G26" t="n">
        <f>icr_equip_avg_tbl!G26</f>
        <v>7.9519619479047302E-2</v>
      </c>
      <c r="H26" t="n">
        <f>icr_equip_avg_tbl!H26</f>
        <v>2.3687062181722101E-2</v>
      </c>
      <c r="I26" t="n">
        <f>icr_equip_avg_tbl!I26</f>
        <v>0.91922847648141903</v>
      </c>
    </row>
    <row r="27">
      <c r="B27" t="str">
        <f>icr_equip_avg_tbl!B27</f>
        <v>oil</v>
      </c>
      <c r="C27" t="str">
        <f>icr_equip_avg_tbl!C27</f>
        <v>Low Production</v>
      </c>
      <c r="D27" t="str">
        <f>icr_equip_avg_tbl!D27</f>
        <v>Single</v>
      </c>
      <c r="E27" t="str">
        <f>icr_equip_avg_tbl!E27</f>
        <v>1: No equipment, no tanks</v>
      </c>
      <c r="F27" t="n">
        <f>icr_equip_avg_tbl!F27</f>
        <v>0</v>
      </c>
      <c r="G27" t="n">
        <f>icr_equip_avg_tbl!G27</f>
        <v>0</v>
      </c>
      <c r="H27" t="n">
        <f>icr_equip_avg_tbl!H27</f>
        <v>0</v>
      </c>
      <c r="I27" t="n">
        <f>icr_equip_avg_tbl!I27</f>
        <v>0</v>
      </c>
    </row>
    <row r="28">
      <c r="B28" t="str">
        <f>icr_equip_avg_tbl!B28</f>
        <v>oil</v>
      </c>
      <c r="C28" t="str">
        <f>icr_equip_avg_tbl!C28</f>
        <v>Low Production</v>
      </c>
      <c r="D28" t="str">
        <f>icr_equip_avg_tbl!D28</f>
        <v>Single</v>
      </c>
      <c r="E28" t="str">
        <f>icr_equip_avg_tbl!E28</f>
        <v>2: Tanks, no equipment</v>
      </c>
      <c r="F28" t="n">
        <f>icr_equip_avg_tbl!F28</f>
        <v>0</v>
      </c>
      <c r="G28" t="n">
        <f>icr_equip_avg_tbl!G28</f>
        <v>0</v>
      </c>
      <c r="H28" t="n">
        <f>icr_equip_avg_tbl!H28</f>
        <v>0</v>
      </c>
      <c r="I28" t="n">
        <f>icr_equip_avg_tbl!I28</f>
        <v>2.1741379310344802</v>
      </c>
    </row>
    <row r="29">
      <c r="B29" t="str">
        <f>icr_equip_avg_tbl!B29</f>
        <v>oil</v>
      </c>
      <c r="C29" t="str">
        <f>icr_equip_avg_tbl!C29</f>
        <v>Low Production</v>
      </c>
      <c r="D29" t="str">
        <f>icr_equip_avg_tbl!D29</f>
        <v>Single</v>
      </c>
      <c r="E29" t="str">
        <f>icr_equip_avg_tbl!E29</f>
        <v>3: Equipment = 1, no tanks</v>
      </c>
      <c r="F29" t="n">
        <f>icr_equip_avg_tbl!F29</f>
        <v>0.83875530410183896</v>
      </c>
      <c r="G29" t="n">
        <f>icr_equip_avg_tbl!G29</f>
        <v>0.14992927864215</v>
      </c>
      <c r="H29" t="n">
        <f>icr_equip_avg_tbl!H29</f>
        <v>1.13154172560113E-2</v>
      </c>
      <c r="I29" t="n">
        <f>icr_equip_avg_tbl!I29</f>
        <v>0</v>
      </c>
    </row>
    <row r="30">
      <c r="B30" t="str">
        <f>icr_equip_avg_tbl!B30</f>
        <v>oil</v>
      </c>
      <c r="C30" t="str">
        <f>icr_equip_avg_tbl!C30</f>
        <v>Low Production</v>
      </c>
      <c r="D30" t="str">
        <f>icr_equip_avg_tbl!D30</f>
        <v>Single</v>
      </c>
      <c r="E30" t="str">
        <f>icr_equip_avg_tbl!E30</f>
        <v>4: Equipment &gt; 1, no tanks</v>
      </c>
      <c r="F30" t="n">
        <f>icr_equip_avg_tbl!F30</f>
        <v>1.2692307692307701</v>
      </c>
      <c r="G30" t="n">
        <f>icr_equip_avg_tbl!G30</f>
        <v>0.85897435897435903</v>
      </c>
      <c r="H30" t="n">
        <f>icr_equip_avg_tbl!H30</f>
        <v>0.128205128205128</v>
      </c>
      <c r="I30" t="n">
        <f>icr_equip_avg_tbl!I30</f>
        <v>0</v>
      </c>
    </row>
    <row r="31">
      <c r="B31" t="str">
        <f>icr_equip_avg_tbl!B31</f>
        <v>oil</v>
      </c>
      <c r="C31" t="str">
        <f>icr_equip_avg_tbl!C31</f>
        <v>Low Production</v>
      </c>
      <c r="D31" t="str">
        <f>icr_equip_avg_tbl!D31</f>
        <v>Single</v>
      </c>
      <c r="E31" t="str">
        <f>icr_equip_avg_tbl!E31</f>
        <v>5: Equipment = 1 and tanks</v>
      </c>
      <c r="F31" t="n">
        <f>icr_equip_avg_tbl!F31</f>
        <v>0.97883008356545997</v>
      </c>
      <c r="G31" t="n">
        <f>icr_equip_avg_tbl!G31</f>
        <v>1.8050139275766E-2</v>
      </c>
      <c r="H31" t="n">
        <f>icr_equip_avg_tbl!H31</f>
        <v>3.1197771587743702E-3</v>
      </c>
      <c r="I31" t="n">
        <f>icr_equip_avg_tbl!I31</f>
        <v>2.1585515320334299</v>
      </c>
    </row>
    <row r="32">
      <c r="B32" t="str">
        <f>icr_equip_avg_tbl!B32</f>
        <v>oil</v>
      </c>
      <c r="C32" t="str">
        <f>icr_equip_avg_tbl!C32</f>
        <v>Low Production</v>
      </c>
      <c r="D32" t="str">
        <f>icr_equip_avg_tbl!D32</f>
        <v>Single</v>
      </c>
      <c r="E32" t="str">
        <f>icr_equip_avg_tbl!E32</f>
        <v>6: Equipment &gt; 1 and tanks</v>
      </c>
      <c r="F32" t="n">
        <f>icr_equip_avg_tbl!F32</f>
        <v>1.9408099688473499</v>
      </c>
      <c r="G32" t="n">
        <f>icr_equip_avg_tbl!G32</f>
        <v>0.34668446817979498</v>
      </c>
      <c r="H32" t="n">
        <f>icr_equip_avg_tbl!H32</f>
        <v>4.5393858477970603E-2</v>
      </c>
      <c r="I32" t="n">
        <f>icr_equip_avg_tbl!I32</f>
        <v>3.7659101023587001</v>
      </c>
    </row>
    <row r="33">
      <c r="B33" t="str">
        <f>icr_equip_avg_tbl!B33</f>
        <v>oil</v>
      </c>
      <c r="C33" t="str">
        <f>icr_equip_avg_tbl!C33</f>
        <v>Low Production</v>
      </c>
      <c r="D33" t="str">
        <f>icr_equip_avg_tbl!D33</f>
        <v>Multi</v>
      </c>
      <c r="E33" t="str">
        <f>icr_equip_avg_tbl!E33</f>
        <v>1: No equipment, no tanks</v>
      </c>
      <c r="F33" t="n">
        <f>icr_equip_avg_tbl!F33</f>
        <v>0</v>
      </c>
      <c r="G33" t="n">
        <f>icr_equip_avg_tbl!G33</f>
        <v>0</v>
      </c>
      <c r="H33" t="n">
        <f>icr_equip_avg_tbl!H33</f>
        <v>0</v>
      </c>
      <c r="I33" t="n">
        <f>icr_equip_avg_tbl!I33</f>
        <v>0</v>
      </c>
    </row>
    <row r="34">
      <c r="B34" t="str">
        <f>icr_equip_avg_tbl!B34</f>
        <v>oil</v>
      </c>
      <c r="C34" t="str">
        <f>icr_equip_avg_tbl!C34</f>
        <v>Low Production</v>
      </c>
      <c r="D34" t="str">
        <f>icr_equip_avg_tbl!D34</f>
        <v>Multi</v>
      </c>
      <c r="E34" t="str">
        <f>icr_equip_avg_tbl!E34</f>
        <v>2: Tanks, no equipment</v>
      </c>
      <c r="F34" t="n">
        <f>icr_equip_avg_tbl!F34</f>
        <v>0</v>
      </c>
      <c r="G34" t="n">
        <f>icr_equip_avg_tbl!G34</f>
        <v>0</v>
      </c>
      <c r="H34" t="n">
        <f>icr_equip_avg_tbl!H34</f>
        <v>0</v>
      </c>
      <c r="I34" t="n">
        <f>icr_equip_avg_tbl!I34</f>
        <v>0.61139180552477801</v>
      </c>
    </row>
    <row r="35">
      <c r="B35" t="str">
        <f>icr_equip_avg_tbl!B35</f>
        <v>oil</v>
      </c>
      <c r="C35" t="str">
        <f>icr_equip_avg_tbl!C35</f>
        <v>Low Production</v>
      </c>
      <c r="D35" t="str">
        <f>icr_equip_avg_tbl!D35</f>
        <v>Multi</v>
      </c>
      <c r="E35" t="str">
        <f>icr_equip_avg_tbl!E35</f>
        <v>3: Equipment = 1, no tanks</v>
      </c>
      <c r="F35" t="n">
        <f>icr_equip_avg_tbl!F35</f>
        <v>0.20959232613908901</v>
      </c>
      <c r="G35" t="n">
        <f>icr_equip_avg_tbl!G35</f>
        <v>2.8776978417266199E-2</v>
      </c>
      <c r="H35" t="n">
        <f>icr_equip_avg_tbl!H35</f>
        <v>0</v>
      </c>
      <c r="I35" t="n">
        <f>icr_equip_avg_tbl!I35</f>
        <v>0</v>
      </c>
    </row>
    <row r="36">
      <c r="B36" t="str">
        <f>icr_equip_avg_tbl!B36</f>
        <v>oil</v>
      </c>
      <c r="C36" t="str">
        <f>icr_equip_avg_tbl!C36</f>
        <v>Low Production</v>
      </c>
      <c r="D36" t="str">
        <f>icr_equip_avg_tbl!D36</f>
        <v>Multi</v>
      </c>
      <c r="E36" t="str">
        <f>icr_equip_avg_tbl!E36</f>
        <v>4: Equipment &gt; 1, no tanks</v>
      </c>
      <c r="F36" t="n">
        <f>icr_equip_avg_tbl!F36</f>
        <v>0.57716049382716095</v>
      </c>
      <c r="G36" t="n">
        <f>icr_equip_avg_tbl!G36</f>
        <v>7.4074074074074098E-2</v>
      </c>
      <c r="H36" t="n">
        <f>icr_equip_avg_tbl!H36</f>
        <v>7.4074074074074098E-2</v>
      </c>
      <c r="I36" t="n">
        <f>icr_equip_avg_tbl!I36</f>
        <v>0</v>
      </c>
    </row>
    <row r="37">
      <c r="B37" t="str">
        <f>icr_equip_avg_tbl!B37</f>
        <v>oil</v>
      </c>
      <c r="C37" t="str">
        <f>icr_equip_avg_tbl!C37</f>
        <v>Low Production</v>
      </c>
      <c r="D37" t="str">
        <f>icr_equip_avg_tbl!D37</f>
        <v>Multi</v>
      </c>
      <c r="E37" t="str">
        <f>icr_equip_avg_tbl!E37</f>
        <v>5: Equipment = 1 and tanks</v>
      </c>
      <c r="F37" t="n">
        <f>icr_equip_avg_tbl!F37</f>
        <v>0.21018108561031201</v>
      </c>
      <c r="G37" t="n">
        <f>icr_equip_avg_tbl!G37</f>
        <v>2.0230970243614601E-3</v>
      </c>
      <c r="H37" t="n">
        <f>icr_equip_avg_tbl!H37</f>
        <v>1.6859141869678799E-4</v>
      </c>
      <c r="I37" t="n">
        <f>icr_equip_avg_tbl!I37</f>
        <v>0.48428575746887498</v>
      </c>
    </row>
    <row r="38">
      <c r="B38" t="str">
        <f>icr_equip_avg_tbl!B38</f>
        <v>oil</v>
      </c>
      <c r="C38" t="str">
        <f>icr_equip_avg_tbl!C38</f>
        <v>Low Production</v>
      </c>
      <c r="D38" t="str">
        <f>icr_equip_avg_tbl!D38</f>
        <v>Multi</v>
      </c>
      <c r="E38" t="str">
        <f>icr_equip_avg_tbl!E38</f>
        <v>6: Equipment &gt; 1 and tanks</v>
      </c>
      <c r="F38" t="n">
        <f>icr_equip_avg_tbl!F38</f>
        <v>0.50090488210914696</v>
      </c>
      <c r="G38" t="n">
        <f>icr_equip_avg_tbl!G38</f>
        <v>4.7374723023537797E-2</v>
      </c>
      <c r="H38" t="n">
        <f>icr_equip_avg_tbl!H38</f>
        <v>5.76470588235294E-3</v>
      </c>
      <c r="I38" t="n">
        <f>icr_equip_avg_tbl!I38</f>
        <v>0.69673357046925799</v>
      </c>
    </row>
    <row r="39">
      <c r="B39" t="str">
        <f>icr_equip_avg_tbl!B39</f>
        <v>oil</v>
      </c>
      <c r="C39" t="str">
        <f>icr_equip_avg_tbl!C39</f>
        <v>Non-low Production</v>
      </c>
      <c r="D39" t="str">
        <f>icr_equip_avg_tbl!D39</f>
        <v>Single</v>
      </c>
      <c r="E39" t="str">
        <f>icr_equip_avg_tbl!E39</f>
        <v>1: No equipment, no tanks</v>
      </c>
      <c r="F39" t="n">
        <f>icr_equip_avg_tbl!F39</f>
        <v>0</v>
      </c>
      <c r="G39" t="n">
        <f>icr_equip_avg_tbl!G39</f>
        <v>0</v>
      </c>
      <c r="H39" t="n">
        <f>icr_equip_avg_tbl!H39</f>
        <v>0</v>
      </c>
      <c r="I39" t="n">
        <f>icr_equip_avg_tbl!I39</f>
        <v>0</v>
      </c>
    </row>
    <row r="40">
      <c r="B40" t="str">
        <f>icr_equip_avg_tbl!B40</f>
        <v>oil</v>
      </c>
      <c r="C40" t="str">
        <f>icr_equip_avg_tbl!C40</f>
        <v>Non-low Production</v>
      </c>
      <c r="D40" t="str">
        <f>icr_equip_avg_tbl!D40</f>
        <v>Single</v>
      </c>
      <c r="E40" t="str">
        <f>icr_equip_avg_tbl!E40</f>
        <v>2: Tanks, no equipment</v>
      </c>
      <c r="F40" t="n">
        <f>icr_equip_avg_tbl!F40</f>
        <v>0</v>
      </c>
      <c r="G40" t="n">
        <f>icr_equip_avg_tbl!G40</f>
        <v>0</v>
      </c>
      <c r="H40" t="n">
        <f>icr_equip_avg_tbl!H40</f>
        <v>0</v>
      </c>
      <c r="I40" t="n">
        <f>icr_equip_avg_tbl!I40</f>
        <v>3.2267441860465098</v>
      </c>
    </row>
    <row r="41">
      <c r="B41" t="str">
        <f>icr_equip_avg_tbl!B41</f>
        <v>oil</v>
      </c>
      <c r="C41" t="str">
        <f>icr_equip_avg_tbl!C41</f>
        <v>Non-low Production</v>
      </c>
      <c r="D41" t="str">
        <f>icr_equip_avg_tbl!D41</f>
        <v>Single</v>
      </c>
      <c r="E41" t="str">
        <f>icr_equip_avg_tbl!E41</f>
        <v>3: Equipment = 1, no tanks</v>
      </c>
      <c r="F41" t="n">
        <f>icr_equip_avg_tbl!F41</f>
        <v>0.98955916473317895</v>
      </c>
      <c r="G41" t="n">
        <f>icr_equip_avg_tbl!G41</f>
        <v>1.04408352668213E-2</v>
      </c>
      <c r="H41" t="n">
        <f>icr_equip_avg_tbl!H41</f>
        <v>0</v>
      </c>
      <c r="I41" t="n">
        <f>icr_equip_avg_tbl!I41</f>
        <v>0</v>
      </c>
    </row>
    <row r="42">
      <c r="B42" t="str">
        <f>icr_equip_avg_tbl!B42</f>
        <v>oil</v>
      </c>
      <c r="C42" t="str">
        <f>icr_equip_avg_tbl!C42</f>
        <v>Non-low Production</v>
      </c>
      <c r="D42" t="str">
        <f>icr_equip_avg_tbl!D42</f>
        <v>Single</v>
      </c>
      <c r="E42" t="str">
        <f>icr_equip_avg_tbl!E42</f>
        <v>4: Equipment &gt; 1, no tanks</v>
      </c>
      <c r="F42" t="n">
        <f>icr_equip_avg_tbl!F42</f>
        <v>1.6184210526315801</v>
      </c>
      <c r="G42" t="n">
        <f>icr_equip_avg_tbl!G42</f>
        <v>0.53947368421052599</v>
      </c>
      <c r="H42" t="n">
        <f>icr_equip_avg_tbl!H42</f>
        <v>7.8947368421052599E-2</v>
      </c>
      <c r="I42" t="n">
        <f>icr_equip_avg_tbl!I42</f>
        <v>0</v>
      </c>
    </row>
    <row r="43">
      <c r="B43" t="str">
        <f>icr_equip_avg_tbl!B43</f>
        <v>oil</v>
      </c>
      <c r="C43" t="str">
        <f>icr_equip_avg_tbl!C43</f>
        <v>Non-low Production</v>
      </c>
      <c r="D43" t="str">
        <f>icr_equip_avg_tbl!D43</f>
        <v>Single</v>
      </c>
      <c r="E43" t="str">
        <f>icr_equip_avg_tbl!E43</f>
        <v>5: Equipment = 1 and tanks</v>
      </c>
      <c r="F43" t="n">
        <f>icr_equip_avg_tbl!F43</f>
        <v>0.98627989023912199</v>
      </c>
      <c r="G43" t="n">
        <f>icr_equip_avg_tbl!G43</f>
        <v>1.17600940807526E-2</v>
      </c>
      <c r="H43" t="n">
        <f>icr_equip_avg_tbl!H43</f>
        <v>1.9600156801254402E-3</v>
      </c>
      <c r="I43" t="n">
        <f>icr_equip_avg_tbl!I43</f>
        <v>4.0827126617012901</v>
      </c>
    </row>
    <row r="44">
      <c r="B44" t="str">
        <f>icr_equip_avg_tbl!B44</f>
        <v>oil</v>
      </c>
      <c r="C44" t="str">
        <f>icr_equip_avg_tbl!C44</f>
        <v>Non-low Production</v>
      </c>
      <c r="D44" t="str">
        <f>icr_equip_avg_tbl!D44</f>
        <v>Single</v>
      </c>
      <c r="E44" t="str">
        <f>icr_equip_avg_tbl!E44</f>
        <v>6: Equipment &gt; 1 and tanks</v>
      </c>
      <c r="F44" t="n">
        <f>icr_equip_avg_tbl!F44</f>
        <v>2.2375306623058102</v>
      </c>
      <c r="G44" t="n">
        <f>icr_equip_avg_tbl!G44</f>
        <v>0.50654129190515096</v>
      </c>
      <c r="H44" t="n">
        <f>icr_equip_avg_tbl!H44</f>
        <v>6.2142273098937002E-2</v>
      </c>
      <c r="I44" t="n">
        <f>icr_equip_avg_tbl!I44</f>
        <v>4.7027800490596903</v>
      </c>
    </row>
    <row r="45">
      <c r="B45" t="str">
        <f>icr_equip_avg_tbl!B45</f>
        <v>oil</v>
      </c>
      <c r="C45" t="str">
        <f>icr_equip_avg_tbl!C45</f>
        <v>Non-low Production</v>
      </c>
      <c r="D45" t="str">
        <f>icr_equip_avg_tbl!D45</f>
        <v>Multi</v>
      </c>
      <c r="E45" t="str">
        <f>icr_equip_avg_tbl!E45</f>
        <v>1: No equipment, no tanks</v>
      </c>
      <c r="F45" t="n">
        <f>icr_equip_avg_tbl!F45</f>
        <v>0</v>
      </c>
      <c r="G45" t="n">
        <f>icr_equip_avg_tbl!G45</f>
        <v>0</v>
      </c>
      <c r="H45" t="n">
        <f>icr_equip_avg_tbl!H45</f>
        <v>0</v>
      </c>
      <c r="I45" t="n">
        <f>icr_equip_avg_tbl!I45</f>
        <v>0</v>
      </c>
    </row>
    <row r="46">
      <c r="B46" t="str">
        <f>icr_equip_avg_tbl!B46</f>
        <v>oil</v>
      </c>
      <c r="C46" t="str">
        <f>icr_equip_avg_tbl!C46</f>
        <v>Non-low Production</v>
      </c>
      <c r="D46" t="str">
        <f>icr_equip_avg_tbl!D46</f>
        <v>Multi</v>
      </c>
      <c r="E46" t="str">
        <f>icr_equip_avg_tbl!E46</f>
        <v>2: Tanks, no equipment</v>
      </c>
      <c r="F46" t="n">
        <f>icr_equip_avg_tbl!F46</f>
        <v>0</v>
      </c>
      <c r="G46" t="n">
        <f>icr_equip_avg_tbl!G46</f>
        <v>0</v>
      </c>
      <c r="H46" t="n">
        <f>icr_equip_avg_tbl!H46</f>
        <v>0</v>
      </c>
      <c r="I46" t="n">
        <f>icr_equip_avg_tbl!I46</f>
        <v>0.99696944220249295</v>
      </c>
    </row>
    <row r="47">
      <c r="B47" t="str">
        <f>icr_equip_avg_tbl!B47</f>
        <v>oil</v>
      </c>
      <c r="C47" t="str">
        <f>icr_equip_avg_tbl!C47</f>
        <v>Non-low Production</v>
      </c>
      <c r="D47" t="str">
        <f>icr_equip_avg_tbl!D47</f>
        <v>Multi</v>
      </c>
      <c r="E47" t="str">
        <f>icr_equip_avg_tbl!E47</f>
        <v>3: Equipment = 1, no tanks</v>
      </c>
      <c r="F47" t="n">
        <f>icr_equip_avg_tbl!F47</f>
        <v>0.123917748917749</v>
      </c>
      <c r="G47" t="n">
        <f>icr_equip_avg_tbl!G47</f>
        <v>0</v>
      </c>
      <c r="H47" t="n">
        <f>icr_equip_avg_tbl!H47</f>
        <v>6.4935064935064896E-3</v>
      </c>
      <c r="I47" t="n">
        <f>icr_equip_avg_tbl!I47</f>
        <v>0</v>
      </c>
    </row>
    <row r="48">
      <c r="B48" t="str">
        <f>icr_equip_avg_tbl!B48</f>
        <v>oil</v>
      </c>
      <c r="C48" t="str">
        <f>icr_equip_avg_tbl!C48</f>
        <v>Non-low Production</v>
      </c>
      <c r="D48" t="str">
        <f>icr_equip_avg_tbl!D48</f>
        <v>Multi</v>
      </c>
      <c r="E48" t="str">
        <f>icr_equip_avg_tbl!E48</f>
        <v>4: Equipment &gt; 1, no tanks</v>
      </c>
      <c r="F48" t="n">
        <f>icr_equip_avg_tbl!F48</f>
        <v>0.76516439909297096</v>
      </c>
      <c r="G48" t="n">
        <f>icr_equip_avg_tbl!G48</f>
        <v>8.0782312925170106E-3</v>
      </c>
      <c r="H48" t="n">
        <f>icr_equip_avg_tbl!H48</f>
        <v>4.79024943310658E-3</v>
      </c>
      <c r="I48" t="n">
        <f>icr_equip_avg_tbl!I48</f>
        <v>0</v>
      </c>
    </row>
    <row r="49">
      <c r="B49" t="str">
        <f>icr_equip_avg_tbl!B49</f>
        <v>oil</v>
      </c>
      <c r="C49" t="str">
        <f>icr_equip_avg_tbl!C49</f>
        <v>Non-low Production</v>
      </c>
      <c r="D49" t="str">
        <f>icr_equip_avg_tbl!D49</f>
        <v>Multi</v>
      </c>
      <c r="E49" t="str">
        <f>icr_equip_avg_tbl!E49</f>
        <v>5: Equipment = 1 and tanks</v>
      </c>
      <c r="F49" t="n">
        <f>icr_equip_avg_tbl!F49</f>
        <v>0.249987827052853</v>
      </c>
      <c r="G49" t="n">
        <f>icr_equip_avg_tbl!G49</f>
        <v>9.4317516110134694E-3</v>
      </c>
      <c r="H49" t="n">
        <f>icr_equip_avg_tbl!H49</f>
        <v>3.5149384885764501E-3</v>
      </c>
      <c r="I49" t="n">
        <f>icr_equip_avg_tbl!I49</f>
        <v>1.5579016628753</v>
      </c>
    </row>
    <row r="50">
      <c r="B50" t="str">
        <f>icr_equip_avg_tbl!B50</f>
        <v>oil</v>
      </c>
      <c r="C50" t="str">
        <f>icr_equip_avg_tbl!C50</f>
        <v>Non-low Production</v>
      </c>
      <c r="D50" t="str">
        <f>icr_equip_avg_tbl!D50</f>
        <v>Multi</v>
      </c>
      <c r="E50" t="str">
        <f>icr_equip_avg_tbl!E50</f>
        <v>6: Equipment &gt; 1 and tanks</v>
      </c>
      <c r="F50" t="n">
        <f>icr_equip_avg_tbl!F50</f>
        <v>1.0364732749991199</v>
      </c>
      <c r="G50" t="n">
        <f>icr_equip_avg_tbl!G50</f>
        <v>0.11663072501930299</v>
      </c>
      <c r="H50" t="n">
        <f>icr_equip_avg_tbl!H50</f>
        <v>1.51602834175946E-2</v>
      </c>
      <c r="I50" t="n">
        <f>icr_equip_avg_tbl!I50</f>
        <v>2.0075478397714499</v>
      </c>
    </row>
    <row r="53" ht="16.5" customHeight="1">
      <c r="B53" s="85" t="s">
        <v>440</v>
      </c>
      <c r="C53" s="85" t="s">
        <v>441</v>
      </c>
    </row>
    <row r="54" ht="16.5" customHeight="1">
      <c r="B54" s="127"/>
      <c r="C54" s="27"/>
      <c r="D54" s="139"/>
      <c r="E54" s="139"/>
      <c r="F54" s="39" t="s">
        <v>423</v>
      </c>
      <c r="G54" s="39"/>
      <c r="H54" s="39"/>
      <c r="I54" s="39"/>
    </row>
    <row r="55" ht="39" customHeight="1">
      <c r="B55" s="129" t="s">
        <v>424</v>
      </c>
      <c r="C55" s="28" t="s">
        <v>425</v>
      </c>
      <c r="D55" s="28" t="s">
        <v>426</v>
      </c>
      <c r="E55" s="138" t="s">
        <v>427</v>
      </c>
      <c r="F55" s="131" t="s">
        <v>428</v>
      </c>
      <c r="G55" s="130" t="s">
        <v>429</v>
      </c>
      <c r="H55" s="130" t="s">
        <v>430</v>
      </c>
      <c r="I55" s="130" t="s">
        <v>431</v>
      </c>
    </row>
    <row r="56">
      <c r="B56" s="141" t="s">
        <v>255</v>
      </c>
      <c r="C56" s="142" t="s">
        <v>432</v>
      </c>
      <c r="D56" s="143" t="s">
        <v>401</v>
      </c>
      <c r="E56" s="146" t="s">
        <v>434</v>
      </c>
      <c r="F56" s="150" t="n">
        <f>F3</f>
        <v>0</v>
      </c>
      <c r="G56" s="150" t="n">
        <f t="shared" ref="G56:I56" si="0">G3</f>
        <v>0</v>
      </c>
      <c r="H56" s="150" t="n">
        <f t="shared" si="0"/>
        <v>0</v>
      </c>
      <c r="I56" s="150" t="n">
        <f t="shared" si="0"/>
        <v>0</v>
      </c>
    </row>
    <row r="57">
      <c r="B57" s="140"/>
      <c r="C57" s="31"/>
      <c r="D57" s="132"/>
      <c r="E57" s="145" t="s">
        <v>435</v>
      </c>
      <c r="F57" s="148" t="n">
        <f t="shared" ref="F57:I57" si="1">F4</f>
        <v>0</v>
      </c>
      <c r="G57" s="148" t="n">
        <f t="shared" si="1"/>
        <v>0</v>
      </c>
      <c r="H57" s="148" t="n">
        <f t="shared" si="1"/>
        <v>0</v>
      </c>
      <c r="I57" s="148" t="n">
        <f t="shared" si="1"/>
        <v>1.4753717472118999</v>
      </c>
    </row>
    <row r="58">
      <c r="B58" s="140"/>
      <c r="C58" s="31"/>
      <c r="D58" s="132"/>
      <c r="E58" s="145" t="s">
        <v>439</v>
      </c>
      <c r="F58" s="148" t="n">
        <f t="shared" ref="F58:I58" si="2">F5</f>
        <v>0.96572313135780596</v>
      </c>
      <c r="G58" s="148" t="n">
        <f t="shared" si="2"/>
        <v>2.3772666961521499E-2</v>
      </c>
      <c r="H58" s="148" t="n">
        <f t="shared" si="2"/>
        <v>1.0504201680672299E-2</v>
      </c>
      <c r="I58" s="148" t="n">
        <f t="shared" si="2"/>
        <v>0</v>
      </c>
    </row>
    <row r="59">
      <c r="B59" s="140"/>
      <c r="C59" s="31"/>
      <c r="D59" s="132"/>
      <c r="E59" s="145" t="s">
        <v>438</v>
      </c>
      <c r="F59" s="148" t="n">
        <f t="shared" ref="F59:I59" si="3">F6</f>
        <v>1.19839449541284</v>
      </c>
      <c r="G59" s="148" t="n">
        <f t="shared" si="3"/>
        <v>0.855504587155963</v>
      </c>
      <c r="H59" s="148" t="n">
        <f t="shared" si="3"/>
        <v>0.216743119266055</v>
      </c>
      <c r="I59" s="148" t="n">
        <f t="shared" si="3"/>
        <v>0</v>
      </c>
    </row>
    <row r="60">
      <c r="B60" s="140"/>
      <c r="C60" s="31"/>
      <c r="D60" s="132"/>
      <c r="E60" s="145" t="s">
        <v>437</v>
      </c>
      <c r="F60" s="148" t="n">
        <f t="shared" ref="F60:I60" si="4">F7</f>
        <v>0.98643858838033605</v>
      </c>
      <c r="G60" s="148" t="n">
        <f t="shared" si="4"/>
        <v>6.7036523347203001E-3</v>
      </c>
      <c r="H60" s="148" t="n">
        <f t="shared" si="4"/>
        <v>6.8577592849437497E-3</v>
      </c>
      <c r="I60" s="148" t="n">
        <f t="shared" si="4"/>
        <v>1.50285097857913</v>
      </c>
    </row>
    <row r="61">
      <c r="B61" s="140"/>
      <c r="C61" s="31"/>
      <c r="D61" s="151"/>
      <c r="E61" s="152" t="s">
        <v>436</v>
      </c>
      <c r="F61" s="153" t="n">
        <f t="shared" ref="F61:I61" si="5">F8</f>
        <v>1.8699110903135201</v>
      </c>
      <c r="G61" s="153" t="n">
        <f t="shared" si="5"/>
        <v>0.38043986897519899</v>
      </c>
      <c r="H61" s="153" t="n">
        <f t="shared" si="5"/>
        <v>0.13102480112306999</v>
      </c>
      <c r="I61" s="153" t="n">
        <f t="shared" si="5"/>
        <v>2.0313523631258801</v>
      </c>
    </row>
    <row r="62">
      <c r="B62" s="140"/>
      <c r="C62" s="31"/>
      <c r="D62" s="132" t="s">
        <v>402</v>
      </c>
      <c r="E62" s="145" t="s">
        <v>434</v>
      </c>
      <c r="F62" s="148" t="n">
        <f t="shared" ref="F62:I62" si="6">F9</f>
        <v>0</v>
      </c>
      <c r="G62" s="148" t="n">
        <f t="shared" si="6"/>
        <v>0</v>
      </c>
      <c r="H62" s="148" t="n">
        <f t="shared" si="6"/>
        <v>0</v>
      </c>
      <c r="I62" s="148" t="n">
        <f t="shared" si="6"/>
        <v>0</v>
      </c>
    </row>
    <row r="63">
      <c r="B63" s="140"/>
      <c r="C63" s="31"/>
      <c r="D63" s="132"/>
      <c r="E63" s="145" t="s">
        <v>435</v>
      </c>
      <c r="F63" s="148" t="n">
        <f t="shared" ref="F63:I63" si="7">F10</f>
        <v>0</v>
      </c>
      <c r="G63" s="148" t="n">
        <f t="shared" si="7"/>
        <v>0</v>
      </c>
      <c r="H63" s="148" t="n">
        <f t="shared" si="7"/>
        <v>0</v>
      </c>
      <c r="I63" s="148" t="n">
        <f t="shared" si="7"/>
        <v>0.66518565203859303</v>
      </c>
    </row>
    <row r="64">
      <c r="B64" s="140"/>
      <c r="C64" s="31"/>
      <c r="D64" s="132"/>
      <c r="E64" s="145" t="s">
        <v>439</v>
      </c>
      <c r="F64" s="148" t="n">
        <f t="shared" ref="F64:I64" si="8">F11</f>
        <v>0.28717948717948699</v>
      </c>
      <c r="G64" s="148" t="n">
        <f t="shared" si="8"/>
        <v>9.6153846153846194E-3</v>
      </c>
      <c r="H64" s="148" t="n">
        <f t="shared" si="8"/>
        <v>0</v>
      </c>
      <c r="I64" s="148" t="n">
        <f t="shared" si="8"/>
        <v>0</v>
      </c>
    </row>
    <row r="65">
      <c r="B65" s="140"/>
      <c r="C65" s="31"/>
      <c r="D65" s="132"/>
      <c r="E65" s="145" t="s">
        <v>438</v>
      </c>
      <c r="F65" s="148" t="n">
        <f t="shared" ref="F65:I65" si="9">F12</f>
        <v>0.85435435435435403</v>
      </c>
      <c r="G65" s="148" t="n">
        <f t="shared" si="9"/>
        <v>0.31531531531531498</v>
      </c>
      <c r="H65" s="148" t="n">
        <f t="shared" si="9"/>
        <v>9.0090090090090107E-3</v>
      </c>
      <c r="I65" s="148" t="n">
        <f t="shared" si="9"/>
        <v>0</v>
      </c>
    </row>
    <row r="66">
      <c r="B66" s="140"/>
      <c r="C66" s="31"/>
      <c r="D66" s="132"/>
      <c r="E66" s="145" t="s">
        <v>437</v>
      </c>
      <c r="F66" s="148" t="n">
        <f t="shared" ref="F66:I66" si="10">F13</f>
        <v>0.34163544961518</v>
      </c>
      <c r="G66" s="148" t="n">
        <f t="shared" si="10"/>
        <v>4.7095761381475698E-3</v>
      </c>
      <c r="H66" s="148" t="n">
        <f t="shared" si="10"/>
        <v>6.2794348508634201E-3</v>
      </c>
      <c r="I66" s="148" t="n">
        <f t="shared" si="10"/>
        <v>0.63880386051292903</v>
      </c>
    </row>
    <row r="67">
      <c r="B67" s="140"/>
      <c r="C67" s="154"/>
      <c r="D67" s="151"/>
      <c r="E67" s="152" t="s">
        <v>436</v>
      </c>
      <c r="F67" s="153" t="n">
        <f t="shared" ref="F67:I67" si="11">F14</f>
        <v>0.91128831581189595</v>
      </c>
      <c r="G67" s="153" t="n">
        <f t="shared" si="11"/>
        <v>0.15364934893398799</v>
      </c>
      <c r="H67" s="153" t="n">
        <f t="shared" si="11"/>
        <v>5.1689460981496398E-2</v>
      </c>
      <c r="I67" s="153" t="n">
        <f t="shared" si="11"/>
        <v>0.86429886424656299</v>
      </c>
    </row>
    <row r="68">
      <c r="B68" s="140"/>
      <c r="C68" s="31" t="s">
        <v>433</v>
      </c>
      <c r="D68" s="155" t="s">
        <v>401</v>
      </c>
      <c r="E68" s="156" t="s">
        <v>434</v>
      </c>
      <c r="F68" s="157" t="n">
        <f t="shared" ref="F68:I68" si="12">F15</f>
        <v>0</v>
      </c>
      <c r="G68" s="157" t="n">
        <f t="shared" si="12"/>
        <v>0</v>
      </c>
      <c r="H68" s="157" t="n">
        <f t="shared" si="12"/>
        <v>0</v>
      </c>
      <c r="I68" s="157" t="n">
        <f t="shared" si="12"/>
        <v>0</v>
      </c>
    </row>
    <row r="69">
      <c r="B69" s="140"/>
      <c r="C69" s="31"/>
      <c r="D69" s="132"/>
      <c r="E69" s="145" t="s">
        <v>435</v>
      </c>
      <c r="F69" s="148" t="n">
        <f t="shared" ref="F69:I69" si="13">F16</f>
        <v>0</v>
      </c>
      <c r="G69" s="148" t="n">
        <f t="shared" si="13"/>
        <v>0</v>
      </c>
      <c r="H69" s="148" t="n">
        <f t="shared" si="13"/>
        <v>0</v>
      </c>
      <c r="I69" s="148" t="n">
        <f t="shared" si="13"/>
        <v>2.2244318181818201</v>
      </c>
    </row>
    <row r="70">
      <c r="B70" s="140"/>
      <c r="C70" s="31"/>
      <c r="D70" s="132"/>
      <c r="E70" s="145" t="s">
        <v>439</v>
      </c>
      <c r="F70" s="148" t="n">
        <f t="shared" ref="F70:I70" si="14">F17</f>
        <v>0.93637145313843495</v>
      </c>
      <c r="G70" s="148" t="n">
        <f t="shared" si="14"/>
        <v>3.95528804815133E-2</v>
      </c>
      <c r="H70" s="148" t="n">
        <f t="shared" si="14"/>
        <v>2.40756663800516E-2</v>
      </c>
      <c r="I70" s="148" t="n">
        <f t="shared" si="14"/>
        <v>0</v>
      </c>
    </row>
    <row r="71">
      <c r="B71" s="140"/>
      <c r="C71" s="31"/>
      <c r="D71" s="132"/>
      <c r="E71" s="145" t="s">
        <v>438</v>
      </c>
      <c r="F71" s="148" t="n">
        <f t="shared" ref="F71:I71" si="15">F18</f>
        <v>1.73684210526316</v>
      </c>
      <c r="G71" s="148" t="n">
        <f t="shared" si="15"/>
        <v>0.50526315789473697</v>
      </c>
      <c r="H71" s="148" t="n">
        <f t="shared" si="15"/>
        <v>0.168421052631579</v>
      </c>
      <c r="I71" s="148" t="n">
        <f t="shared" si="15"/>
        <v>0</v>
      </c>
    </row>
    <row r="72">
      <c r="B72" s="140"/>
      <c r="C72" s="31"/>
      <c r="D72" s="132"/>
      <c r="E72" s="145" t="s">
        <v>437</v>
      </c>
      <c r="F72" s="148" t="n">
        <f t="shared" ref="F72:I72" si="16">F19</f>
        <v>0.951977401129944</v>
      </c>
      <c r="G72" s="148" t="n">
        <f t="shared" si="16"/>
        <v>1.1813045711350801E-2</v>
      </c>
      <c r="H72" s="148" t="n">
        <f t="shared" si="16"/>
        <v>3.62095531587057E-2</v>
      </c>
      <c r="I72" s="148" t="n">
        <f t="shared" si="16"/>
        <v>1.65767847971238</v>
      </c>
    </row>
    <row r="73">
      <c r="B73" s="140"/>
      <c r="C73" s="31"/>
      <c r="D73" s="151"/>
      <c r="E73" s="152" t="s">
        <v>436</v>
      </c>
      <c r="F73" s="153" t="n">
        <f t="shared" ref="F73:I73" si="17">F20</f>
        <v>1.81838733986436</v>
      </c>
      <c r="G73" s="153" t="n">
        <f t="shared" si="17"/>
        <v>0.504898266767144</v>
      </c>
      <c r="H73" s="153" t="n">
        <f t="shared" si="17"/>
        <v>0.18613413715146901</v>
      </c>
      <c r="I73" s="153" t="n">
        <f t="shared" si="17"/>
        <v>2.23360964581763</v>
      </c>
    </row>
    <row r="74">
      <c r="B74" s="140"/>
      <c r="C74" s="31"/>
      <c r="D74" s="132" t="s">
        <v>402</v>
      </c>
      <c r="E74" s="145" t="s">
        <v>434</v>
      </c>
      <c r="F74" s="148" t="n">
        <f t="shared" ref="F74:I74" si="18">F21</f>
        <v>0</v>
      </c>
      <c r="G74" s="148" t="n">
        <f t="shared" si="18"/>
        <v>0</v>
      </c>
      <c r="H74" s="148" t="n">
        <f t="shared" si="18"/>
        <v>0</v>
      </c>
      <c r="I74" s="148" t="n">
        <f t="shared" si="18"/>
        <v>0</v>
      </c>
    </row>
    <row r="75">
      <c r="B75" s="140"/>
      <c r="C75" s="31"/>
      <c r="D75" s="132"/>
      <c r="E75" s="145" t="s">
        <v>435</v>
      </c>
      <c r="F75" s="148" t="n">
        <f t="shared" ref="F75:I75" si="19">F22</f>
        <v>0</v>
      </c>
      <c r="G75" s="148" t="n">
        <f t="shared" si="19"/>
        <v>0</v>
      </c>
      <c r="H75" s="148" t="n">
        <f t="shared" si="19"/>
        <v>0</v>
      </c>
      <c r="I75" s="148" t="n">
        <f t="shared" si="19"/>
        <v>2.6960555555555601</v>
      </c>
    </row>
    <row r="76">
      <c r="B76" s="140"/>
      <c r="C76" s="31"/>
      <c r="D76" s="132"/>
      <c r="E76" s="145" t="s">
        <v>439</v>
      </c>
      <c r="F76" s="148" t="n">
        <f t="shared" ref="F76:I76" si="20">F23</f>
        <v>0.25849673202614398</v>
      </c>
      <c r="G76" s="148" t="n">
        <f t="shared" si="20"/>
        <v>1.5686274509803901E-2</v>
      </c>
      <c r="H76" s="148" t="n">
        <f t="shared" si="20"/>
        <v>0</v>
      </c>
      <c r="I76" s="148" t="n">
        <f t="shared" si="20"/>
        <v>0</v>
      </c>
    </row>
    <row r="77">
      <c r="B77" s="140"/>
      <c r="C77" s="31"/>
      <c r="D77" s="132"/>
      <c r="E77" s="145" t="s">
        <v>438</v>
      </c>
      <c r="F77" s="148" t="n">
        <f t="shared" ref="F77:I77" si="21">F24</f>
        <v>1.0275879917184301</v>
      </c>
      <c r="G77" s="148" t="n">
        <f t="shared" si="21"/>
        <v>3.6180124223602499E-2</v>
      </c>
      <c r="H77" s="148" t="n">
        <f t="shared" si="21"/>
        <v>2.6035196687370601E-2</v>
      </c>
      <c r="I77" s="148" t="n">
        <f t="shared" si="21"/>
        <v>0</v>
      </c>
    </row>
    <row r="78">
      <c r="B78" s="140"/>
      <c r="C78" s="31"/>
      <c r="D78" s="132"/>
      <c r="E78" s="145" t="s">
        <v>437</v>
      </c>
      <c r="F78" s="148" t="n">
        <f t="shared" ref="F78:I78" si="22">F25</f>
        <v>0.32044204621669398</v>
      </c>
      <c r="G78" s="148" t="n">
        <f t="shared" si="22"/>
        <v>1.5868544600938998E-2</v>
      </c>
      <c r="H78" s="148" t="n">
        <f t="shared" si="22"/>
        <v>0</v>
      </c>
      <c r="I78" s="148" t="n">
        <f t="shared" si="22"/>
        <v>0.90925996382334395</v>
      </c>
    </row>
    <row r="79">
      <c r="B79" s="158"/>
      <c r="C79" s="154"/>
      <c r="D79" s="151"/>
      <c r="E79" s="152" t="s">
        <v>436</v>
      </c>
      <c r="F79" s="153" t="n">
        <f t="shared" ref="F79:I79" si="23">F26</f>
        <v>1.00216683432649</v>
      </c>
      <c r="G79" s="153" t="n">
        <f t="shared" si="23"/>
        <v>7.9519619479047302E-2</v>
      </c>
      <c r="H79" s="153" t="n">
        <f t="shared" si="23"/>
        <v>2.3687062181722101E-2</v>
      </c>
      <c r="I79" s="153" t="n">
        <f t="shared" si="23"/>
        <v>0.91922847648141903</v>
      </c>
    </row>
    <row r="80">
      <c r="B80" s="140" t="s">
        <v>238</v>
      </c>
      <c r="C80" s="159" t="s">
        <v>432</v>
      </c>
      <c r="D80" s="155" t="s">
        <v>401</v>
      </c>
      <c r="E80" s="156" t="s">
        <v>434</v>
      </c>
      <c r="F80" s="157" t="n">
        <f t="shared" ref="F80:I80" si="24">F27</f>
        <v>0</v>
      </c>
      <c r="G80" s="157" t="n">
        <f t="shared" si="24"/>
        <v>0</v>
      </c>
      <c r="H80" s="157" t="n">
        <f t="shared" si="24"/>
        <v>0</v>
      </c>
      <c r="I80" s="157" t="n">
        <f t="shared" si="24"/>
        <v>0</v>
      </c>
    </row>
    <row r="81">
      <c r="B81" s="140"/>
      <c r="C81" s="31"/>
      <c r="D81" s="132"/>
      <c r="E81" s="145" t="s">
        <v>435</v>
      </c>
      <c r="F81" s="148" t="n">
        <f t="shared" ref="F81:I81" si="25">F28</f>
        <v>0</v>
      </c>
      <c r="G81" s="148" t="n">
        <f t="shared" si="25"/>
        <v>0</v>
      </c>
      <c r="H81" s="148" t="n">
        <f t="shared" si="25"/>
        <v>0</v>
      </c>
      <c r="I81" s="148" t="n">
        <f t="shared" si="25"/>
        <v>2.1741379310344802</v>
      </c>
    </row>
    <row r="82">
      <c r="B82" s="140"/>
      <c r="C82" s="31"/>
      <c r="D82" s="132"/>
      <c r="E82" s="145" t="s">
        <v>439</v>
      </c>
      <c r="F82" s="148" t="n">
        <f t="shared" ref="F82:I82" si="26">F29</f>
        <v>0.83875530410183896</v>
      </c>
      <c r="G82" s="148" t="n">
        <f t="shared" si="26"/>
        <v>0.14992927864215</v>
      </c>
      <c r="H82" s="148" t="n">
        <f t="shared" si="26"/>
        <v>1.13154172560113E-2</v>
      </c>
      <c r="I82" s="148" t="n">
        <f t="shared" si="26"/>
        <v>0</v>
      </c>
    </row>
    <row r="83">
      <c r="B83" s="140"/>
      <c r="C83" s="31"/>
      <c r="D83" s="132"/>
      <c r="E83" s="145" t="s">
        <v>438</v>
      </c>
      <c r="F83" s="148" t="n">
        <f t="shared" ref="F83:I83" si="27">F30</f>
        <v>1.2692307692307701</v>
      </c>
      <c r="G83" s="148" t="n">
        <f t="shared" si="27"/>
        <v>0.85897435897435903</v>
      </c>
      <c r="H83" s="148" t="n">
        <f t="shared" si="27"/>
        <v>0.128205128205128</v>
      </c>
      <c r="I83" s="148" t="n">
        <f t="shared" si="27"/>
        <v>0</v>
      </c>
    </row>
    <row r="84">
      <c r="B84" s="140"/>
      <c r="C84" s="31"/>
      <c r="D84" s="132"/>
      <c r="E84" s="145" t="s">
        <v>437</v>
      </c>
      <c r="F84" s="148" t="n">
        <f t="shared" ref="F84:I84" si="28">F31</f>
        <v>0.97883008356545997</v>
      </c>
      <c r="G84" s="148" t="n">
        <f t="shared" si="28"/>
        <v>1.8050139275766E-2</v>
      </c>
      <c r="H84" s="148" t="n">
        <f t="shared" si="28"/>
        <v>3.1197771587743702E-3</v>
      </c>
      <c r="I84" s="148" t="n">
        <f t="shared" si="28"/>
        <v>2.1585515320334299</v>
      </c>
    </row>
    <row r="85">
      <c r="B85" s="140"/>
      <c r="C85" s="31"/>
      <c r="D85" s="151"/>
      <c r="E85" s="152" t="s">
        <v>436</v>
      </c>
      <c r="F85" s="153" t="n">
        <f t="shared" ref="F85:I85" si="29">F32</f>
        <v>1.9408099688473499</v>
      </c>
      <c r="G85" s="153" t="n">
        <f t="shared" si="29"/>
        <v>0.34668446817979498</v>
      </c>
      <c r="H85" s="153" t="n">
        <f t="shared" si="29"/>
        <v>4.5393858477970603E-2</v>
      </c>
      <c r="I85" s="153" t="n">
        <f t="shared" si="29"/>
        <v>3.7659101023587001</v>
      </c>
    </row>
    <row r="86">
      <c r="B86" s="140"/>
      <c r="C86" s="31"/>
      <c r="D86" s="132" t="s">
        <v>402</v>
      </c>
      <c r="E86" s="145" t="s">
        <v>434</v>
      </c>
      <c r="F86" s="148" t="n">
        <f t="shared" ref="F86:I86" si="30">F33</f>
        <v>0</v>
      </c>
      <c r="G86" s="148" t="n">
        <f t="shared" si="30"/>
        <v>0</v>
      </c>
      <c r="H86" s="148" t="n">
        <f t="shared" si="30"/>
        <v>0</v>
      </c>
      <c r="I86" s="148" t="n">
        <f t="shared" si="30"/>
        <v>0</v>
      </c>
    </row>
    <row r="87">
      <c r="B87" s="140"/>
      <c r="C87" s="31"/>
      <c r="D87" s="132"/>
      <c r="E87" s="145" t="s">
        <v>435</v>
      </c>
      <c r="F87" s="148" t="n">
        <f t="shared" ref="F87:I87" si="31">F34</f>
        <v>0</v>
      </c>
      <c r="G87" s="148" t="n">
        <f t="shared" si="31"/>
        <v>0</v>
      </c>
      <c r="H87" s="148" t="n">
        <f t="shared" si="31"/>
        <v>0</v>
      </c>
      <c r="I87" s="148" t="n">
        <f t="shared" si="31"/>
        <v>0.61139180552477801</v>
      </c>
    </row>
    <row r="88">
      <c r="B88" s="140"/>
      <c r="C88" s="31"/>
      <c r="D88" s="132"/>
      <c r="E88" s="145" t="s">
        <v>439</v>
      </c>
      <c r="F88" s="148" t="n">
        <f t="shared" ref="F88:I88" si="32">F35</f>
        <v>0.20959232613908901</v>
      </c>
      <c r="G88" s="148" t="n">
        <f t="shared" si="32"/>
        <v>2.8776978417266199E-2</v>
      </c>
      <c r="H88" s="148" t="n">
        <f t="shared" si="32"/>
        <v>0</v>
      </c>
      <c r="I88" s="148" t="n">
        <f t="shared" si="32"/>
        <v>0</v>
      </c>
    </row>
    <row r="89">
      <c r="B89" s="140"/>
      <c r="C89" s="31"/>
      <c r="D89" s="132"/>
      <c r="E89" s="145" t="s">
        <v>438</v>
      </c>
      <c r="F89" s="148" t="n">
        <f t="shared" ref="F89:I89" si="33">F36</f>
        <v>0.57716049382716095</v>
      </c>
      <c r="G89" s="148" t="n">
        <f t="shared" si="33"/>
        <v>7.4074074074074098E-2</v>
      </c>
      <c r="H89" s="148" t="n">
        <f t="shared" si="33"/>
        <v>7.4074074074074098E-2</v>
      </c>
      <c r="I89" s="148" t="n">
        <f t="shared" si="33"/>
        <v>0</v>
      </c>
    </row>
    <row r="90">
      <c r="B90" s="140"/>
      <c r="C90" s="31"/>
      <c r="D90" s="132"/>
      <c r="E90" s="145" t="s">
        <v>437</v>
      </c>
      <c r="F90" s="148" t="n">
        <f t="shared" ref="F90:I90" si="34">F37</f>
        <v>0.21018108561031201</v>
      </c>
      <c r="G90" s="148" t="n">
        <f t="shared" si="34"/>
        <v>2.0230970243614601E-3</v>
      </c>
      <c r="H90" s="148" t="n">
        <f t="shared" si="34"/>
        <v>1.6859141869678799E-4</v>
      </c>
      <c r="I90" s="148" t="n">
        <f t="shared" si="34"/>
        <v>0.48428575746887498</v>
      </c>
    </row>
    <row r="91">
      <c r="B91" s="140"/>
      <c r="C91" s="154"/>
      <c r="D91" s="151"/>
      <c r="E91" s="152" t="s">
        <v>436</v>
      </c>
      <c r="F91" s="153" t="n">
        <f t="shared" ref="F91:I91" si="35">F38</f>
        <v>0.50090488210914696</v>
      </c>
      <c r="G91" s="153" t="n">
        <f t="shared" si="35"/>
        <v>4.7374723023537797E-2</v>
      </c>
      <c r="H91" s="153" t="n">
        <f t="shared" si="35"/>
        <v>5.76470588235294E-3</v>
      </c>
      <c r="I91" s="153" t="n">
        <f t="shared" si="35"/>
        <v>0.69673357046925799</v>
      </c>
    </row>
    <row r="92">
      <c r="B92" s="140"/>
      <c r="C92" s="31" t="s">
        <v>433</v>
      </c>
      <c r="D92" s="155" t="s">
        <v>401</v>
      </c>
      <c r="E92" s="156" t="s">
        <v>434</v>
      </c>
      <c r="F92" s="157" t="n">
        <f t="shared" ref="F92:I92" si="36">F39</f>
        <v>0</v>
      </c>
      <c r="G92" s="157" t="n">
        <f t="shared" si="36"/>
        <v>0</v>
      </c>
      <c r="H92" s="157" t="n">
        <f t="shared" si="36"/>
        <v>0</v>
      </c>
      <c r="I92" s="157" t="n">
        <f t="shared" si="36"/>
        <v>0</v>
      </c>
    </row>
    <row r="93">
      <c r="B93" s="140"/>
      <c r="C93" s="31"/>
      <c r="D93" s="132"/>
      <c r="E93" s="145" t="s">
        <v>435</v>
      </c>
      <c r="F93" s="148" t="n">
        <f t="shared" ref="F93:I93" si="37">F40</f>
        <v>0</v>
      </c>
      <c r="G93" s="148" t="n">
        <f t="shared" si="37"/>
        <v>0</v>
      </c>
      <c r="H93" s="148" t="n">
        <f t="shared" si="37"/>
        <v>0</v>
      </c>
      <c r="I93" s="148" t="n">
        <f t="shared" si="37"/>
        <v>3.2267441860465098</v>
      </c>
    </row>
    <row r="94">
      <c r="B94" s="140"/>
      <c r="C94" s="31"/>
      <c r="D94" s="132"/>
      <c r="E94" s="145" t="s">
        <v>439</v>
      </c>
      <c r="F94" s="148" t="n">
        <f t="shared" ref="F94:I94" si="38">F41</f>
        <v>0.98955916473317895</v>
      </c>
      <c r="G94" s="148" t="n">
        <f t="shared" si="38"/>
        <v>1.04408352668213E-2</v>
      </c>
      <c r="H94" s="148" t="n">
        <f t="shared" si="38"/>
        <v>0</v>
      </c>
      <c r="I94" s="148" t="n">
        <f t="shared" si="38"/>
        <v>0</v>
      </c>
    </row>
    <row r="95">
      <c r="B95" s="140"/>
      <c r="C95" s="31"/>
      <c r="D95" s="132"/>
      <c r="E95" s="145" t="s">
        <v>438</v>
      </c>
      <c r="F95" s="148" t="n">
        <f t="shared" ref="F95:I95" si="39">F42</f>
        <v>1.6184210526315801</v>
      </c>
      <c r="G95" s="148" t="n">
        <f t="shared" si="39"/>
        <v>0.53947368421052599</v>
      </c>
      <c r="H95" s="148" t="n">
        <f t="shared" si="39"/>
        <v>7.8947368421052599E-2</v>
      </c>
      <c r="I95" s="148" t="n">
        <f t="shared" si="39"/>
        <v>0</v>
      </c>
    </row>
    <row r="96">
      <c r="B96" s="140"/>
      <c r="C96" s="31"/>
      <c r="D96" s="132"/>
      <c r="E96" s="145" t="s">
        <v>437</v>
      </c>
      <c r="F96" s="148" t="n">
        <f t="shared" ref="F96:I96" si="40">F43</f>
        <v>0.98627989023912199</v>
      </c>
      <c r="G96" s="148" t="n">
        <f t="shared" si="40"/>
        <v>1.17600940807526E-2</v>
      </c>
      <c r="H96" s="148" t="n">
        <f t="shared" si="40"/>
        <v>1.9600156801254402E-3</v>
      </c>
      <c r="I96" s="148" t="n">
        <f t="shared" si="40"/>
        <v>4.0827126617012901</v>
      </c>
    </row>
    <row r="97">
      <c r="B97" s="140"/>
      <c r="C97" s="31"/>
      <c r="D97" s="151"/>
      <c r="E97" s="152" t="s">
        <v>436</v>
      </c>
      <c r="F97" s="153" t="n">
        <f t="shared" ref="F97:I97" si="41">F44</f>
        <v>2.2375306623058102</v>
      </c>
      <c r="G97" s="153" t="n">
        <f t="shared" si="41"/>
        <v>0.50654129190515096</v>
      </c>
      <c r="H97" s="153" t="n">
        <f t="shared" si="41"/>
        <v>6.2142273098937002E-2</v>
      </c>
      <c r="I97" s="153" t="n">
        <f t="shared" si="41"/>
        <v>4.7027800490596903</v>
      </c>
    </row>
    <row r="98">
      <c r="B98" s="140"/>
      <c r="C98" s="31"/>
      <c r="D98" s="132" t="s">
        <v>402</v>
      </c>
      <c r="E98" s="145" t="s">
        <v>434</v>
      </c>
      <c r="F98" s="148" t="n">
        <f t="shared" ref="F98:I98" si="42">F45</f>
        <v>0</v>
      </c>
      <c r="G98" s="148" t="n">
        <f t="shared" si="42"/>
        <v>0</v>
      </c>
      <c r="H98" s="148" t="n">
        <f t="shared" si="42"/>
        <v>0</v>
      </c>
      <c r="I98" s="148" t="n">
        <f t="shared" si="42"/>
        <v>0</v>
      </c>
    </row>
    <row r="99">
      <c r="B99" s="140"/>
      <c r="C99" s="31"/>
      <c r="D99" s="132"/>
      <c r="E99" s="145" t="s">
        <v>435</v>
      </c>
      <c r="F99" s="148" t="n">
        <f t="shared" ref="F99:I99" si="43">F46</f>
        <v>0</v>
      </c>
      <c r="G99" s="148" t="n">
        <f t="shared" si="43"/>
        <v>0</v>
      </c>
      <c r="H99" s="148" t="n">
        <f t="shared" si="43"/>
        <v>0</v>
      </c>
      <c r="I99" s="148" t="n">
        <f t="shared" si="43"/>
        <v>0.99696944220249295</v>
      </c>
    </row>
    <row r="100">
      <c r="B100" s="140"/>
      <c r="C100" s="31"/>
      <c r="D100" s="132"/>
      <c r="E100" s="145" t="s">
        <v>439</v>
      </c>
      <c r="F100" s="148" t="n">
        <f t="shared" ref="F100:I100" si="44">F47</f>
        <v>0.123917748917749</v>
      </c>
      <c r="G100" s="148" t="n">
        <f t="shared" si="44"/>
        <v>0</v>
      </c>
      <c r="H100" s="148" t="n">
        <f t="shared" si="44"/>
        <v>6.4935064935064896E-3</v>
      </c>
      <c r="I100" s="148" t="n">
        <f t="shared" si="44"/>
        <v>0</v>
      </c>
    </row>
    <row r="101">
      <c r="B101" s="140"/>
      <c r="C101" s="31"/>
      <c r="D101" s="132"/>
      <c r="E101" s="145" t="s">
        <v>438</v>
      </c>
      <c r="F101" s="148" t="n">
        <f t="shared" ref="F101:I101" si="45">F48</f>
        <v>0.76516439909297096</v>
      </c>
      <c r="G101" s="148" t="n">
        <f t="shared" si="45"/>
        <v>8.0782312925170106E-3</v>
      </c>
      <c r="H101" s="148" t="n">
        <f t="shared" si="45"/>
        <v>4.79024943310658E-3</v>
      </c>
      <c r="I101" s="148" t="n">
        <f t="shared" si="45"/>
        <v>0</v>
      </c>
    </row>
    <row r="102">
      <c r="B102" s="140"/>
      <c r="C102" s="31"/>
      <c r="D102" s="132"/>
      <c r="E102" s="145" t="s">
        <v>437</v>
      </c>
      <c r="F102" s="148" t="n">
        <f t="shared" ref="F102:I102" si="46">F49</f>
        <v>0.249987827052853</v>
      </c>
      <c r="G102" s="148" t="n">
        <f t="shared" si="46"/>
        <v>9.4317516110134694E-3</v>
      </c>
      <c r="H102" s="148" t="n">
        <f t="shared" si="46"/>
        <v>3.5149384885764501E-3</v>
      </c>
      <c r="I102" s="148" t="n">
        <f t="shared" si="46"/>
        <v>1.5579016628753</v>
      </c>
    </row>
    <row r="103" ht="15.75" customHeight="1">
      <c r="B103" s="144"/>
      <c r="C103" s="33"/>
      <c r="D103" s="134"/>
      <c r="E103" s="147" t="s">
        <v>436</v>
      </c>
      <c r="F103" s="149" t="n">
        <f t="shared" ref="F103:I103" si="47">F50</f>
        <v>1.0364732749991199</v>
      </c>
      <c r="G103" s="149" t="n">
        <f t="shared" si="47"/>
        <v>0.11663072501930299</v>
      </c>
      <c r="H103" s="149" t="n">
        <f t="shared" si="47"/>
        <v>1.51602834175946E-2</v>
      </c>
      <c r="I103" s="149" t="n">
        <f t="shared" si="47"/>
        <v>2.0075478397714499</v>
      </c>
    </row>
    <row r="104" ht="15.75" customHeight="1"/>
  </sheetData>
  <mergeCells count="15">
    <mergeCell ref="B80:B103"/>
    <mergeCell ref="C80:C91"/>
    <mergeCell ref="D80:D85"/>
    <mergeCell ref="D86:D91"/>
    <mergeCell ref="C92:C103"/>
    <mergeCell ref="D92:D97"/>
    <mergeCell ref="D98:D103"/>
    <mergeCell ref="F54:I54"/>
    <mergeCell ref="B56:B79"/>
    <mergeCell ref="C56:C67"/>
    <mergeCell ref="D56:D61"/>
    <mergeCell ref="D62:D67"/>
    <mergeCell ref="C68:C79"/>
    <mergeCell ref="D68:D73"/>
    <mergeCell ref="D74:D79"/>
  </mergeCells>
  <pageMargins left="0.7" right="0.7" top="0.75" bottom="0.75" header="0.3" footer="0.3"/>
  <pageSetup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0</v>
      </c>
      <c r="C2" t="s">
        <v>180</v>
      </c>
      <c r="D2" t="s">
        <v>181</v>
      </c>
      <c r="E2" t="s">
        <v>182</v>
      </c>
      <c r="H2" t="s">
        <v>183</v>
      </c>
    </row>
    <row r="3">
      <c r="B3" t="n">
        <v>2023</v>
      </c>
      <c r="C3" t="n">
        <v>1439.641331</v>
      </c>
      <c r="D3" t="n">
        <v>1851.6732010000001</v>
      </c>
      <c r="E3" t="n">
        <v>2533.4525549999998</v>
      </c>
    </row>
    <row r="4">
      <c r="B4" t="n">
        <v>2024</v>
      </c>
      <c r="C4" t="n">
        <v>1505.8430940000001</v>
      </c>
      <c r="D4" t="n">
        <v>1926.7677389999999</v>
      </c>
      <c r="E4" t="n">
        <v>2618.4279529999999</v>
      </c>
    </row>
    <row r="5">
      <c r="B5" t="n">
        <v>2025</v>
      </c>
      <c r="C5" t="n">
        <v>1571.0567719999999</v>
      </c>
      <c r="D5" t="n">
        <v>2000.87419</v>
      </c>
      <c r="E5" t="n">
        <v>2704.3914370000002</v>
      </c>
    </row>
    <row r="6">
      <c r="B6" t="n">
        <v>2026</v>
      </c>
      <c r="C6" t="n">
        <v>1637.2585349999999</v>
      </c>
      <c r="D6" t="n">
        <v>2075.9687279999998</v>
      </c>
      <c r="E6" t="n">
        <v>2789.3668339999999</v>
      </c>
    </row>
    <row r="7">
      <c r="B7" t="n">
        <v>2027</v>
      </c>
      <c r="C7" t="n">
        <v>1703.460298</v>
      </c>
      <c r="D7" t="n">
        <v>2150.0751799999998</v>
      </c>
      <c r="E7" t="n">
        <v>2875.3303179999998</v>
      </c>
    </row>
    <row r="8">
      <c r="B8" t="n">
        <v>2028</v>
      </c>
      <c r="C8" t="n">
        <v>1768.673976</v>
      </c>
      <c r="D8" t="n">
        <v>2225.1697170000002</v>
      </c>
      <c r="E8" t="n">
        <v>2960.3057159999998</v>
      </c>
    </row>
    <row r="9">
      <c r="B9" t="n">
        <v>2029</v>
      </c>
      <c r="C9" t="n">
        <v>1834.8757390000001</v>
      </c>
      <c r="D9" t="n">
        <v>2299.2761690000002</v>
      </c>
      <c r="E9" t="n">
        <v>3045.2811139999999</v>
      </c>
    </row>
    <row r="10">
      <c r="B10" t="n">
        <v>2030</v>
      </c>
      <c r="C10" t="n">
        <v>1901.0775020000001</v>
      </c>
      <c r="D10" t="n">
        <v>2374.3707060000002</v>
      </c>
      <c r="E10" t="n">
        <v>3131.2445969999999</v>
      </c>
    </row>
    <row r="11">
      <c r="B11" t="n">
        <v>2031</v>
      </c>
      <c r="C11" t="n">
        <v>1978.1482120000001</v>
      </c>
      <c r="D11" t="n">
        <v>2460.33419</v>
      </c>
      <c r="E11" t="n">
        <v>3231.0412849999998</v>
      </c>
    </row>
    <row r="12">
      <c r="B12" t="n">
        <v>2032</v>
      </c>
      <c r="C12" t="n">
        <v>2054.2308360000002</v>
      </c>
      <c r="D12" t="n">
        <v>2547.2857600000002</v>
      </c>
      <c r="E12" t="n">
        <v>3329.8498869999999</v>
      </c>
    </row>
    <row r="13">
      <c r="B13" t="n">
        <v>2033</v>
      </c>
      <c r="C13" t="n">
        <v>2131.3015449999998</v>
      </c>
      <c r="D13" t="n">
        <v>2634.237329</v>
      </c>
      <c r="E13" t="n">
        <v>3429.6465750000002</v>
      </c>
    </row>
    <row r="14">
      <c r="B14" t="n">
        <v>2034</v>
      </c>
      <c r="C14" t="n">
        <v>2208.3722550000002</v>
      </c>
      <c r="D14" t="n">
        <v>2721.1888990000002</v>
      </c>
      <c r="E14" t="n">
        <v>3529.4432630000001</v>
      </c>
    </row>
    <row r="15">
      <c r="B15" t="n">
        <v>2035</v>
      </c>
      <c r="C15" t="n">
        <v>2285.4429639999998</v>
      </c>
      <c r="D15" t="n">
        <v>2808.1404689999999</v>
      </c>
      <c r="E15" t="n">
        <v>3629.239951</v>
      </c>
    </row>
    <row r="17" ht="15" customHeight="1">
      <c r="B17" s="163" t="s">
        <v>239</v>
      </c>
      <c r="C17" s="37" t="s">
        <v>442</v>
      </c>
    </row>
    <row r="18" ht="24.6" customHeight="1">
      <c r="B18" s="96"/>
      <c r="C18" s="93"/>
      <c r="D18" s="93"/>
      <c r="E18" s="93"/>
    </row>
    <row r="19" ht="15" customHeight="1">
      <c r="B19" s="20" t="s">
        <v>63</v>
      </c>
      <c r="C19" s="165" t="n">
        <v>2.5000000000000001E-2</v>
      </c>
      <c r="D19" s="160" t="n">
        <v>0.02</v>
      </c>
      <c r="E19" s="161" t="n">
        <v>1.4999999999999999E-2</v>
      </c>
    </row>
    <row r="20">
      <c r="B20" s="4" t="n">
        <v>2023</v>
      </c>
      <c r="C20" s="162" t="n">
        <f>ROUND(C3,2-(1+INT(LOG10(ABS(C3)))))</f>
        <v>1400</v>
      </c>
      <c r="D20" s="162" t="n">
        <f t="shared" ref="D20:E20" si="0">ROUND(D3,2-(1+INT(LOG10(ABS(D3)))))</f>
        <v>1900</v>
      </c>
      <c r="E20" s="162" t="n">
        <f t="shared" si="0"/>
        <v>2500</v>
      </c>
    </row>
    <row r="21">
      <c r="B21" s="4" t="n">
        <v>2024</v>
      </c>
      <c r="C21" s="162" t="n">
        <f t="shared" ref="C21:E21" si="1">ROUND(C4,2-(1+INT(LOG10(ABS(C4)))))</f>
        <v>1500</v>
      </c>
      <c r="D21" s="162" t="n">
        <f t="shared" si="1"/>
        <v>1900</v>
      </c>
      <c r="E21" s="162" t="n">
        <f t="shared" si="1"/>
        <v>2600</v>
      </c>
    </row>
    <row r="22">
      <c r="B22" s="4" t="n">
        <v>2025</v>
      </c>
      <c r="C22" s="162" t="n">
        <f t="shared" ref="C22:E22" si="2">ROUND(C5,2-(1+INT(LOG10(ABS(C5)))))</f>
        <v>1600</v>
      </c>
      <c r="D22" s="162" t="n">
        <f t="shared" si="2"/>
        <v>2000</v>
      </c>
      <c r="E22" s="162" t="n">
        <f t="shared" si="2"/>
        <v>2700</v>
      </c>
    </row>
    <row r="23">
      <c r="B23" s="4" t="n">
        <v>2026</v>
      </c>
      <c r="C23" s="162" t="n">
        <f t="shared" ref="C23:E23" si="3">ROUND(C6,2-(1+INT(LOG10(ABS(C6)))))</f>
        <v>1600</v>
      </c>
      <c r="D23" s="162" t="n">
        <f t="shared" si="3"/>
        <v>2100</v>
      </c>
      <c r="E23" s="162" t="n">
        <f t="shared" si="3"/>
        <v>2800</v>
      </c>
    </row>
    <row r="24">
      <c r="B24" s="4" t="n">
        <v>2027</v>
      </c>
      <c r="C24" s="162" t="n">
        <f t="shared" ref="C24:E24" si="4">ROUND(C7,2-(1+INT(LOG10(ABS(C7)))))</f>
        <v>1700</v>
      </c>
      <c r="D24" s="162" t="n">
        <f t="shared" si="4"/>
        <v>2200</v>
      </c>
      <c r="E24" s="162" t="n">
        <f t="shared" si="4"/>
        <v>2900</v>
      </c>
    </row>
    <row r="25">
      <c r="B25" s="4" t="n">
        <v>2028</v>
      </c>
      <c r="C25" s="162" t="n">
        <f t="shared" ref="C25:E25" si="5">ROUND(C8,2-(1+INT(LOG10(ABS(C8)))))</f>
        <v>1800</v>
      </c>
      <c r="D25" s="162" t="n">
        <f t="shared" si="5"/>
        <v>2200</v>
      </c>
      <c r="E25" s="162" t="n">
        <f t="shared" si="5"/>
        <v>3000</v>
      </c>
    </row>
    <row r="26">
      <c r="B26" s="4" t="n">
        <v>2029</v>
      </c>
      <c r="C26" s="162" t="n">
        <f t="shared" ref="C26:E26" si="6">ROUND(C9,2-(1+INT(LOG10(ABS(C9)))))</f>
        <v>1800</v>
      </c>
      <c r="D26" s="162" t="n">
        <f t="shared" si="6"/>
        <v>2300</v>
      </c>
      <c r="E26" s="162" t="n">
        <f t="shared" si="6"/>
        <v>3000</v>
      </c>
    </row>
    <row r="27">
      <c r="B27" s="4" t="n">
        <v>2030</v>
      </c>
      <c r="C27" s="162" t="n">
        <f t="shared" ref="C27:E27" si="7">ROUND(C10,2-(1+INT(LOG10(ABS(C10)))))</f>
        <v>1900</v>
      </c>
      <c r="D27" s="162" t="n">
        <f t="shared" si="7"/>
        <v>2400</v>
      </c>
      <c r="E27" s="162" t="n">
        <f t="shared" si="7"/>
        <v>3100</v>
      </c>
    </row>
    <row r="28">
      <c r="B28" s="4" t="n">
        <v>2031</v>
      </c>
      <c r="C28" s="162" t="n">
        <f t="shared" ref="C28:E28" si="8">ROUND(C11,2-(1+INT(LOG10(ABS(C11)))))</f>
        <v>2000</v>
      </c>
      <c r="D28" s="162" t="n">
        <f t="shared" si="8"/>
        <v>2500</v>
      </c>
      <c r="E28" s="162" t="n">
        <f t="shared" si="8"/>
        <v>3200</v>
      </c>
    </row>
    <row r="29">
      <c r="B29" s="4" t="n">
        <v>2032</v>
      </c>
      <c r="C29" s="162" t="n">
        <f t="shared" ref="C29:E29" si="9">ROUND(C12,2-(1+INT(LOG10(ABS(C12)))))</f>
        <v>2100</v>
      </c>
      <c r="D29" s="162" t="n">
        <f t="shared" si="9"/>
        <v>2500</v>
      </c>
      <c r="E29" s="162" t="n">
        <f t="shared" si="9"/>
        <v>3300</v>
      </c>
    </row>
    <row r="30">
      <c r="B30" s="4" t="n">
        <v>2033</v>
      </c>
      <c r="C30" s="162" t="n">
        <f t="shared" ref="C30:E30" si="10">ROUND(C13,2-(1+INT(LOG10(ABS(C13)))))</f>
        <v>2100</v>
      </c>
      <c r="D30" s="162" t="n">
        <f t="shared" si="10"/>
        <v>2600</v>
      </c>
      <c r="E30" s="162" t="n">
        <f t="shared" si="10"/>
        <v>3400</v>
      </c>
    </row>
    <row r="31">
      <c r="B31" s="4" t="n">
        <v>2034</v>
      </c>
      <c r="C31" s="162" t="n">
        <f t="shared" ref="C31:E31" si="11">ROUND(C14,2-(1+INT(LOG10(ABS(C14)))))</f>
        <v>2200</v>
      </c>
      <c r="D31" s="162" t="n">
        <f t="shared" si="11"/>
        <v>2700</v>
      </c>
      <c r="E31" s="162" t="n">
        <f t="shared" si="11"/>
        <v>3500</v>
      </c>
    </row>
    <row r="32" ht="15" customHeight="1">
      <c r="B32" s="5" t="n">
        <v>2035</v>
      </c>
      <c r="C32" s="164" t="n">
        <f t="shared" ref="C32:E32" si="12">ROUND(C15,2-(1+INT(LOG10(ABS(C15)))))</f>
        <v>2300</v>
      </c>
      <c r="D32" s="164" t="n">
        <f t="shared" si="12"/>
        <v>2800</v>
      </c>
      <c r="E32" s="164" t="n">
        <f t="shared" si="12"/>
        <v>3600</v>
      </c>
    </row>
    <row r="33" ht="15" customHeight="1">
      <c r="B33" s="103"/>
    </row>
  </sheetData>
  <mergeCells count="1">
    <mergeCell ref="C18:E18"/>
  </mergeCells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3" max="3" width="22.42578125" hidden="0" customWidth="1"/>
    <col min="4" max="4" width="22.85546875" hidden="0" customWidth="1"/>
    <col min="5" max="5" width="21.140625" hidden="0" customWidth="1"/>
    <col min="6" max="6" width="12.85546875" hidden="0" customWidth="1"/>
  </cols>
  <sheetData>
    <row r="2">
      <c r="B2" t="str">
        <f>cb_undisc!B2</f>
        <v>year</v>
      </c>
      <c r="C2" t="str">
        <f>cb_undisc!G2</f>
        <v>2.5%_NCEE_CH4_undisc</v>
      </c>
      <c r="D2" t="str">
        <f>cb_undisc!H2</f>
        <v>2.0%_NCEE_CH4_undisc</v>
      </c>
      <c r="E2" t="str">
        <f>cb_undisc!I2</f>
        <v>1.5%_NCEE_CH4_undisc</v>
      </c>
    </row>
    <row r="3">
      <c r="B3" t="str">
        <f>cb_undisc!B3</f>
        <v>2023</v>
      </c>
      <c r="C3" t="n">
        <f>cb_undisc!G3</f>
        <v>189.04615707456699</v>
      </c>
      <c r="D3" t="n">
        <f>cb_undisc!H3</f>
        <v>243.15202358115201</v>
      </c>
      <c r="E3" t="n">
        <f>cb_undisc!I3</f>
        <v>332.67971636183302</v>
      </c>
    </row>
    <row r="4">
      <c r="B4" t="str">
        <f>cb_undisc!B4</f>
        <v>2024</v>
      </c>
      <c r="C4" t="n">
        <f>cb_undisc!G4</f>
        <v>303.607097871272</v>
      </c>
      <c r="D4" t="n">
        <f>cb_undisc!H4</f>
        <v>388.47364885103798</v>
      </c>
      <c r="E4" t="n">
        <f>cb_undisc!I4</f>
        <v>527.92572792576902</v>
      </c>
    </row>
    <row r="5">
      <c r="B5" t="str">
        <f>cb_undisc!B5</f>
        <v>2025</v>
      </c>
      <c r="C5" t="n">
        <f>cb_undisc!G5</f>
        <v>433.23705771312302</v>
      </c>
      <c r="D5" t="n">
        <f>cb_undisc!H5</f>
        <v>551.76417727614705</v>
      </c>
      <c r="E5" t="n">
        <f>cb_undisc!I5</f>
        <v>745.76718676781002</v>
      </c>
    </row>
    <row r="6">
      <c r="B6" t="str">
        <f>cb_undisc!B6</f>
        <v>2026</v>
      </c>
      <c r="C6" t="n">
        <f>cb_undisc!G6</f>
        <v>5159.9865532962704</v>
      </c>
      <c r="D6" t="n">
        <f>cb_undisc!H6</f>
        <v>6542.6262815180899</v>
      </c>
      <c r="E6" t="n">
        <f>cb_undisc!I6</f>
        <v>8790.9728665995099</v>
      </c>
    </row>
    <row r="7">
      <c r="B7" t="str">
        <f>cb_undisc!B7</f>
        <v>2027</v>
      </c>
      <c r="C7" t="n">
        <f>cb_undisc!G7</f>
        <v>5374.5751003321802</v>
      </c>
      <c r="D7" t="n">
        <f>cb_undisc!H7</f>
        <v>6783.6864375422401</v>
      </c>
      <c r="E7" t="n">
        <f>cb_undisc!I7</f>
        <v>9071.9336090293691</v>
      </c>
    </row>
    <row r="8">
      <c r="B8" t="str">
        <f>cb_undisc!B8</f>
        <v>2028</v>
      </c>
      <c r="C8" t="n">
        <f>cb_undisc!G8</f>
        <v>5590.9985695632204</v>
      </c>
      <c r="D8" t="n">
        <f>cb_undisc!H8</f>
        <v>7034.0384238303805</v>
      </c>
      <c r="E8" t="n">
        <f>cb_undisc!I8</f>
        <v>9357.8948125203406</v>
      </c>
    </row>
    <row r="9">
      <c r="B9" t="str">
        <f>cb_undisc!B9</f>
        <v>2029</v>
      </c>
      <c r="C9" t="n">
        <f>cb_undisc!G9</f>
        <v>5810.5454561000897</v>
      </c>
      <c r="D9" t="n">
        <f>cb_undisc!H9</f>
        <v>7281.1735467662402</v>
      </c>
      <c r="E9" t="n">
        <f>cb_undisc!I9</f>
        <v>9643.5654796448398</v>
      </c>
    </row>
    <row r="10">
      <c r="B10" t="str">
        <f>cb_undisc!B10</f>
        <v>2030</v>
      </c>
      <c r="C10" t="n">
        <f>cb_undisc!G10</f>
        <v>6029.94667366047</v>
      </c>
      <c r="D10" t="n">
        <f>cb_undisc!H10</f>
        <v>7531.1652062401799</v>
      </c>
      <c r="E10" t="n">
        <f>cb_undisc!I10</f>
        <v>9931.8612312006298</v>
      </c>
    </row>
    <row r="11">
      <c r="B11" t="str">
        <f>cb_undisc!B11</f>
        <v>2031</v>
      </c>
      <c r="C11" t="n">
        <f>cb_undisc!G11</f>
        <v>6283.7973763473501</v>
      </c>
      <c r="D11" t="n">
        <f>cb_undisc!H11</f>
        <v>7815.5122213311197</v>
      </c>
      <c r="E11" t="n">
        <f>cb_undisc!I11</f>
        <v>10263.744965362601</v>
      </c>
    </row>
    <row r="12">
      <c r="B12" t="str">
        <f>cb_undisc!B12</f>
        <v>2032</v>
      </c>
      <c r="C12" t="n">
        <f>cb_undisc!G12</f>
        <v>6536.15568131281</v>
      </c>
      <c r="D12" t="n">
        <f>cb_undisc!H12</f>
        <v>8104.95880058895</v>
      </c>
      <c r="E12" t="n">
        <f>cb_undisc!I12</f>
        <v>10594.922869660501</v>
      </c>
    </row>
    <row r="13">
      <c r="B13" t="str">
        <f>cb_undisc!B13</f>
        <v>2033</v>
      </c>
      <c r="C13" t="n">
        <f>cb_undisc!G13</f>
        <v>6794.8350469945299</v>
      </c>
      <c r="D13" t="n">
        <f>cb_undisc!H13</f>
        <v>8398.2523112134495</v>
      </c>
      <c r="E13" t="n">
        <f>cb_undisc!I13</f>
        <v>10934.108691756101</v>
      </c>
    </row>
    <row r="14">
      <c r="B14" t="str">
        <f>cb_undisc!B14</f>
        <v>2034</v>
      </c>
      <c r="C14" t="n">
        <f>cb_undisc!G14</f>
        <v>7054.5829138914996</v>
      </c>
      <c r="D14" t="n">
        <f>cb_undisc!H14</f>
        <v>8692.7612281240199</v>
      </c>
      <c r="E14" t="n">
        <f>cb_undisc!I14</f>
        <v>11274.7070104789</v>
      </c>
    </row>
    <row r="15">
      <c r="B15" t="str">
        <f>cb_undisc!B15</f>
        <v>2035</v>
      </c>
      <c r="C15" t="n">
        <f>cb_undisc!G15</f>
        <v>7316.6176223073999</v>
      </c>
      <c r="D15" t="n">
        <f>cb_undisc!H15</f>
        <v>8989.9815316029508</v>
      </c>
      <c r="E15" t="n">
        <f>cb_undisc!I15</f>
        <v>11618.649600836599</v>
      </c>
    </row>
    <row r="18" ht="18.600000000000001" customHeight="1">
      <c r="B18" s="50" t="s">
        <v>240</v>
      </c>
      <c r="C18" s="168" t="s">
        <v>443</v>
      </c>
      <c r="D18" s="51"/>
      <c r="E18" s="51"/>
    </row>
    <row r="19" ht="15" customHeight="1">
      <c r="B19" s="8"/>
      <c r="C19" s="8"/>
      <c r="D19" s="8"/>
      <c r="E19" s="8"/>
    </row>
    <row r="20" ht="15" customHeight="1">
      <c r="B20" s="8" t="s">
        <v>63</v>
      </c>
      <c r="C20" s="166" t="n">
        <v>2.5000000000000001E-2</v>
      </c>
      <c r="D20" s="167" t="n">
        <v>0.02</v>
      </c>
      <c r="E20" s="166" t="n">
        <v>1.4999999999999999E-2</v>
      </c>
    </row>
    <row r="21">
      <c r="B21" s="4" t="n">
        <v>2023</v>
      </c>
      <c r="C21" s="95" t="n">
        <f>ROUND(C3,2-(1+INT(LOG10(ABS(C3)))))</f>
        <v>190</v>
      </c>
      <c r="D21" s="95" t="n">
        <f t="shared" ref="D21:E21" si="0">ROUND(D3,2-(1+INT(LOG10(ABS(D3)))))</f>
        <v>240</v>
      </c>
      <c r="E21" s="95" t="n">
        <f t="shared" si="0"/>
        <v>330</v>
      </c>
    </row>
    <row r="22">
      <c r="B22" s="4" t="n">
        <v>2024</v>
      </c>
      <c r="C22" s="95" t="n">
        <f t="shared" ref="C22:E33" si="1">ROUND(C4,2-(1+INT(LOG10(ABS(C4)))))</f>
        <v>300</v>
      </c>
      <c r="D22" s="95" t="n">
        <f t="shared" si="1"/>
        <v>390</v>
      </c>
      <c r="E22" s="95" t="n">
        <f t="shared" si="1"/>
        <v>530</v>
      </c>
    </row>
    <row r="23">
      <c r="B23" s="4" t="n">
        <v>2025</v>
      </c>
      <c r="C23" s="95" t="n">
        <f t="shared" si="1"/>
        <v>430</v>
      </c>
      <c r="D23" s="95" t="n">
        <f t="shared" si="1"/>
        <v>550</v>
      </c>
      <c r="E23" s="95" t="n">
        <f t="shared" si="1"/>
        <v>750</v>
      </c>
    </row>
    <row r="24">
      <c r="B24" s="4" t="n">
        <v>2026</v>
      </c>
      <c r="C24" s="95" t="n">
        <f t="shared" si="1"/>
        <v>5200</v>
      </c>
      <c r="D24" s="95" t="n">
        <f t="shared" si="1"/>
        <v>6500</v>
      </c>
      <c r="E24" s="95" t="n">
        <f t="shared" si="1"/>
        <v>8800</v>
      </c>
    </row>
    <row r="25">
      <c r="B25" s="4" t="n">
        <v>2027</v>
      </c>
      <c r="C25" s="95" t="n">
        <f t="shared" si="1"/>
        <v>5400</v>
      </c>
      <c r="D25" s="95" t="n">
        <f t="shared" si="1"/>
        <v>6800</v>
      </c>
      <c r="E25" s="95" t="n">
        <f t="shared" si="1"/>
        <v>9100</v>
      </c>
    </row>
    <row r="26">
      <c r="B26" s="4" t="n">
        <v>2028</v>
      </c>
      <c r="C26" s="95" t="n">
        <f t="shared" si="1"/>
        <v>5600</v>
      </c>
      <c r="D26" s="95" t="n">
        <f t="shared" si="1"/>
        <v>7000</v>
      </c>
      <c r="E26" s="95" t="n">
        <f t="shared" si="1"/>
        <v>9400</v>
      </c>
    </row>
    <row r="27">
      <c r="B27" s="4" t="n">
        <v>2029</v>
      </c>
      <c r="C27" s="95" t="n">
        <f t="shared" si="1"/>
        <v>5800</v>
      </c>
      <c r="D27" s="95" t="n">
        <f t="shared" si="1"/>
        <v>7300</v>
      </c>
      <c r="E27" s="95" t="n">
        <f t="shared" si="1"/>
        <v>9600</v>
      </c>
    </row>
    <row r="28">
      <c r="B28" s="4" t="n">
        <v>2030</v>
      </c>
      <c r="C28" s="95" t="n">
        <f t="shared" si="1"/>
        <v>6000</v>
      </c>
      <c r="D28" s="95" t="n">
        <f t="shared" si="1"/>
        <v>7500</v>
      </c>
      <c r="E28" s="95" t="n">
        <f t="shared" si="1"/>
        <v>9900</v>
      </c>
    </row>
    <row r="29">
      <c r="B29" s="4" t="n">
        <v>2031</v>
      </c>
      <c r="C29" s="95" t="n">
        <f t="shared" si="1"/>
        <v>6300</v>
      </c>
      <c r="D29" s="95" t="n">
        <f t="shared" si="1"/>
        <v>7800</v>
      </c>
      <c r="E29" s="95" t="n">
        <f t="shared" si="1"/>
        <v>10000</v>
      </c>
    </row>
    <row r="30">
      <c r="B30" s="4" t="n">
        <v>2032</v>
      </c>
      <c r="C30" s="95" t="n">
        <f t="shared" si="1"/>
        <v>6500</v>
      </c>
      <c r="D30" s="95" t="n">
        <f t="shared" si="1"/>
        <v>8100</v>
      </c>
      <c r="E30" s="95" t="n">
        <f t="shared" si="1"/>
        <v>11000</v>
      </c>
    </row>
    <row r="31">
      <c r="B31" s="4" t="n">
        <v>2033</v>
      </c>
      <c r="C31" s="95" t="n">
        <f t="shared" si="1"/>
        <v>6800</v>
      </c>
      <c r="D31" s="95" t="n">
        <f t="shared" si="1"/>
        <v>8400</v>
      </c>
      <c r="E31" s="95" t="n">
        <f t="shared" si="1"/>
        <v>11000</v>
      </c>
    </row>
    <row r="32">
      <c r="B32" s="4" t="n">
        <v>2034</v>
      </c>
      <c r="C32" s="95" t="n">
        <f t="shared" si="1"/>
        <v>7100</v>
      </c>
      <c r="D32" s="95" t="n">
        <f t="shared" si="1"/>
        <v>8700</v>
      </c>
      <c r="E32" s="95" t="n">
        <f t="shared" si="1"/>
        <v>11000</v>
      </c>
    </row>
    <row r="33" ht="15" customHeight="1">
      <c r="B33" s="5" t="n">
        <v>2035</v>
      </c>
      <c r="C33" s="98" t="n">
        <f t="shared" si="1"/>
        <v>7300</v>
      </c>
      <c r="D33" s="98" t="n">
        <f t="shared" si="1"/>
        <v>9000</v>
      </c>
      <c r="E33" s="98" t="n">
        <f t="shared" si="1"/>
        <v>12000</v>
      </c>
    </row>
    <row r="34" ht="15" customHeight="1">
      <c r="B34" s="103"/>
    </row>
  </sheetData>
  <mergeCells count="1">
    <mergeCell ref="C19:E19"/>
  </mergeCell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3" max="3" width="19.28515625" hidden="0" customWidth="1"/>
    <col min="4" max="4" width="19.28515625" hidden="0" customWidth="1"/>
    <col min="5" max="5" width="19.28515625" hidden="0" customWidth="1"/>
  </cols>
  <sheetData>
    <row r="2">
      <c r="B2" t="str">
        <f>cb_disc!B2</f>
        <v>year</v>
      </c>
      <c r="C2" t="str">
        <f>cb_disc!G2</f>
        <v>2.5%_NCEE_CH4_disc</v>
      </c>
      <c r="D2" t="str">
        <f>cb_disc!H2</f>
        <v>2.0%_NCEE_CH4_disc</v>
      </c>
      <c r="E2" t="str">
        <f>cb_disc!I2</f>
        <v>1.5%_NCEE_CH4_disc</v>
      </c>
    </row>
    <row r="3">
      <c r="B3" t="str">
        <f>cb_disc!B3</f>
        <v>2023</v>
      </c>
      <c r="C3" t="n">
        <f>cb_disc!G3</f>
        <v>179.936853848487</v>
      </c>
      <c r="D3" t="n">
        <f>cb_disc!H3</f>
        <v>233.710134161046</v>
      </c>
      <c r="E3" t="n">
        <f>cb_disc!I3</f>
        <v>322.91947522321101</v>
      </c>
    </row>
    <row r="4">
      <c r="B4" t="str">
        <f>cb_disc!B4</f>
        <v>2024</v>
      </c>
      <c r="C4" t="n">
        <f>cb_disc!G4</f>
        <v>281.92937223431801</v>
      </c>
      <c r="D4" t="n">
        <f>cb_disc!H4</f>
        <v>366.06739569531902</v>
      </c>
      <c r="E4" t="n">
        <f>cb_disc!I4</f>
        <v>504.864345048514</v>
      </c>
    </row>
    <row r="5">
      <c r="B5" t="str">
        <f>cb_disc!B5</f>
        <v>2025</v>
      </c>
      <c r="C5" t="n">
        <f>cb_disc!G5</f>
        <v>392.49139178635301</v>
      </c>
      <c r="D5" t="n">
        <f>cb_disc!H5</f>
        <v>509.74481142185101</v>
      </c>
      <c r="E5" t="n">
        <f>cb_disc!I5</f>
        <v>702.65008283792497</v>
      </c>
    </row>
    <row r="6">
      <c r="B6" t="str">
        <f>cb_disc!B6</f>
        <v>2026</v>
      </c>
      <c r="C6" t="n">
        <f>cb_disc!G6</f>
        <v>4560.67623913837</v>
      </c>
      <c r="D6" t="n">
        <f>cb_disc!H6</f>
        <v>5925.8582003738702</v>
      </c>
      <c r="E6" t="n">
        <f>cb_disc!I6</f>
        <v>8160.3113337818104</v>
      </c>
    </row>
    <row r="7">
      <c r="B7" t="str">
        <f>cb_disc!B7</f>
        <v>2027</v>
      </c>
      <c r="C7" t="n">
        <f>cb_disc!G7</f>
        <v>4634.4792648858001</v>
      </c>
      <c r="D7" t="n">
        <f>cb_disc!H7</f>
        <v>6023.7194222621001</v>
      </c>
      <c r="E7" t="n">
        <f>cb_disc!I7</f>
        <v>8296.6660531782909</v>
      </c>
    </row>
    <row r="8">
      <c r="B8" t="str">
        <f>cb_disc!B8</f>
        <v>2028</v>
      </c>
      <c r="C8" t="n">
        <f>cb_disc!G8</f>
        <v>4703.5127259746696</v>
      </c>
      <c r="D8" t="n">
        <f>cb_disc!H8</f>
        <v>6123.5537466269097</v>
      </c>
      <c r="E8" t="n">
        <f>cb_disc!I8</f>
        <v>8431.7139302403702</v>
      </c>
    </row>
    <row r="9">
      <c r="B9" t="str">
        <f>cb_disc!B9</f>
        <v>2029</v>
      </c>
      <c r="C9" t="n">
        <f>cb_disc!G9</f>
        <v>4768.9852576477397</v>
      </c>
      <c r="D9" t="n">
        <f>cb_disc!H9</f>
        <v>6214.4115131291401</v>
      </c>
      <c r="E9" t="n">
        <f>cb_disc!I9</f>
        <v>8560.7003493839293</v>
      </c>
    </row>
    <row r="10">
      <c r="B10" t="str">
        <f>cb_disc!B10</f>
        <v>2030</v>
      </c>
      <c r="C10" t="n">
        <f>cb_disc!G10</f>
        <v>4828.3493215537901</v>
      </c>
      <c r="D10" t="n">
        <f>cb_disc!H10</f>
        <v>6301.7421444784104</v>
      </c>
      <c r="E10" t="n">
        <f>cb_disc!I10</f>
        <v>8686.3287635315992</v>
      </c>
    </row>
    <row r="11">
      <c r="B11" t="str">
        <f>cb_disc!B11</f>
        <v>2031</v>
      </c>
      <c r="C11" t="n">
        <f>cb_disc!G11</f>
        <v>4908.8924671708701</v>
      </c>
      <c r="D11" t="n">
        <f>cb_disc!H11</f>
        <v>6411.44216342248</v>
      </c>
      <c r="E11" t="n">
        <f>cb_disc!I11</f>
        <v>8843.9327114064599</v>
      </c>
    </row>
    <row r="12">
      <c r="B12" t="str">
        <f>cb_disc!B12</f>
        <v>2032</v>
      </c>
      <c r="C12" t="n">
        <f>cb_disc!G12</f>
        <v>4981.4969479727797</v>
      </c>
      <c r="D12" t="n">
        <f>cb_disc!H12</f>
        <v>6518.5187966875701</v>
      </c>
      <c r="E12" t="n">
        <f>cb_disc!I12</f>
        <v>8994.38212749796</v>
      </c>
    </row>
    <row r="13">
      <c r="B13" t="str">
        <f>cb_disc!B13</f>
        <v>2033</v>
      </c>
      <c r="C13" t="n">
        <f>cb_disc!G13</f>
        <v>5052.3395871048997</v>
      </c>
      <c r="D13" t="n">
        <f>cb_disc!H13</f>
        <v>6621.9646342046799</v>
      </c>
      <c r="E13" t="n">
        <f>cb_disc!I13</f>
        <v>9145.1509794219601</v>
      </c>
    </row>
    <row r="14">
      <c r="B14" t="str">
        <f>cb_disc!B14</f>
        <v>2034</v>
      </c>
      <c r="C14" t="n">
        <f>cb_disc!G14</f>
        <v>5117.5381874771701</v>
      </c>
      <c r="D14" t="n">
        <f>cb_disc!H14</f>
        <v>6719.7871620947099</v>
      </c>
      <c r="E14" t="n">
        <f>cb_disc!I14</f>
        <v>9290.66318139943</v>
      </c>
    </row>
    <row r="15">
      <c r="B15" t="str">
        <f>cb_disc!B15</f>
        <v>2035</v>
      </c>
      <c r="C15" t="n">
        <f>cb_disc!G15</f>
        <v>5178.1692722835296</v>
      </c>
      <c r="D15" t="n">
        <f>cb_disc!H15</f>
        <v>6813.2824743118499</v>
      </c>
      <c r="E15" t="n">
        <f>cb_disc!I15</f>
        <v>9432.5922837726794</v>
      </c>
    </row>
    <row r="16">
      <c r="B16" t="str">
        <f>cb_disc!B16</f>
        <v>PV</v>
      </c>
      <c r="C16" t="n">
        <f>cb_disc!G16</f>
        <v>49588.796889078803</v>
      </c>
      <c r="D16" t="n">
        <f>cb_disc!H16</f>
        <v>64783.802598869901</v>
      </c>
      <c r="E16" t="n">
        <f>cb_disc!I16</f>
        <v>89372.875616724094</v>
      </c>
    </row>
    <row r="17">
      <c r="B17" t="str">
        <f>cb_disc!B17</f>
        <v>EAV</v>
      </c>
      <c r="C17" t="n">
        <f>cb_disc!G17</f>
        <v>4514.9742089551701</v>
      </c>
      <c r="D17" t="n">
        <f>cb_disc!H17</f>
        <v>5708.6419648207502</v>
      </c>
      <c r="E17" t="n">
        <f>cb_disc!I17</f>
        <v>7618.1758625517105</v>
      </c>
    </row>
    <row r="20" ht="18.600000000000001" customHeight="1">
      <c r="B20" s="1" t="s">
        <v>241</v>
      </c>
      <c r="C20" s="163" t="s">
        <v>444</v>
      </c>
    </row>
    <row r="21" ht="15.6" customHeight="1">
      <c r="B21" s="13"/>
      <c r="C21" s="13" t="s">
        <v>124</v>
      </c>
      <c r="D21" s="13"/>
      <c r="E21" s="99"/>
    </row>
    <row r="22" ht="15" customHeight="1">
      <c r="B22" s="8"/>
      <c r="C22" s="102"/>
      <c r="D22" s="102"/>
      <c r="E22" s="102"/>
    </row>
    <row r="23" ht="15" customHeight="1">
      <c r="B23" s="8" t="s">
        <v>63</v>
      </c>
      <c r="C23" s="166" t="n">
        <v>2.5000000000000001E-2</v>
      </c>
      <c r="D23" s="167" t="n">
        <v>0.02</v>
      </c>
      <c r="E23" s="166" t="n">
        <v>1.4999999999999999E-2</v>
      </c>
    </row>
    <row r="24">
      <c r="B24" s="4" t="n">
        <v>2023</v>
      </c>
      <c r="C24" s="95" t="n">
        <f>ROUND(C3,2-(1+INT(LOG10(ABS(C3)))))</f>
        <v>180</v>
      </c>
      <c r="D24" s="95" t="n">
        <f t="shared" ref="D24:E24" si="0">ROUND(D3,2-(1+INT(LOG10(ABS(D3)))))</f>
        <v>230</v>
      </c>
      <c r="E24" s="95" t="n">
        <f t="shared" si="0"/>
        <v>320</v>
      </c>
    </row>
    <row r="25">
      <c r="B25" s="4" t="n">
        <v>2024</v>
      </c>
      <c r="C25" s="95" t="n">
        <f t="shared" ref="C25:E25" si="1">ROUND(C4,2-(1+INT(LOG10(ABS(C4)))))</f>
        <v>280</v>
      </c>
      <c r="D25" s="95" t="n">
        <f t="shared" si="1"/>
        <v>370</v>
      </c>
      <c r="E25" s="95" t="n">
        <f t="shared" si="1"/>
        <v>500</v>
      </c>
    </row>
    <row r="26">
      <c r="B26" s="4" t="n">
        <v>2025</v>
      </c>
      <c r="C26" s="95" t="n">
        <f t="shared" ref="C26:E26" si="2">ROUND(C5,2-(1+INT(LOG10(ABS(C5)))))</f>
        <v>390</v>
      </c>
      <c r="D26" s="95" t="n">
        <f t="shared" si="2"/>
        <v>510</v>
      </c>
      <c r="E26" s="95" t="n">
        <f t="shared" si="2"/>
        <v>700</v>
      </c>
    </row>
    <row r="27">
      <c r="B27" s="4" t="n">
        <v>2026</v>
      </c>
      <c r="C27" s="95" t="n">
        <f t="shared" ref="C27:E27" si="3">ROUND(C6,2-(1+INT(LOG10(ABS(C6)))))</f>
        <v>4600</v>
      </c>
      <c r="D27" s="95" t="n">
        <f t="shared" si="3"/>
        <v>5900</v>
      </c>
      <c r="E27" s="95" t="n">
        <f t="shared" si="3"/>
        <v>8200</v>
      </c>
    </row>
    <row r="28">
      <c r="B28" s="4" t="n">
        <v>2027</v>
      </c>
      <c r="C28" s="95" t="n">
        <f t="shared" ref="C28:E28" si="4">ROUND(C7,2-(1+INT(LOG10(ABS(C7)))))</f>
        <v>4600</v>
      </c>
      <c r="D28" s="95" t="n">
        <f t="shared" si="4"/>
        <v>6000</v>
      </c>
      <c r="E28" s="95" t="n">
        <f t="shared" si="4"/>
        <v>8300</v>
      </c>
    </row>
    <row r="29">
      <c r="B29" s="4" t="n">
        <v>2028</v>
      </c>
      <c r="C29" s="95" t="n">
        <f t="shared" ref="C29:E29" si="5">ROUND(C8,2-(1+INT(LOG10(ABS(C8)))))</f>
        <v>4700</v>
      </c>
      <c r="D29" s="95" t="n">
        <f t="shared" si="5"/>
        <v>6100</v>
      </c>
      <c r="E29" s="95" t="n">
        <f t="shared" si="5"/>
        <v>8400</v>
      </c>
    </row>
    <row r="30">
      <c r="B30" s="4" t="n">
        <v>2029</v>
      </c>
      <c r="C30" s="95" t="n">
        <f t="shared" ref="C30:E30" si="6">ROUND(C9,2-(1+INT(LOG10(ABS(C9)))))</f>
        <v>4800</v>
      </c>
      <c r="D30" s="95" t="n">
        <f t="shared" si="6"/>
        <v>6200</v>
      </c>
      <c r="E30" s="95" t="n">
        <f t="shared" si="6"/>
        <v>8600</v>
      </c>
    </row>
    <row r="31">
      <c r="B31" s="4" t="n">
        <v>2030</v>
      </c>
      <c r="C31" s="95" t="n">
        <f t="shared" ref="C31:E31" si="7">ROUND(C10,2-(1+INT(LOG10(ABS(C10)))))</f>
        <v>4800</v>
      </c>
      <c r="D31" s="95" t="n">
        <f t="shared" si="7"/>
        <v>6300</v>
      </c>
      <c r="E31" s="95" t="n">
        <f t="shared" si="7"/>
        <v>8700</v>
      </c>
    </row>
    <row r="32">
      <c r="B32" s="4" t="n">
        <v>2031</v>
      </c>
      <c r="C32" s="95" t="n">
        <f t="shared" ref="C32:E32" si="8">ROUND(C11,2-(1+INT(LOG10(ABS(C11)))))</f>
        <v>4900</v>
      </c>
      <c r="D32" s="95" t="n">
        <f t="shared" si="8"/>
        <v>6400</v>
      </c>
      <c r="E32" s="95" t="n">
        <f t="shared" si="8"/>
        <v>8800</v>
      </c>
    </row>
    <row r="33">
      <c r="B33" s="4" t="n">
        <v>2032</v>
      </c>
      <c r="C33" s="95" t="n">
        <f t="shared" ref="C33:E33" si="9">ROUND(C12,2-(1+INT(LOG10(ABS(C12)))))</f>
        <v>5000</v>
      </c>
      <c r="D33" s="95" t="n">
        <f t="shared" si="9"/>
        <v>6500</v>
      </c>
      <c r="E33" s="95" t="n">
        <f t="shared" si="9"/>
        <v>9000</v>
      </c>
    </row>
    <row r="34">
      <c r="B34" s="4" t="n">
        <v>2033</v>
      </c>
      <c r="C34" s="95" t="n">
        <f t="shared" ref="C34:E34" si="10">ROUND(C13,2-(1+INT(LOG10(ABS(C13)))))</f>
        <v>5100</v>
      </c>
      <c r="D34" s="95" t="n">
        <f t="shared" si="10"/>
        <v>6600</v>
      </c>
      <c r="E34" s="95" t="n">
        <f t="shared" si="10"/>
        <v>9100</v>
      </c>
    </row>
    <row r="35">
      <c r="B35" s="4" t="n">
        <v>2034</v>
      </c>
      <c r="C35" s="95" t="n">
        <f t="shared" ref="C35:E35" si="11">ROUND(C14,2-(1+INT(LOG10(ABS(C14)))))</f>
        <v>5100</v>
      </c>
      <c r="D35" s="95" t="n">
        <f t="shared" si="11"/>
        <v>6700</v>
      </c>
      <c r="E35" s="95" t="n">
        <f t="shared" si="11"/>
        <v>9300</v>
      </c>
    </row>
    <row r="36" ht="15" customHeight="1">
      <c r="B36" s="4" t="n">
        <v>2035</v>
      </c>
      <c r="C36" s="95" t="n">
        <f t="shared" ref="C36:E36" si="12">ROUND(C15,2-(1+INT(LOG10(ABS(C15)))))</f>
        <v>5200</v>
      </c>
      <c r="D36" s="95" t="n">
        <f t="shared" si="12"/>
        <v>6800</v>
      </c>
      <c r="E36" s="95" t="n">
        <f t="shared" si="12"/>
        <v>9400</v>
      </c>
    </row>
    <row r="37">
      <c r="B37" s="100" t="s">
        <v>24</v>
      </c>
      <c r="C37" s="101" t="n">
        <f t="shared" ref="C37:E37" si="13">ROUND(C16,2-(1+INT(LOG10(ABS(C16)))))</f>
        <v>50000</v>
      </c>
      <c r="D37" s="101" t="n">
        <f t="shared" si="13"/>
        <v>65000</v>
      </c>
      <c r="E37" s="101" t="n">
        <f t="shared" si="13"/>
        <v>89000</v>
      </c>
    </row>
    <row r="38" ht="15" customHeight="1">
      <c r="B38" s="5" t="s">
        <v>25</v>
      </c>
      <c r="C38" s="98" t="n">
        <f t="shared" ref="C38:E38" si="14">ROUND(C17,2-(1+INT(LOG10(ABS(C17)))))</f>
        <v>4500</v>
      </c>
      <c r="D38" s="98" t="n">
        <f t="shared" si="14"/>
        <v>5700</v>
      </c>
      <c r="E38" s="98" t="n">
        <f t="shared" si="14"/>
        <v>7600</v>
      </c>
    </row>
    <row r="39" ht="15" customHeight="1"/>
  </sheetData>
  <mergeCells count="2">
    <mergeCell ref="C21:E21"/>
    <mergeCell ref="C22:E22"/>
  </mergeCells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4" max="4" width="21.28515625" hidden="0" customWidth="1"/>
  </cols>
  <sheetData>
    <row r="2">
      <c r="B2" t="s">
        <v>481</v>
      </c>
      <c r="C2" t="s">
        <v>482</v>
      </c>
      <c r="D2" t="s">
        <v>483</v>
      </c>
      <c r="E2" t="s">
        <v>484</v>
      </c>
      <c r="F2" t="s">
        <v>485</v>
      </c>
      <c r="G2" t="s">
        <v>537</v>
      </c>
      <c r="H2" t="s">
        <v>538</v>
      </c>
      <c r="I2" t="s">
        <v>539</v>
      </c>
      <c r="J2" t="s">
        <v>540</v>
      </c>
      <c r="K2" t="s">
        <v>548</v>
      </c>
      <c r="L2" t="s">
        <v>545</v>
      </c>
      <c r="M2" t="s">
        <v>549</v>
      </c>
      <c r="N2" t="s">
        <v>546</v>
      </c>
      <c r="O2" t="s">
        <v>547</v>
      </c>
    </row>
    <row r="3">
      <c r="B3" s="52" t="s">
        <v>486</v>
      </c>
      <c r="C3" t="s">
        <v>487</v>
      </c>
      <c r="D3" t="s">
        <v>488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B4" s="52" t="s">
        <v>486</v>
      </c>
      <c r="C4" t="s">
        <v>487</v>
      </c>
      <c r="D4" t="s">
        <v>489</v>
      </c>
      <c r="E4" t="s">
        <v>490</v>
      </c>
      <c r="F4" t="n">
        <v>4.38254485793769</v>
      </c>
      <c r="G4" t="n">
        <v>-69.206355741575</v>
      </c>
      <c r="H4" t="n">
        <v>-2.91812495645548</v>
      </c>
      <c r="I4" t="n">
        <v>-0.0956748248093075</v>
      </c>
      <c r="J4" t="n">
        <v>-1569.5737459942</v>
      </c>
      <c r="K4" t="n">
        <v>-126511.54769821</v>
      </c>
      <c r="L4" t="n">
        <v>11819.9686616197</v>
      </c>
      <c r="M4" t="n">
        <v>-138331.516359829</v>
      </c>
      <c r="N4" t="n">
        <v>-56890.9104371036</v>
      </c>
      <c r="O4" t="n">
        <v>-113544.105031007</v>
      </c>
    </row>
    <row r="5">
      <c r="B5" s="106" t="s">
        <v>486</v>
      </c>
      <c r="C5" t="s">
        <v>487</v>
      </c>
      <c r="D5" t="s">
        <v>489</v>
      </c>
      <c r="E5" t="s">
        <v>491</v>
      </c>
      <c r="F5" t="n">
        <v>18.1895003395821</v>
      </c>
      <c r="G5" t="n">
        <v>-137.810881415854</v>
      </c>
      <c r="H5" t="n">
        <v>-5.96346616099432</v>
      </c>
      <c r="I5" t="n">
        <v>-0.196406756080097</v>
      </c>
      <c r="J5" t="n">
        <v>-3125.4982156603</v>
      </c>
      <c r="K5" t="n">
        <v>-243586.404561519</v>
      </c>
      <c r="L5" t="n">
        <v>23537.1488949391</v>
      </c>
      <c r="M5" t="n">
        <v>-267123.553456458</v>
      </c>
      <c r="N5" t="n">
        <v>-115275.958402101</v>
      </c>
      <c r="O5" t="n">
        <v>-217310.952648356</v>
      </c>
    </row>
    <row r="6">
      <c r="B6" s="106" t="s">
        <v>486</v>
      </c>
      <c r="C6" t="s">
        <v>487</v>
      </c>
      <c r="D6" t="s">
        <v>492</v>
      </c>
      <c r="E6" t="s">
        <v>493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B7" s="106" t="s">
        <v>486</v>
      </c>
      <c r="C7" t="s">
        <v>487</v>
      </c>
      <c r="D7" t="s">
        <v>492</v>
      </c>
      <c r="E7" t="s">
        <v>494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B8" s="106" t="s">
        <v>486</v>
      </c>
      <c r="C8" t="s">
        <v>487</v>
      </c>
      <c r="D8" t="s">
        <v>495</v>
      </c>
      <c r="E8" t="s">
        <v>496</v>
      </c>
      <c r="F8" t="n">
        <v>3852.72083793317</v>
      </c>
      <c r="G8" t="n">
        <v>-515.934151333164</v>
      </c>
      <c r="H8" t="n">
        <v>-143.416642484393</v>
      </c>
      <c r="I8" t="n">
        <v>-5.4025049223871</v>
      </c>
      <c r="J8" t="n">
        <v>-11701.1897233574</v>
      </c>
      <c r="K8" t="n">
        <v>2943408.60174606</v>
      </c>
      <c r="L8" t="n">
        <v>92476.0652005351</v>
      </c>
      <c r="M8" t="n">
        <v>2850932.53654553</v>
      </c>
      <c r="N8" t="n">
        <v>534256.544767142</v>
      </c>
      <c r="O8" t="n">
        <v>2859791.08011224</v>
      </c>
    </row>
    <row r="9">
      <c r="B9" s="106" t="s">
        <v>486</v>
      </c>
      <c r="C9" t="s">
        <v>487</v>
      </c>
      <c r="D9" t="s">
        <v>495</v>
      </c>
      <c r="E9" t="s">
        <v>497</v>
      </c>
      <c r="F9" t="n">
        <v>730.482008505713</v>
      </c>
      <c r="G9" t="n">
        <v>-274.909333375399</v>
      </c>
      <c r="H9" t="n">
        <v>-76.4178402969546</v>
      </c>
      <c r="I9" t="n">
        <v>-2.87866004398628</v>
      </c>
      <c r="J9" t="n">
        <v>-6234.83880304337</v>
      </c>
      <c r="K9" t="n">
        <v>1203487.0001827</v>
      </c>
      <c r="L9" t="n">
        <v>49274.7637886883</v>
      </c>
      <c r="M9" t="n">
        <v>1154212.23639401</v>
      </c>
      <c r="N9" t="n">
        <v>410964.055614215</v>
      </c>
      <c r="O9" t="n">
        <v>1139166.22368005</v>
      </c>
    </row>
    <row r="10">
      <c r="B10" s="106" t="s">
        <v>486</v>
      </c>
      <c r="C10" t="s">
        <v>487</v>
      </c>
      <c r="D10" t="s">
        <v>495</v>
      </c>
      <c r="E10" t="s">
        <v>498</v>
      </c>
      <c r="F10" t="n">
        <v>273.413973188405</v>
      </c>
      <c r="G10" t="n">
        <v>53.8916926627718</v>
      </c>
      <c r="H10" t="n">
        <v>14.9805272621013</v>
      </c>
      <c r="I10" t="n">
        <v>0.564316461963355</v>
      </c>
      <c r="J10" t="n">
        <v>1222.24302991091</v>
      </c>
      <c r="K10" t="n">
        <v>-339518.80354442</v>
      </c>
      <c r="L10" t="n">
        <v>-9659.54990878567</v>
      </c>
      <c r="M10" t="n">
        <v>-329859.253635635</v>
      </c>
      <c r="N10" t="n">
        <v>-222730.25996369</v>
      </c>
      <c r="O10" t="n">
        <v>-304658.86123124</v>
      </c>
    </row>
    <row r="11">
      <c r="B11" s="106" t="s">
        <v>486</v>
      </c>
      <c r="C11" t="s">
        <v>487</v>
      </c>
      <c r="D11" t="s">
        <v>495</v>
      </c>
      <c r="E11" t="s">
        <v>499</v>
      </c>
      <c r="F11" t="n">
        <v>1312.09914342134</v>
      </c>
      <c r="G11" t="n">
        <v>-276.753510984483</v>
      </c>
      <c r="H11" t="n">
        <v>-76.9304750201188</v>
      </c>
      <c r="I11" t="n">
        <v>-2.89797099400788</v>
      </c>
      <c r="J11" t="n">
        <v>-6276.66404766363</v>
      </c>
      <c r="K11" t="n">
        <v>2122908.84505768</v>
      </c>
      <c r="L11" t="n">
        <v>49605.3142831231</v>
      </c>
      <c r="M11" t="n">
        <v>2073303.53077456</v>
      </c>
      <c r="N11" t="n">
        <v>15745.1897210561</v>
      </c>
      <c r="O11" t="n">
        <v>2120444.53506462</v>
      </c>
    </row>
    <row r="12">
      <c r="B12" s="106" t="s">
        <v>486</v>
      </c>
      <c r="C12" t="s">
        <v>487</v>
      </c>
      <c r="D12" t="s">
        <v>495</v>
      </c>
      <c r="E12" t="s">
        <v>500</v>
      </c>
      <c r="F12" t="n">
        <v>942.913031358263</v>
      </c>
      <c r="G12" t="n">
        <v>-140.27525904671</v>
      </c>
      <c r="H12" t="n">
        <v>-38.9929734717573</v>
      </c>
      <c r="I12" t="n">
        <v>-1.4688653106811</v>
      </c>
      <c r="J12" t="n">
        <v>-3181.38936016806</v>
      </c>
      <c r="K12" t="n">
        <v>1525584.72766857</v>
      </c>
      <c r="L12" t="n">
        <v>25142.9450213866</v>
      </c>
      <c r="M12" t="n">
        <v>1500441.78264718</v>
      </c>
      <c r="N12" t="n">
        <v>11314.9563762992</v>
      </c>
      <c r="O12" t="n">
        <v>1523813.80203584</v>
      </c>
    </row>
    <row r="13">
      <c r="B13" s="106" t="s">
        <v>486</v>
      </c>
      <c r="C13" t="s">
        <v>487</v>
      </c>
      <c r="D13" t="s">
        <v>495</v>
      </c>
      <c r="E13" t="s">
        <v>501</v>
      </c>
      <c r="F13" t="n">
        <v>6874.16005912171</v>
      </c>
      <c r="G13" t="n">
        <v>-1719.31466132578</v>
      </c>
      <c r="H13" t="n">
        <v>-477.925982345579</v>
      </c>
      <c r="I13" t="n">
        <v>-18.0034717549579</v>
      </c>
      <c r="J13" t="n">
        <v>-38993.4006003253</v>
      </c>
      <c r="K13" t="n">
        <v>11122036.9779371</v>
      </c>
      <c r="L13" t="n">
        <v>308170.052922756</v>
      </c>
      <c r="M13" t="n">
        <v>10813866.9250143</v>
      </c>
      <c r="N13" t="n">
        <v>82489.9207094605</v>
      </c>
      <c r="O13" t="n">
        <v>11109126.3214424</v>
      </c>
    </row>
    <row r="14">
      <c r="B14" s="106" t="s">
        <v>486</v>
      </c>
      <c r="C14" t="s">
        <v>502</v>
      </c>
      <c r="D14" t="s">
        <v>503</v>
      </c>
      <c r="E14"/>
      <c r="F14" t="n">
        <v>2002.33663779669</v>
      </c>
      <c r="G14" t="n">
        <v>-9015.17170628661</v>
      </c>
      <c r="H14" t="n">
        <v>-2505.98967910815</v>
      </c>
      <c r="I14" t="n">
        <v>-94.4114468558054</v>
      </c>
      <c r="J14" t="n">
        <v>-204460.655010574</v>
      </c>
      <c r="K14" t="n">
        <v>1195394.97276463</v>
      </c>
      <c r="L14" t="n">
        <v>1615879.86441748</v>
      </c>
      <c r="M14" t="n">
        <v>-420484.891652852</v>
      </c>
      <c r="N14" t="n">
        <v>0</v>
      </c>
      <c r="O14" t="n">
        <v>1195394.97276463</v>
      </c>
    </row>
    <row r="15">
      <c r="B15" s="106" t="s">
        <v>486</v>
      </c>
      <c r="C15" t="s">
        <v>502</v>
      </c>
      <c r="D15" t="s">
        <v>504</v>
      </c>
      <c r="E15"/>
      <c r="F15" t="n">
        <v>84.009997948506</v>
      </c>
      <c r="G15" t="n">
        <v>-241.453902053404</v>
      </c>
      <c r="H15" t="n">
        <v>-67.1180767532443</v>
      </c>
      <c r="I15" t="n">
        <v>-2.52862762735238</v>
      </c>
      <c r="J15" t="n">
        <v>-5476.08238390757</v>
      </c>
      <c r="K15" t="n">
        <v>50153.9687752581</v>
      </c>
      <c r="L15" t="n">
        <v>41238.6626187069</v>
      </c>
      <c r="M15" t="n">
        <v>8915.30615655122</v>
      </c>
      <c r="N15" t="n">
        <v>0</v>
      </c>
      <c r="O15" t="n">
        <v>50153.9687752581</v>
      </c>
    </row>
    <row r="16">
      <c r="B16" s="106" t="s">
        <v>486</v>
      </c>
      <c r="C16" t="s">
        <v>502</v>
      </c>
      <c r="D16" t="s">
        <v>505</v>
      </c>
      <c r="E16" t="s">
        <v>506</v>
      </c>
      <c r="F16" t="n">
        <v>572.446156631481</v>
      </c>
      <c r="G16" t="n">
        <v>-1874.84747873358</v>
      </c>
      <c r="H16" t="n">
        <v>-51.8858205082799</v>
      </c>
      <c r="I16" t="n">
        <v>-1.54109680743802</v>
      </c>
      <c r="J16" t="n">
        <v>-42520.8255633644</v>
      </c>
      <c r="K16" t="n">
        <v>341750.355508994</v>
      </c>
      <c r="L16" t="n">
        <v>300197.840481291</v>
      </c>
      <c r="M16" t="n">
        <v>41552.5150277029</v>
      </c>
      <c r="N16" t="n">
        <v>0</v>
      </c>
      <c r="O16" t="n">
        <v>341750.355508994</v>
      </c>
    </row>
    <row r="17">
      <c r="B17" s="106" t="s">
        <v>486</v>
      </c>
      <c r="C17" t="s">
        <v>502</v>
      </c>
      <c r="D17" t="s">
        <v>505</v>
      </c>
      <c r="E17" t="s">
        <v>507</v>
      </c>
      <c r="F17" t="n">
        <v>20.37090909589</v>
      </c>
      <c r="G17" t="n">
        <v>-85.3317478002265</v>
      </c>
      <c r="H17" t="n">
        <v>-2.36152956453346</v>
      </c>
      <c r="I17" t="n">
        <v>-0.0701414304895161</v>
      </c>
      <c r="J17" t="n">
        <v>-1935.29148604735</v>
      </c>
      <c r="K17" t="n">
        <v>12161.4327302464</v>
      </c>
      <c r="L17" t="n">
        <v>13663.1948490154</v>
      </c>
      <c r="M17" t="n">
        <v>-1501.76211876905</v>
      </c>
      <c r="N17" t="n">
        <v>0</v>
      </c>
      <c r="O17" t="n">
        <v>12161.4327302464</v>
      </c>
    </row>
    <row r="18">
      <c r="B18" s="106" t="s">
        <v>486</v>
      </c>
      <c r="C18" t="s">
        <v>502</v>
      </c>
      <c r="D18" t="s">
        <v>508</v>
      </c>
      <c r="E18" t="s">
        <v>509</v>
      </c>
      <c r="F18" t="n">
        <v>26.6508513594041</v>
      </c>
      <c r="G18" t="n">
        <v>-5976.39949430824</v>
      </c>
      <c r="H18" t="n">
        <v>-1661.28787547327</v>
      </c>
      <c r="I18" t="n">
        <v>-62.5878842498894</v>
      </c>
      <c r="J18" t="n">
        <v>-135542.460534504</v>
      </c>
      <c r="K18" t="n">
        <v>666271.283985103</v>
      </c>
      <c r="L18" t="n">
        <v>1071210.16872404</v>
      </c>
      <c r="M18" t="n">
        <v>-404938.884738937</v>
      </c>
      <c r="N18" t="n">
        <v>0</v>
      </c>
      <c r="O18" t="n">
        <v>666271.283985103</v>
      </c>
    </row>
    <row r="19">
      <c r="B19" s="106" t="s">
        <v>486</v>
      </c>
      <c r="C19" t="s">
        <v>502</v>
      </c>
      <c r="D19" t="s">
        <v>508</v>
      </c>
      <c r="E19" t="s">
        <v>510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B20" s="106" t="s">
        <v>486</v>
      </c>
      <c r="C20" t="s">
        <v>502</v>
      </c>
      <c r="D20" t="s">
        <v>508</v>
      </c>
      <c r="E20" t="s">
        <v>511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B21" s="106" t="s">
        <v>486</v>
      </c>
      <c r="C21" t="s">
        <v>502</v>
      </c>
      <c r="D21" t="s">
        <v>512</v>
      </c>
      <c r="E21" t="s">
        <v>513</v>
      </c>
      <c r="F21" t="n">
        <v>40.8773785379502</v>
      </c>
      <c r="G21" t="n">
        <v>-659.202358538315</v>
      </c>
      <c r="H21" t="n">
        <v>-183.241579945593</v>
      </c>
      <c r="I21" t="n">
        <v>-6.90350117202561</v>
      </c>
      <c r="J21" t="n">
        <v>-14950.4580059492</v>
      </c>
      <c r="K21" t="n">
        <v>613160.678069253</v>
      </c>
      <c r="L21" t="n">
        <v>118155.46641178</v>
      </c>
      <c r="M21" t="n">
        <v>495005.211657473</v>
      </c>
      <c r="N21" t="n">
        <v>0</v>
      </c>
      <c r="O21" t="n">
        <v>613160.678069253</v>
      </c>
    </row>
    <row r="22">
      <c r="B22" s="106" t="s">
        <v>486</v>
      </c>
      <c r="C22" t="s">
        <v>502</v>
      </c>
      <c r="D22" t="s">
        <v>512</v>
      </c>
      <c r="E22" t="s">
        <v>514</v>
      </c>
      <c r="F22" t="n">
        <v>14.0360550820325</v>
      </c>
      <c r="G22" t="n">
        <v>-109.23289292252</v>
      </c>
      <c r="H22" t="n">
        <v>-30.3639809868597</v>
      </c>
      <c r="I22" t="n">
        <v>-8.44041860197127</v>
      </c>
      <c r="J22" t="n">
        <v>-2477.36033913411</v>
      </c>
      <c r="K22" t="n">
        <v>210540.826230487</v>
      </c>
      <c r="L22" t="n">
        <v>18656.2253903887</v>
      </c>
      <c r="M22" t="n">
        <v>191884.600840098</v>
      </c>
      <c r="N22" t="n">
        <v>0</v>
      </c>
      <c r="O22" t="n">
        <v>210540.826230487</v>
      </c>
    </row>
    <row r="23">
      <c r="B23" s="106" t="s">
        <v>486</v>
      </c>
      <c r="C23" t="s">
        <v>502</v>
      </c>
      <c r="D23" t="s">
        <v>512</v>
      </c>
      <c r="E23" t="s">
        <v>515</v>
      </c>
      <c r="F23" t="n">
        <v>241.718376986907</v>
      </c>
      <c r="G23" t="n">
        <v>-4363.53868913204</v>
      </c>
      <c r="H23" t="n">
        <v>-120.759575257915</v>
      </c>
      <c r="I23" t="n">
        <v>-3.34198366403686</v>
      </c>
      <c r="J23" t="n">
        <v>-98963.3927795048</v>
      </c>
      <c r="K23" t="n">
        <v>3625775.65480361</v>
      </c>
      <c r="L23" t="n">
        <v>698683.442889354</v>
      </c>
      <c r="M23" t="n">
        <v>2927092.21191426</v>
      </c>
      <c r="N23" t="n">
        <v>0</v>
      </c>
      <c r="O23" t="n">
        <v>3625775.65480361</v>
      </c>
    </row>
    <row r="24">
      <c r="B24" s="106" t="s">
        <v>486</v>
      </c>
      <c r="C24" t="s">
        <v>516</v>
      </c>
      <c r="D24"/>
      <c r="E24"/>
      <c r="F24" t="n">
        <v>6802.85288216341</v>
      </c>
      <c r="G24" t="n">
        <v>-673.260586810769</v>
      </c>
      <c r="H24" t="n">
        <v>-187.149411776766</v>
      </c>
      <c r="I24" t="n">
        <v>-7.05072606298425</v>
      </c>
      <c r="J24" t="n">
        <v>-15269.2932599544</v>
      </c>
      <c r="K24" t="n">
        <v>442185.437340621</v>
      </c>
      <c r="L24" t="n">
        <v>120675.264007981</v>
      </c>
      <c r="M24" t="n">
        <v>321510.17333264</v>
      </c>
      <c r="N24" t="n">
        <v>0</v>
      </c>
      <c r="O24" t="n">
        <v>442185.437340621</v>
      </c>
    </row>
    <row r="25">
      <c r="B25" s="106" t="s">
        <v>486</v>
      </c>
      <c r="C25" t="s">
        <v>517</v>
      </c>
      <c r="D25" t="s">
        <v>518</v>
      </c>
      <c r="E25"/>
      <c r="F25" t="n">
        <v>774.112475504656</v>
      </c>
      <c r="G25" t="n">
        <v>-22945.6148967566</v>
      </c>
      <c r="H25" t="n">
        <v>-6378.30048607828</v>
      </c>
      <c r="I25" t="n">
        <v>-240.270579310569</v>
      </c>
      <c r="J25" t="n">
        <v>-520397.792106356</v>
      </c>
      <c r="K25" t="n">
        <v>3486630.81465499</v>
      </c>
      <c r="L25" t="n">
        <v>4112773.2556099</v>
      </c>
      <c r="M25" t="n">
        <v>-626142.440954913</v>
      </c>
      <c r="N25" t="n">
        <v>39298272.0427997</v>
      </c>
      <c r="O25" t="n">
        <v>-986042.071003394</v>
      </c>
    </row>
    <row r="26">
      <c r="B26" s="106" t="s">
        <v>486</v>
      </c>
      <c r="C26" t="s">
        <v>517</v>
      </c>
      <c r="D26" t="s">
        <v>519</v>
      </c>
      <c r="E26"/>
      <c r="F26" t="n">
        <v>7452.6991104134</v>
      </c>
      <c r="G26" t="n">
        <v>-2756.31744789211</v>
      </c>
      <c r="H26" t="n">
        <v>-76.2802275851116</v>
      </c>
      <c r="I26" t="n">
        <v>-2.26565204232054</v>
      </c>
      <c r="J26" t="n">
        <v>-62512.2281830866</v>
      </c>
      <c r="K26" t="n">
        <v>585305.345833512</v>
      </c>
      <c r="L26" t="n">
        <v>441337.524744697</v>
      </c>
      <c r="M26" t="n">
        <v>143967.821088815</v>
      </c>
      <c r="N26" t="n">
        <v>14560964.4848842</v>
      </c>
      <c r="O26" t="n">
        <v>-924206.260522065</v>
      </c>
    </row>
    <row r="27">
      <c r="B27" s="106" t="s">
        <v>486</v>
      </c>
      <c r="C27" t="s">
        <v>517</v>
      </c>
      <c r="D27" t="s">
        <v>520</v>
      </c>
      <c r="E27"/>
      <c r="F27" t="n">
        <v>65047.5242600472</v>
      </c>
      <c r="G27" t="n">
        <v>-78684.5419937562</v>
      </c>
      <c r="H27" t="n">
        <v>-21872.3121914054</v>
      </c>
      <c r="I27" t="n">
        <v>-823.930000250242</v>
      </c>
      <c r="J27" t="n">
        <v>-1784535.39426562</v>
      </c>
      <c r="K27" t="n">
        <v>22059147.9913752</v>
      </c>
      <c r="L27" t="n">
        <v>14103421.5643346</v>
      </c>
      <c r="M27" t="n">
        <v>7955726.42704055</v>
      </c>
      <c r="N27" t="n">
        <v>226156421.569403</v>
      </c>
      <c r="O27" t="n">
        <v>-3902851.45560283</v>
      </c>
    </row>
    <row r="28">
      <c r="B28" s="106" t="s">
        <v>486</v>
      </c>
      <c r="C28" t="s">
        <v>521</v>
      </c>
      <c r="D28" t="s">
        <v>522</v>
      </c>
      <c r="E28"/>
      <c r="F28" t="n">
        <v>82.9205405949784</v>
      </c>
      <c r="G28" t="n">
        <v>-3303.99835887427</v>
      </c>
      <c r="H28" t="n">
        <v>-918.427962520562</v>
      </c>
      <c r="I28" t="n">
        <v>-34.5971813481496</v>
      </c>
      <c r="J28" t="n">
        <v>-74933.4223038945</v>
      </c>
      <c r="K28" t="n">
        <v>1365017.65118548</v>
      </c>
      <c r="L28" t="n">
        <v>592208.844613612</v>
      </c>
      <c r="M28" t="n">
        <v>772808.806571867</v>
      </c>
      <c r="N28" t="n">
        <v>12300390.5589844</v>
      </c>
      <c r="O28" t="n">
        <v>-105621.785159438</v>
      </c>
    </row>
    <row r="29">
      <c r="B29" s="106" t="s">
        <v>486</v>
      </c>
      <c r="C29" t="s">
        <v>521</v>
      </c>
      <c r="D29" t="s">
        <v>523</v>
      </c>
      <c r="E29"/>
      <c r="F29" t="n">
        <v>3404.21893223523</v>
      </c>
      <c r="G29" t="n">
        <v>-5708.16652601196</v>
      </c>
      <c r="H29" t="n">
        <v>-1586.72589474272</v>
      </c>
      <c r="I29" t="n">
        <v>-59.7719644549581</v>
      </c>
      <c r="J29" t="n">
        <v>-129459.039144422</v>
      </c>
      <c r="K29" t="n">
        <v>2927206.76750489</v>
      </c>
      <c r="L29" t="n">
        <v>1023132.07697337</v>
      </c>
      <c r="M29" t="n">
        <v>1904074.69053152</v>
      </c>
      <c r="N29" t="n">
        <v>26248132.2844702</v>
      </c>
      <c r="O29" t="n">
        <v>-204253.135934114</v>
      </c>
    </row>
    <row r="30">
      <c r="B30" s="106" t="s">
        <v>486</v>
      </c>
      <c r="C30" t="s">
        <v>524</v>
      </c>
      <c r="D30"/>
      <c r="E30"/>
      <c r="F30" t="n">
        <v>2068.92915531995</v>
      </c>
      <c r="G30" t="n">
        <v>-5272.31412576059</v>
      </c>
      <c r="H30" t="n">
        <v>-25010.152493043</v>
      </c>
      <c r="I30" t="n">
        <v>-942.132444412929</v>
      </c>
      <c r="J30" t="n">
        <v>-119574.072984411</v>
      </c>
      <c r="K30" t="n">
        <v>64100497.1232219</v>
      </c>
      <c r="L30" t="n">
        <v>0</v>
      </c>
      <c r="M30" t="n">
        <v>64100497.1232219</v>
      </c>
      <c r="N30" t="n">
        <v>164173666.332948</v>
      </c>
      <c r="O30" t="n">
        <v>47254341.9075076</v>
      </c>
    </row>
    <row r="31">
      <c r="B31" s="106" t="s">
        <v>525</v>
      </c>
      <c r="C31" t="s">
        <v>487</v>
      </c>
      <c r="D31" t="s">
        <v>488</v>
      </c>
      <c r="E31"/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B32" s="106" t="s">
        <v>525</v>
      </c>
      <c r="C32" t="s">
        <v>487</v>
      </c>
      <c r="D32" t="s">
        <v>489</v>
      </c>
      <c r="E32" t="s">
        <v>490</v>
      </c>
      <c r="F32" t="n">
        <v>6.57381728690653</v>
      </c>
      <c r="G32" t="n">
        <v>-103.809533612362</v>
      </c>
      <c r="H32" t="n">
        <v>-4.37718743468322</v>
      </c>
      <c r="I32" t="n">
        <v>-0.143512237213961</v>
      </c>
      <c r="J32" t="n">
        <v>-2354.36061899131</v>
      </c>
      <c r="K32" t="n">
        <v>-189767.321547315</v>
      </c>
      <c r="L32" t="n">
        <v>16113.8041237338</v>
      </c>
      <c r="M32" t="n">
        <v>-205881.125671048</v>
      </c>
      <c r="N32" t="n">
        <v>-28445.4552185518</v>
      </c>
      <c r="O32" t="n">
        <v>-170316.15754651</v>
      </c>
    </row>
    <row r="33">
      <c r="B33" s="106" t="s">
        <v>525</v>
      </c>
      <c r="C33" t="s">
        <v>487</v>
      </c>
      <c r="D33" t="s">
        <v>489</v>
      </c>
      <c r="E33" t="s">
        <v>491</v>
      </c>
      <c r="F33" t="n">
        <v>27.2842505093731</v>
      </c>
      <c r="G33" t="n">
        <v>-206.71632212378</v>
      </c>
      <c r="H33" t="n">
        <v>-8.94519924149148</v>
      </c>
      <c r="I33" t="n">
        <v>-0.294610134120146</v>
      </c>
      <c r="J33" t="n">
        <v>-4688.24732349045</v>
      </c>
      <c r="K33" t="n">
        <v>-365379.606842278</v>
      </c>
      <c r="L33" t="n">
        <v>32087.4799064176</v>
      </c>
      <c r="M33" t="n">
        <v>-397467.086748695</v>
      </c>
      <c r="N33" t="n">
        <v>-57637.9792010507</v>
      </c>
      <c r="O33" t="n">
        <v>-325966.428972535</v>
      </c>
    </row>
    <row r="34">
      <c r="B34" s="106" t="s">
        <v>525</v>
      </c>
      <c r="C34" t="s">
        <v>487</v>
      </c>
      <c r="D34" t="s">
        <v>492</v>
      </c>
      <c r="E34" t="s">
        <v>493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B35" s="106" t="s">
        <v>525</v>
      </c>
      <c r="C35" t="s">
        <v>487</v>
      </c>
      <c r="D35" t="s">
        <v>492</v>
      </c>
      <c r="E35" t="s">
        <v>494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B36" s="106" t="s">
        <v>525</v>
      </c>
      <c r="C36" t="s">
        <v>487</v>
      </c>
      <c r="D36" t="s">
        <v>495</v>
      </c>
      <c r="E36" t="s">
        <v>496</v>
      </c>
      <c r="F36" t="n">
        <v>6029.963212807</v>
      </c>
      <c r="G36" t="n">
        <v>-807.497891396341</v>
      </c>
      <c r="H36" t="n">
        <v>-224.463986534024</v>
      </c>
      <c r="I36" t="n">
        <v>-8.45555837273669</v>
      </c>
      <c r="J36" t="n">
        <v>-18313.7441164235</v>
      </c>
      <c r="K36" t="n">
        <v>4606782.15095124</v>
      </c>
      <c r="L36" t="n">
        <v>131542.762841569</v>
      </c>
      <c r="M36" t="n">
        <v>4475239.38810968</v>
      </c>
      <c r="N36" t="n">
        <v>301918.056680356</v>
      </c>
      <c r="O36" t="n">
        <v>4475910.85230077</v>
      </c>
    </row>
    <row r="37">
      <c r="B37" s="106" t="s">
        <v>525</v>
      </c>
      <c r="C37" t="s">
        <v>487</v>
      </c>
      <c r="D37" t="s">
        <v>495</v>
      </c>
      <c r="E37" t="s">
        <v>497</v>
      </c>
      <c r="F37" t="n">
        <v>1143.29063126977</v>
      </c>
      <c r="G37" t="n">
        <v>-430.265580311351</v>
      </c>
      <c r="H37" t="n">
        <v>-119.602946898171</v>
      </c>
      <c r="I37" t="n">
        <v>-4.50544300965409</v>
      </c>
      <c r="J37" t="n">
        <v>-9758.25921514256</v>
      </c>
      <c r="K37" t="n">
        <v>1883599.31681067</v>
      </c>
      <c r="L37" t="n">
        <v>70090.9857385699</v>
      </c>
      <c r="M37" t="n">
        <v>1813508.3310721</v>
      </c>
      <c r="N37" t="n">
        <v>232243.23642231</v>
      </c>
      <c r="O37" t="n">
        <v>1782929.70371245</v>
      </c>
    </row>
    <row r="38">
      <c r="B38" s="106" t="s">
        <v>525</v>
      </c>
      <c r="C38" t="s">
        <v>487</v>
      </c>
      <c r="D38" t="s">
        <v>495</v>
      </c>
      <c r="E38" t="s">
        <v>498</v>
      </c>
      <c r="F38" t="n">
        <v>427.925164979752</v>
      </c>
      <c r="G38" t="n">
        <v>84.3468649565446</v>
      </c>
      <c r="H38" t="n">
        <v>23.4462947352766</v>
      </c>
      <c r="I38" t="n">
        <v>0.88322192267787</v>
      </c>
      <c r="J38" t="n">
        <v>1912.95471888545</v>
      </c>
      <c r="K38" t="n">
        <v>-531387.033099286</v>
      </c>
      <c r="L38" t="n">
        <v>-13740.2459766459</v>
      </c>
      <c r="M38" t="n">
        <v>-517646.78712264</v>
      </c>
      <c r="N38" t="n">
        <v>-125868.906821642</v>
      </c>
      <c r="O38" t="n">
        <v>-476827.105559397</v>
      </c>
    </row>
    <row r="39">
      <c r="B39" s="106" t="s">
        <v>525</v>
      </c>
      <c r="C39" t="s">
        <v>487</v>
      </c>
      <c r="D39" t="s">
        <v>495</v>
      </c>
      <c r="E39" t="s">
        <v>499</v>
      </c>
      <c r="F39" t="n">
        <v>2053.59015075452</v>
      </c>
      <c r="G39" t="n">
        <v>-433.15193611247</v>
      </c>
      <c r="H39" t="n">
        <v>-120.405280794739</v>
      </c>
      <c r="I39" t="n">
        <v>-4.53566692753781</v>
      </c>
      <c r="J39" t="n">
        <v>-9823.72066356718</v>
      </c>
      <c r="K39" t="n">
        <v>3322603.1104573</v>
      </c>
      <c r="L39" t="n">
        <v>70561.1779467084</v>
      </c>
      <c r="M39" t="n">
        <v>3252041.93251059</v>
      </c>
      <c r="N39" t="n">
        <v>8897.89208799816</v>
      </c>
      <c r="O39" t="n">
        <v>3318746.17422231</v>
      </c>
    </row>
    <row r="40">
      <c r="B40" s="106" t="s">
        <v>525</v>
      </c>
      <c r="C40" t="s">
        <v>487</v>
      </c>
      <c r="D40" t="s">
        <v>495</v>
      </c>
      <c r="E40" t="s">
        <v>500</v>
      </c>
      <c r="F40" t="n">
        <v>1475.77027538201</v>
      </c>
      <c r="G40" t="n">
        <v>-219.547350379115</v>
      </c>
      <c r="H40" t="n">
        <v>-61.0286095160716</v>
      </c>
      <c r="I40" t="n">
        <v>-2.29894772047042</v>
      </c>
      <c r="J40" t="n">
        <v>-4979.25014928417</v>
      </c>
      <c r="K40" t="n">
        <v>2387720.30801916</v>
      </c>
      <c r="L40" t="n">
        <v>35764.6321447047</v>
      </c>
      <c r="M40" t="n">
        <v>2351955.67587446</v>
      </c>
      <c r="N40" t="n">
        <v>6394.28692828502</v>
      </c>
      <c r="O40" t="n">
        <v>2384948.60021391</v>
      </c>
    </row>
    <row r="41">
      <c r="B41" s="106" t="s">
        <v>525</v>
      </c>
      <c r="C41" t="s">
        <v>487</v>
      </c>
      <c r="D41" t="s">
        <v>495</v>
      </c>
      <c r="E41" t="s">
        <v>501</v>
      </c>
      <c r="F41" t="n">
        <v>10758.8725005282</v>
      </c>
      <c r="G41" t="n">
        <v>-2690.9305384804</v>
      </c>
      <c r="H41" t="n">
        <v>-748.010617227719</v>
      </c>
      <c r="I41" t="n">
        <v>-28.1775599509682</v>
      </c>
      <c r="J41" t="n">
        <v>-61029.278022735</v>
      </c>
      <c r="K41" t="n">
        <v>17407301.657604</v>
      </c>
      <c r="L41" t="n">
        <v>438357.104604158</v>
      </c>
      <c r="M41" t="n">
        <v>16968944.5529999</v>
      </c>
      <c r="N41" t="n">
        <v>46616.549296878</v>
      </c>
      <c r="O41" t="n">
        <v>17387094.9551227</v>
      </c>
    </row>
    <row r="42">
      <c r="B42" s="106" t="s">
        <v>525</v>
      </c>
      <c r="C42" t="s">
        <v>502</v>
      </c>
      <c r="D42" t="s">
        <v>503</v>
      </c>
      <c r="E42"/>
      <c r="F42" t="n">
        <v>3003.50495669504</v>
      </c>
      <c r="G42" t="n">
        <v>-13522.7575594299</v>
      </c>
      <c r="H42" t="n">
        <v>-3758.98451866223</v>
      </c>
      <c r="I42" t="n">
        <v>-141.617170283708</v>
      </c>
      <c r="J42" t="n">
        <v>-306690.982515862</v>
      </c>
      <c r="K42" t="n">
        <v>1793092.45914694</v>
      </c>
      <c r="L42" t="n">
        <v>2202879.9202536</v>
      </c>
      <c r="M42" t="n">
        <v>-409787.461106666</v>
      </c>
      <c r="N42" t="n">
        <v>0</v>
      </c>
      <c r="O42" t="n">
        <v>1793092.45914694</v>
      </c>
    </row>
    <row r="43">
      <c r="B43" s="106" t="s">
        <v>525</v>
      </c>
      <c r="C43" t="s">
        <v>502</v>
      </c>
      <c r="D43" t="s">
        <v>504</v>
      </c>
      <c r="E43"/>
      <c r="F43" t="n">
        <v>126.014996922759</v>
      </c>
      <c r="G43" t="n">
        <v>-362.180853080106</v>
      </c>
      <c r="H43" t="n">
        <v>-100.677115129866</v>
      </c>
      <c r="I43" t="n">
        <v>-3.79294144102856</v>
      </c>
      <c r="J43" t="n">
        <v>-8214.12357586135</v>
      </c>
      <c r="K43" t="n">
        <v>75230.9531628871</v>
      </c>
      <c r="L43" t="n">
        <v>56219.415701186</v>
      </c>
      <c r="M43" t="n">
        <v>19011.5374617011</v>
      </c>
      <c r="N43" t="n">
        <v>0</v>
      </c>
      <c r="O43" t="n">
        <v>75230.9531628871</v>
      </c>
    </row>
    <row r="44">
      <c r="B44" s="106" t="s">
        <v>525</v>
      </c>
      <c r="C44" t="s">
        <v>502</v>
      </c>
      <c r="D44" t="s">
        <v>505</v>
      </c>
      <c r="E44" t="s">
        <v>506</v>
      </c>
      <c r="F44" t="n">
        <v>858.669234947221</v>
      </c>
      <c r="G44" t="n">
        <v>-2812.27121810036</v>
      </c>
      <c r="H44" t="n">
        <v>-77.8287307624198</v>
      </c>
      <c r="I44" t="n">
        <v>-2.31164521115704</v>
      </c>
      <c r="J44" t="n">
        <v>-63781.2383450466</v>
      </c>
      <c r="K44" t="n">
        <v>512625.533263491</v>
      </c>
      <c r="L44" t="n">
        <v>409250.594342995</v>
      </c>
      <c r="M44" t="n">
        <v>103374.938920496</v>
      </c>
      <c r="N44" t="n">
        <v>0</v>
      </c>
      <c r="O44" t="n">
        <v>512625.533263491</v>
      </c>
    </row>
    <row r="45">
      <c r="B45" s="106" t="s">
        <v>525</v>
      </c>
      <c r="C45" t="s">
        <v>502</v>
      </c>
      <c r="D45" t="s">
        <v>505</v>
      </c>
      <c r="E45" t="s">
        <v>507</v>
      </c>
      <c r="F45" t="n">
        <v>30.5563636438351</v>
      </c>
      <c r="G45" t="n">
        <v>-127.99762170034</v>
      </c>
      <c r="H45" t="n">
        <v>-3.54229434680019</v>
      </c>
      <c r="I45" t="n">
        <v>-0.105212145734274</v>
      </c>
      <c r="J45" t="n">
        <v>-2902.93722907103</v>
      </c>
      <c r="K45" t="n">
        <v>18242.1490953695</v>
      </c>
      <c r="L45" t="n">
        <v>18626.6183781298</v>
      </c>
      <c r="M45" t="n">
        <v>-384.469282760295</v>
      </c>
      <c r="N45" t="n">
        <v>0</v>
      </c>
      <c r="O45" t="n">
        <v>18242.1490953695</v>
      </c>
    </row>
    <row r="46">
      <c r="B46" s="106" t="s">
        <v>525</v>
      </c>
      <c r="C46" t="s">
        <v>502</v>
      </c>
      <c r="D46" t="s">
        <v>508</v>
      </c>
      <c r="E46" t="s">
        <v>509</v>
      </c>
      <c r="F46" t="n">
        <v>39.9762770391062</v>
      </c>
      <c r="G46" t="n">
        <v>-8964.59924146236</v>
      </c>
      <c r="H46" t="n">
        <v>-2491.9318132099</v>
      </c>
      <c r="I46" t="n">
        <v>-93.8818263748341</v>
      </c>
      <c r="J46" t="n">
        <v>-203313.690801756</v>
      </c>
      <c r="K46" t="n">
        <v>999406.925977654</v>
      </c>
      <c r="L46" t="n">
        <v>1460348.27403728</v>
      </c>
      <c r="M46" t="n">
        <v>-460941.348059629</v>
      </c>
      <c r="N46" t="n">
        <v>0</v>
      </c>
      <c r="O46" t="n">
        <v>999406.925977654</v>
      </c>
    </row>
    <row r="47">
      <c r="B47" s="106" t="s">
        <v>525</v>
      </c>
      <c r="C47" t="s">
        <v>502</v>
      </c>
      <c r="D47" t="s">
        <v>508</v>
      </c>
      <c r="E47" t="s">
        <v>510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B48" s="106" t="s">
        <v>525</v>
      </c>
      <c r="C48" t="s">
        <v>502</v>
      </c>
      <c r="D48" t="s">
        <v>508</v>
      </c>
      <c r="E48" t="s">
        <v>511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B49" s="106" t="s">
        <v>525</v>
      </c>
      <c r="C49" t="s">
        <v>502</v>
      </c>
      <c r="D49" t="s">
        <v>512</v>
      </c>
      <c r="E49" t="s">
        <v>513</v>
      </c>
      <c r="F49" t="n">
        <v>61.3160678069253</v>
      </c>
      <c r="G49" t="n">
        <v>-988.803537807473</v>
      </c>
      <c r="H49" t="n">
        <v>-274.86236991839</v>
      </c>
      <c r="I49" t="n">
        <v>-10.3552517580384</v>
      </c>
      <c r="J49" t="n">
        <v>-22425.6870089238</v>
      </c>
      <c r="K49" t="n">
        <v>919741.017103879</v>
      </c>
      <c r="L49" t="n">
        <v>161077.757176298</v>
      </c>
      <c r="M49" t="n">
        <v>758663.25992758</v>
      </c>
      <c r="N49" t="n">
        <v>0</v>
      </c>
      <c r="O49" t="n">
        <v>919741.017103879</v>
      </c>
    </row>
    <row r="50">
      <c r="B50" s="106" t="s">
        <v>525</v>
      </c>
      <c r="C50" t="s">
        <v>502</v>
      </c>
      <c r="D50" t="s">
        <v>512</v>
      </c>
      <c r="E50" t="s">
        <v>514</v>
      </c>
      <c r="F50" t="n">
        <v>21.0540826230487</v>
      </c>
      <c r="G50" t="n">
        <v>-163.849339383781</v>
      </c>
      <c r="H50" t="n">
        <v>-45.5459714802896</v>
      </c>
      <c r="I50" t="n">
        <v>-12.6606279029569</v>
      </c>
      <c r="J50" t="n">
        <v>-3716.04050870117</v>
      </c>
      <c r="K50" t="n">
        <v>315811.239345731</v>
      </c>
      <c r="L50" t="n">
        <v>25433.4652007242</v>
      </c>
      <c r="M50" t="n">
        <v>290377.774145007</v>
      </c>
      <c r="N50" t="n">
        <v>0</v>
      </c>
      <c r="O50" t="n">
        <v>315811.239345731</v>
      </c>
    </row>
    <row r="51">
      <c r="B51" s="106" t="s">
        <v>525</v>
      </c>
      <c r="C51" t="s">
        <v>502</v>
      </c>
      <c r="D51" t="s">
        <v>512</v>
      </c>
      <c r="E51" t="s">
        <v>515</v>
      </c>
      <c r="F51" t="n">
        <v>362.577565480361</v>
      </c>
      <c r="G51" t="n">
        <v>-6545.30803369806</v>
      </c>
      <c r="H51" t="n">
        <v>-181.139362886873</v>
      </c>
      <c r="I51" t="n">
        <v>-5.01297549605529</v>
      </c>
      <c r="J51" t="n">
        <v>-148445.089169257</v>
      </c>
      <c r="K51" t="n">
        <v>5438663.48220541</v>
      </c>
      <c r="L51" t="n">
        <v>952493.90802296</v>
      </c>
      <c r="M51" t="n">
        <v>4486169.57418245</v>
      </c>
      <c r="N51" t="n">
        <v>0</v>
      </c>
      <c r="O51" t="n">
        <v>5438663.48220541</v>
      </c>
    </row>
    <row r="52">
      <c r="B52" s="106" t="s">
        <v>525</v>
      </c>
      <c r="C52" t="s">
        <v>516</v>
      </c>
      <c r="D52"/>
      <c r="E52"/>
      <c r="F52" t="n">
        <v>10647.2683454505</v>
      </c>
      <c r="G52" t="n">
        <v>-1053.73234705468</v>
      </c>
      <c r="H52" t="n">
        <v>-292.910936396255</v>
      </c>
      <c r="I52" t="n">
        <v>-11.0352191533769</v>
      </c>
      <c r="J52" t="n">
        <v>-23898.2476323097</v>
      </c>
      <c r="K52" t="n">
        <v>692072.442454283</v>
      </c>
      <c r="L52" t="n">
        <v>171654.769261892</v>
      </c>
      <c r="M52" t="n">
        <v>520417.673192391</v>
      </c>
      <c r="N52" t="n">
        <v>0</v>
      </c>
      <c r="O52" t="n">
        <v>692072.442454283</v>
      </c>
    </row>
    <row r="53">
      <c r="B53" s="106" t="s">
        <v>525</v>
      </c>
      <c r="C53" t="s">
        <v>517</v>
      </c>
      <c r="D53" t="s">
        <v>518</v>
      </c>
      <c r="E53"/>
      <c r="F53" t="n">
        <v>1161.16871325698</v>
      </c>
      <c r="G53" t="n">
        <v>-34418.4223451349</v>
      </c>
      <c r="H53" t="n">
        <v>-9567.45072911743</v>
      </c>
      <c r="I53" t="n">
        <v>-360.405868965853</v>
      </c>
      <c r="J53" t="n">
        <v>-780596.688159534</v>
      </c>
      <c r="K53" t="n">
        <v>5229946.22198248</v>
      </c>
      <c r="L53" t="n">
        <v>5606818.81174699</v>
      </c>
      <c r="M53" t="n">
        <v>-376872.58976451</v>
      </c>
      <c r="N53" t="n">
        <v>19649136.0213998</v>
      </c>
      <c r="O53" t="n">
        <v>-1479063.10650509</v>
      </c>
    </row>
    <row r="54">
      <c r="B54" s="106" t="s">
        <v>525</v>
      </c>
      <c r="C54" t="s">
        <v>517</v>
      </c>
      <c r="D54" t="s">
        <v>519</v>
      </c>
      <c r="E54"/>
      <c r="F54" t="n">
        <v>11179.0486656201</v>
      </c>
      <c r="G54" t="n">
        <v>-4134.47617183816</v>
      </c>
      <c r="H54" t="n">
        <v>-114.420341377667</v>
      </c>
      <c r="I54" t="n">
        <v>-3.39847806348081</v>
      </c>
      <c r="J54" t="n">
        <v>-93768.3422746299</v>
      </c>
      <c r="K54" t="n">
        <v>825710.794361622</v>
      </c>
      <c r="L54" t="n">
        <v>601662.037335308</v>
      </c>
      <c r="M54" t="n">
        <v>224048.757026314</v>
      </c>
      <c r="N54" t="n">
        <v>7280482.2424421</v>
      </c>
      <c r="O54" t="n">
        <v>-1386309.3907831</v>
      </c>
    </row>
    <row r="55">
      <c r="B55" s="106" t="s">
        <v>525</v>
      </c>
      <c r="C55" t="s">
        <v>517</v>
      </c>
      <c r="D55" t="s">
        <v>520</v>
      </c>
      <c r="E55"/>
      <c r="F55" t="n">
        <v>101706.401366135</v>
      </c>
      <c r="G55" t="n">
        <v>-123030.340894281</v>
      </c>
      <c r="H55" t="n">
        <v>-34199.3224700765</v>
      </c>
      <c r="I55" t="n">
        <v>-1288.28847744778</v>
      </c>
      <c r="J55" t="n">
        <v>-2790281.19540724</v>
      </c>
      <c r="K55" t="n">
        <v>34506022.601668</v>
      </c>
      <c r="L55" t="n">
        <v>20041849.1825267</v>
      </c>
      <c r="M55" t="n">
        <v>14464173.4191413</v>
      </c>
      <c r="N55" t="n">
        <v>127896088.48147</v>
      </c>
      <c r="O55" t="n">
        <v>-6102384.08196811</v>
      </c>
    </row>
    <row r="56">
      <c r="B56" s="106" t="s">
        <v>525</v>
      </c>
      <c r="C56" t="s">
        <v>521</v>
      </c>
      <c r="D56" t="s">
        <v>522</v>
      </c>
      <c r="E56"/>
      <c r="F56" t="n">
        <v>124.380810892468</v>
      </c>
      <c r="G56" t="n">
        <v>-4955.9975383114</v>
      </c>
      <c r="H56" t="n">
        <v>-1377.64194378084</v>
      </c>
      <c r="I56" t="n">
        <v>-51.8957720222244</v>
      </c>
      <c r="J56" t="n">
        <v>-112400.133455842</v>
      </c>
      <c r="K56" t="n">
        <v>2047526.47677822</v>
      </c>
      <c r="L56" t="n">
        <v>807340.323450473</v>
      </c>
      <c r="M56" t="n">
        <v>1240186.15332775</v>
      </c>
      <c r="N56" t="n">
        <v>6150195.27949219</v>
      </c>
      <c r="O56" t="n">
        <v>-158432.677739157</v>
      </c>
    </row>
    <row r="57">
      <c r="B57" s="106" t="s">
        <v>525</v>
      </c>
      <c r="C57" t="s">
        <v>521</v>
      </c>
      <c r="D57" t="s">
        <v>523</v>
      </c>
      <c r="E57"/>
      <c r="F57" t="n">
        <v>5326.98970407603</v>
      </c>
      <c r="G57" t="n">
        <v>-8932.25286578484</v>
      </c>
      <c r="H57" t="n">
        <v>-2482.94033748744</v>
      </c>
      <c r="I57" t="n">
        <v>-93.5323625131518</v>
      </c>
      <c r="J57" t="n">
        <v>-202580.087341532</v>
      </c>
      <c r="K57" t="n">
        <v>4581822.87885786</v>
      </c>
      <c r="L57" t="n">
        <v>1455078.99510805</v>
      </c>
      <c r="M57" t="n">
        <v>3126743.8837498</v>
      </c>
      <c r="N57" t="n">
        <v>14832345.5514101</v>
      </c>
      <c r="O57" t="n">
        <v>-319619.382244562</v>
      </c>
    </row>
    <row r="58">
      <c r="B58" s="106" t="s">
        <v>525</v>
      </c>
      <c r="C58" t="s">
        <v>524</v>
      </c>
      <c r="D58"/>
      <c r="E58"/>
      <c r="F58" t="n">
        <v>3230.95758996248</v>
      </c>
      <c r="G58" t="n">
        <v>-7426.65857203713</v>
      </c>
      <c r="H58" t="n">
        <v>-35260.3723699256</v>
      </c>
      <c r="I58" t="n">
        <v>-1328.2582271751</v>
      </c>
      <c r="J58" t="n">
        <v>-168433.783143557</v>
      </c>
      <c r="K58" t="n">
        <v>100102986.691497</v>
      </c>
      <c r="L58" t="n">
        <v>0</v>
      </c>
      <c r="M58" t="n">
        <v>100102986.691497</v>
      </c>
      <c r="N58" t="n">
        <v>93036967.3005336</v>
      </c>
      <c r="O58" t="n">
        <v>73795071.3547431</v>
      </c>
    </row>
    <row r="59">
      <c r="B59" s="106" t="s">
        <v>526</v>
      </c>
      <c r="C59" t="s">
        <v>487</v>
      </c>
      <c r="D59" t="s">
        <v>488</v>
      </c>
      <c r="E59"/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B60" s="106" t="s">
        <v>526</v>
      </c>
      <c r="C60" t="s">
        <v>487</v>
      </c>
      <c r="D60" t="s">
        <v>489</v>
      </c>
      <c r="E60" t="s">
        <v>490</v>
      </c>
      <c r="F60" t="n">
        <v>8.76508971587537</v>
      </c>
      <c r="G60" t="n">
        <v>-138.41271148315</v>
      </c>
      <c r="H60" t="n">
        <v>-5.83624991291096</v>
      </c>
      <c r="I60" t="n">
        <v>-0.191349649618615</v>
      </c>
      <c r="J60" t="n">
        <v>-3139.14749198841</v>
      </c>
      <c r="K60" t="n">
        <v>-253023.095396419</v>
      </c>
      <c r="L60" t="n">
        <v>20307.7532415985</v>
      </c>
      <c r="M60" t="n">
        <v>-273330.848638018</v>
      </c>
      <c r="N60" t="n">
        <v>-28445.4552185518</v>
      </c>
      <c r="O60" t="n">
        <v>-227088.210062014</v>
      </c>
    </row>
    <row r="61">
      <c r="B61" s="106" t="s">
        <v>526</v>
      </c>
      <c r="C61" t="s">
        <v>487</v>
      </c>
      <c r="D61" t="s">
        <v>489</v>
      </c>
      <c r="E61" t="s">
        <v>491</v>
      </c>
      <c r="F61" t="n">
        <v>36.3790006791642</v>
      </c>
      <c r="G61" t="n">
        <v>-275.621762831707</v>
      </c>
      <c r="H61" t="n">
        <v>-11.9269323219886</v>
      </c>
      <c r="I61" t="n">
        <v>-0.392813512160194</v>
      </c>
      <c r="J61" t="n">
        <v>-6250.9964313206</v>
      </c>
      <c r="K61" t="n">
        <v>-487172.809123037</v>
      </c>
      <c r="L61" t="n">
        <v>40438.9068577859</v>
      </c>
      <c r="M61" t="n">
        <v>-527611.715980823</v>
      </c>
      <c r="N61" t="n">
        <v>-57637.9792010507</v>
      </c>
      <c r="O61" t="n">
        <v>-434621.905296713</v>
      </c>
    </row>
    <row r="62">
      <c r="B62" s="106" t="s">
        <v>526</v>
      </c>
      <c r="C62" t="s">
        <v>487</v>
      </c>
      <c r="D62" t="s">
        <v>492</v>
      </c>
      <c r="E62" t="s">
        <v>493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B63" s="106" t="s">
        <v>526</v>
      </c>
      <c r="C63" t="s">
        <v>487</v>
      </c>
      <c r="D63" t="s">
        <v>492</v>
      </c>
      <c r="E63" t="s">
        <v>494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B64" s="106" t="s">
        <v>526</v>
      </c>
      <c r="C64" t="s">
        <v>487</v>
      </c>
      <c r="D64" t="s">
        <v>495</v>
      </c>
      <c r="E64" t="s">
        <v>496</v>
      </c>
      <c r="F64" t="n">
        <v>8402.9534742933</v>
      </c>
      <c r="G64" t="n">
        <v>-1125.27505932076</v>
      </c>
      <c r="H64" t="n">
        <v>-312.798000407996</v>
      </c>
      <c r="I64" t="n">
        <v>-11.7831006753692</v>
      </c>
      <c r="J64" t="n">
        <v>-25520.8090529597</v>
      </c>
      <c r="K64" t="n">
        <v>6419703.52297191</v>
      </c>
      <c r="L64" t="n">
        <v>173264.391027195</v>
      </c>
      <c r="M64" t="n">
        <v>6246439.13194472</v>
      </c>
      <c r="N64" t="n">
        <v>329062.403220437</v>
      </c>
      <c r="O64" t="n">
        <v>6237330.0333054</v>
      </c>
    </row>
    <row r="65">
      <c r="B65" s="106" t="s">
        <v>526</v>
      </c>
      <c r="C65" t="s">
        <v>487</v>
      </c>
      <c r="D65" t="s">
        <v>495</v>
      </c>
      <c r="E65" t="s">
        <v>497</v>
      </c>
      <c r="F65" t="n">
        <v>1593.2133651746</v>
      </c>
      <c r="G65" t="n">
        <v>-599.58933833413</v>
      </c>
      <c r="H65" t="n">
        <v>-166.670668245396</v>
      </c>
      <c r="I65" t="n">
        <v>-6.27848407280408</v>
      </c>
      <c r="J65" t="n">
        <v>-13598.4574500855</v>
      </c>
      <c r="K65" t="n">
        <v>2624858.04055224</v>
      </c>
      <c r="L65" t="n">
        <v>92321.8556319648</v>
      </c>
      <c r="M65" t="n">
        <v>2532536.18492027</v>
      </c>
      <c r="N65" t="n">
        <v>253123.375094212</v>
      </c>
      <c r="O65" t="n">
        <v>2484571.60010716</v>
      </c>
    </row>
    <row r="66">
      <c r="B66" s="106" t="s">
        <v>526</v>
      </c>
      <c r="C66" t="s">
        <v>487</v>
      </c>
      <c r="D66" t="s">
        <v>495</v>
      </c>
      <c r="E66" t="s">
        <v>498</v>
      </c>
      <c r="F66" t="n">
        <v>596.327892045339</v>
      </c>
      <c r="G66" t="n">
        <v>117.540150232925</v>
      </c>
      <c r="H66" t="n">
        <v>32.6731883515726</v>
      </c>
      <c r="I66" t="n">
        <v>1.23079900520374</v>
      </c>
      <c r="J66" t="n">
        <v>2665.76576571542</v>
      </c>
      <c r="K66" t="n">
        <v>-740505.432353617</v>
      </c>
      <c r="L66" t="n">
        <v>-18098.261738464</v>
      </c>
      <c r="M66" t="n">
        <v>-722407.170615153</v>
      </c>
      <c r="N66" t="n">
        <v>-137185.319171915</v>
      </c>
      <c r="O66" t="n">
        <v>-664474.366076998</v>
      </c>
    </row>
    <row r="67">
      <c r="B67" s="106" t="s">
        <v>526</v>
      </c>
      <c r="C67" t="s">
        <v>487</v>
      </c>
      <c r="D67" t="s">
        <v>495</v>
      </c>
      <c r="E67" t="s">
        <v>499</v>
      </c>
      <c r="F67" t="n">
        <v>2861.74589845039</v>
      </c>
      <c r="G67" t="n">
        <v>-603.611570750994</v>
      </c>
      <c r="H67" t="n">
        <v>-167.788747106871</v>
      </c>
      <c r="I67" t="n">
        <v>-6.32060210351584</v>
      </c>
      <c r="J67" t="n">
        <v>-13689.6801468183</v>
      </c>
      <c r="K67" t="n">
        <v>4630157.49273834</v>
      </c>
      <c r="L67" t="n">
        <v>92941.179453732</v>
      </c>
      <c r="M67" t="n">
        <v>4537216.31328461</v>
      </c>
      <c r="N67" t="n">
        <v>9697.86897235044</v>
      </c>
      <c r="O67" t="n">
        <v>4624782.72433725</v>
      </c>
    </row>
    <row r="68">
      <c r="B68" s="106" t="s">
        <v>526</v>
      </c>
      <c r="C68" t="s">
        <v>487</v>
      </c>
      <c r="D68" t="s">
        <v>495</v>
      </c>
      <c r="E68" t="s">
        <v>500</v>
      </c>
      <c r="F68" t="n">
        <v>2056.53476234184</v>
      </c>
      <c r="G68" t="n">
        <v>-305.946505066867</v>
      </c>
      <c r="H68" t="n">
        <v>-85.0453888798503</v>
      </c>
      <c r="I68" t="n">
        <v>-3.20365979910396</v>
      </c>
      <c r="J68" t="n">
        <v>-6938.75001632485</v>
      </c>
      <c r="K68" t="n">
        <v>3327367.3403673</v>
      </c>
      <c r="L68" t="n">
        <v>47108.1576439693</v>
      </c>
      <c r="M68" t="n">
        <v>3280259.18272333</v>
      </c>
      <c r="N68" t="n">
        <v>6969.17384351789</v>
      </c>
      <c r="O68" t="n">
        <v>3323504.87373029</v>
      </c>
    </row>
    <row r="69">
      <c r="B69" s="106" t="s">
        <v>526</v>
      </c>
      <c r="C69" t="s">
        <v>487</v>
      </c>
      <c r="D69" t="s">
        <v>495</v>
      </c>
      <c r="E69" t="s">
        <v>501</v>
      </c>
      <c r="F69" t="n">
        <v>14992.8452077085</v>
      </c>
      <c r="G69" t="n">
        <v>-3749.90084008818</v>
      </c>
      <c r="H69" t="n">
        <v>-1042.37757230296</v>
      </c>
      <c r="I69" t="n">
        <v>-39.2663631486526</v>
      </c>
      <c r="J69" t="n">
        <v>-85046.3204660295</v>
      </c>
      <c r="K69" t="n">
        <v>24257651.4614828</v>
      </c>
      <c r="L69" t="n">
        <v>577391.52759898</v>
      </c>
      <c r="M69" t="n">
        <v>23680259.9338838</v>
      </c>
      <c r="N69" t="n">
        <v>50807.6724861638</v>
      </c>
      <c r="O69" t="n">
        <v>24229492.7522457</v>
      </c>
    </row>
    <row r="70">
      <c r="B70" s="106" t="s">
        <v>526</v>
      </c>
      <c r="C70" t="s">
        <v>502</v>
      </c>
      <c r="D70" t="s">
        <v>503</v>
      </c>
      <c r="E70"/>
      <c r="F70" t="n">
        <v>4004.67327559339</v>
      </c>
      <c r="G70" t="n">
        <v>-18030.3434125732</v>
      </c>
      <c r="H70" t="n">
        <v>-5011.9793582163</v>
      </c>
      <c r="I70" t="n">
        <v>-188.822893711611</v>
      </c>
      <c r="J70" t="n">
        <v>-408921.310021149</v>
      </c>
      <c r="K70" t="n">
        <v>2390789.94552925</v>
      </c>
      <c r="L70" t="n">
        <v>2776224.75101903</v>
      </c>
      <c r="M70" t="n">
        <v>-385434.805489776</v>
      </c>
      <c r="N70" t="n">
        <v>0</v>
      </c>
      <c r="O70" t="n">
        <v>2390789.94552925</v>
      </c>
    </row>
    <row r="71">
      <c r="B71" s="106" t="s">
        <v>526</v>
      </c>
      <c r="C71" t="s">
        <v>502</v>
      </c>
      <c r="D71" t="s">
        <v>504</v>
      </c>
      <c r="E71"/>
      <c r="F71" t="n">
        <v>168.019995897012</v>
      </c>
      <c r="G71" t="n">
        <v>-482.907804106808</v>
      </c>
      <c r="H71" t="n">
        <v>-134.236153506489</v>
      </c>
      <c r="I71" t="n">
        <v>-5.05725525470475</v>
      </c>
      <c r="J71" t="n">
        <v>-10952.1647678151</v>
      </c>
      <c r="K71" t="n">
        <v>100307.937550516</v>
      </c>
      <c r="L71" t="n">
        <v>70851.6755373085</v>
      </c>
      <c r="M71" t="n">
        <v>29456.2620132077</v>
      </c>
      <c r="N71" t="n">
        <v>0</v>
      </c>
      <c r="O71" t="n">
        <v>100307.937550516</v>
      </c>
    </row>
    <row r="72">
      <c r="B72" s="106" t="s">
        <v>526</v>
      </c>
      <c r="C72" t="s">
        <v>502</v>
      </c>
      <c r="D72" t="s">
        <v>505</v>
      </c>
      <c r="E72" t="s">
        <v>506</v>
      </c>
      <c r="F72" t="n">
        <v>1144.89231326296</v>
      </c>
      <c r="G72" t="n">
        <v>-3749.69495746715</v>
      </c>
      <c r="H72" t="n">
        <v>-103.77164101656</v>
      </c>
      <c r="I72" t="n">
        <v>-3.08219361487605</v>
      </c>
      <c r="J72" t="n">
        <v>-85041.6511267287</v>
      </c>
      <c r="K72" t="n">
        <v>683500.711017988</v>
      </c>
      <c r="L72" t="n">
        <v>515766.48320144</v>
      </c>
      <c r="M72" t="n">
        <v>167734.227816548</v>
      </c>
      <c r="N72" t="n">
        <v>0</v>
      </c>
      <c r="O72" t="n">
        <v>683500.711017988</v>
      </c>
    </row>
    <row r="73">
      <c r="B73" s="106" t="s">
        <v>526</v>
      </c>
      <c r="C73" t="s">
        <v>502</v>
      </c>
      <c r="D73" t="s">
        <v>505</v>
      </c>
      <c r="E73" t="s">
        <v>507</v>
      </c>
      <c r="F73" t="n">
        <v>40.7418181917801</v>
      </c>
      <c r="G73" t="n">
        <v>-170.663495600453</v>
      </c>
      <c r="H73" t="n">
        <v>-4.72305912906692</v>
      </c>
      <c r="I73" t="n">
        <v>-0.140282860979032</v>
      </c>
      <c r="J73" t="n">
        <v>-3870.5829720947</v>
      </c>
      <c r="K73" t="n">
        <v>24322.8654604927</v>
      </c>
      <c r="L73" t="n">
        <v>23474.5791151415</v>
      </c>
      <c r="M73" t="n">
        <v>848.286345351172</v>
      </c>
      <c r="N73" t="n">
        <v>0</v>
      </c>
      <c r="O73" t="n">
        <v>24322.8654604927</v>
      </c>
    </row>
    <row r="74">
      <c r="B74" s="106" t="s">
        <v>526</v>
      </c>
      <c r="C74" t="s">
        <v>502</v>
      </c>
      <c r="D74" t="s">
        <v>508</v>
      </c>
      <c r="E74" t="s">
        <v>509</v>
      </c>
      <c r="F74" t="n">
        <v>53.3017027188082</v>
      </c>
      <c r="G74" t="n">
        <v>-11952.7989886165</v>
      </c>
      <c r="H74" t="n">
        <v>-3322.57575094654</v>
      </c>
      <c r="I74" t="n">
        <v>-125.175768499779</v>
      </c>
      <c r="J74" t="n">
        <v>-271084.921069007</v>
      </c>
      <c r="K74" t="n">
        <v>1332542.56797021</v>
      </c>
      <c r="L74" t="n">
        <v>1840433.96383743</v>
      </c>
      <c r="M74" t="n">
        <v>-507891.395867225</v>
      </c>
      <c r="N74" t="n">
        <v>0</v>
      </c>
      <c r="O74" t="n">
        <v>1332542.56797021</v>
      </c>
    </row>
    <row r="75">
      <c r="B75" s="106" t="s">
        <v>526</v>
      </c>
      <c r="C75" t="s">
        <v>502</v>
      </c>
      <c r="D75" t="s">
        <v>508</v>
      </c>
      <c r="E75" t="s">
        <v>510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B76" s="106" t="s">
        <v>526</v>
      </c>
      <c r="C76" t="s">
        <v>502</v>
      </c>
      <c r="D76" t="s">
        <v>508</v>
      </c>
      <c r="E76" t="s">
        <v>511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B77" s="106" t="s">
        <v>526</v>
      </c>
      <c r="C77" t="s">
        <v>502</v>
      </c>
      <c r="D77" t="s">
        <v>512</v>
      </c>
      <c r="E77" t="s">
        <v>513</v>
      </c>
      <c r="F77" t="n">
        <v>81.7547570759003</v>
      </c>
      <c r="G77" t="n">
        <v>-1318.40471707663</v>
      </c>
      <c r="H77" t="n">
        <v>-366.483159891187</v>
      </c>
      <c r="I77" t="n">
        <v>-13.8070023440512</v>
      </c>
      <c r="J77" t="n">
        <v>-29900.9160118984</v>
      </c>
      <c r="K77" t="n">
        <v>1226321.35613851</v>
      </c>
      <c r="L77" t="n">
        <v>203001.558187516</v>
      </c>
      <c r="M77" t="n">
        <v>1023319.79795099</v>
      </c>
      <c r="N77" t="n">
        <v>0</v>
      </c>
      <c r="O77" t="n">
        <v>1226321.35613851</v>
      </c>
    </row>
    <row r="78">
      <c r="B78" s="106" t="s">
        <v>526</v>
      </c>
      <c r="C78" t="s">
        <v>502</v>
      </c>
      <c r="D78" t="s">
        <v>512</v>
      </c>
      <c r="E78" t="s">
        <v>514</v>
      </c>
      <c r="F78" t="n">
        <v>28.072110164065</v>
      </c>
      <c r="G78" t="n">
        <v>-218.465785845041</v>
      </c>
      <c r="H78" t="n">
        <v>-60.7279619737194</v>
      </c>
      <c r="I78" t="n">
        <v>-16.8808372039425</v>
      </c>
      <c r="J78" t="n">
        <v>-4954.72067826823</v>
      </c>
      <c r="K78" t="n">
        <v>421081.652460974</v>
      </c>
      <c r="L78" t="n">
        <v>32053.0478966383</v>
      </c>
      <c r="M78" t="n">
        <v>389028.604564336</v>
      </c>
      <c r="N78" t="n">
        <v>0</v>
      </c>
      <c r="O78" t="n">
        <v>421081.652460974</v>
      </c>
    </row>
    <row r="79">
      <c r="B79" s="106" t="s">
        <v>526</v>
      </c>
      <c r="C79" t="s">
        <v>502</v>
      </c>
      <c r="D79" t="s">
        <v>512</v>
      </c>
      <c r="E79" t="s">
        <v>515</v>
      </c>
      <c r="F79" t="n">
        <v>483.436753973815</v>
      </c>
      <c r="G79" t="n">
        <v>-8727.07737826409</v>
      </c>
      <c r="H79" t="n">
        <v>-241.519150515831</v>
      </c>
      <c r="I79" t="n">
        <v>-6.68396732807372</v>
      </c>
      <c r="J79" t="n">
        <v>-197926.78555901</v>
      </c>
      <c r="K79" t="n">
        <v>7251551.30960722</v>
      </c>
      <c r="L79" t="n">
        <v>1200400.0482894</v>
      </c>
      <c r="M79" t="n">
        <v>6051151.26131782</v>
      </c>
      <c r="N79" t="n">
        <v>0</v>
      </c>
      <c r="O79" t="n">
        <v>7251551.30960722</v>
      </c>
    </row>
    <row r="80">
      <c r="B80" s="106" t="s">
        <v>526</v>
      </c>
      <c r="C80" t="s">
        <v>516</v>
      </c>
      <c r="D80"/>
      <c r="E80"/>
      <c r="F80" t="n">
        <v>14837.3211208179</v>
      </c>
      <c r="G80" t="n">
        <v>-1468.4109295812</v>
      </c>
      <c r="H80" t="n">
        <v>-408.181092286241</v>
      </c>
      <c r="I80" t="n">
        <v>-15.3779434221939</v>
      </c>
      <c r="J80" t="n">
        <v>-33302.9996841319</v>
      </c>
      <c r="K80" t="n">
        <v>964425.872853165</v>
      </c>
      <c r="L80" t="n">
        <v>226098.786589244</v>
      </c>
      <c r="M80" t="n">
        <v>738327.086263921</v>
      </c>
      <c r="N80" t="n">
        <v>0</v>
      </c>
      <c r="O80" t="n">
        <v>964425.872853165</v>
      </c>
    </row>
    <row r="81">
      <c r="B81" s="106" t="s">
        <v>526</v>
      </c>
      <c r="C81" t="s">
        <v>517</v>
      </c>
      <c r="D81" t="s">
        <v>518</v>
      </c>
      <c r="E81"/>
      <c r="F81" t="n">
        <v>1548.22495100931</v>
      </c>
      <c r="G81" t="n">
        <v>-45891.2297935132</v>
      </c>
      <c r="H81" t="n">
        <v>-12756.6009721566</v>
      </c>
      <c r="I81" t="n">
        <v>-480.541158621138</v>
      </c>
      <c r="J81" t="n">
        <v>-1040795.58421271</v>
      </c>
      <c r="K81" t="n">
        <v>6973261.62930998</v>
      </c>
      <c r="L81" t="n">
        <v>7066108.7862924</v>
      </c>
      <c r="M81" t="n">
        <v>-92847.1569824279</v>
      </c>
      <c r="N81" t="n">
        <v>19649136.0213998</v>
      </c>
      <c r="O81" t="n">
        <v>-1972084.14200679</v>
      </c>
    </row>
    <row r="82">
      <c r="B82" s="106" t="s">
        <v>526</v>
      </c>
      <c r="C82" t="s">
        <v>517</v>
      </c>
      <c r="D82" t="s">
        <v>519</v>
      </c>
      <c r="E82"/>
      <c r="F82" t="n">
        <v>14905.3982208268</v>
      </c>
      <c r="G82" t="n">
        <v>-5512.63489578421</v>
      </c>
      <c r="H82" t="n">
        <v>-152.560455170223</v>
      </c>
      <c r="I82" t="n">
        <v>-4.53130408464109</v>
      </c>
      <c r="J82" t="n">
        <v>-125024.456366173</v>
      </c>
      <c r="K82" t="n">
        <v>1092239.85508405</v>
      </c>
      <c r="L82" t="n">
        <v>758256.963732512</v>
      </c>
      <c r="M82" t="n">
        <v>333982.891351543</v>
      </c>
      <c r="N82" t="n">
        <v>7280482.2424421</v>
      </c>
      <c r="O82" t="n">
        <v>-1848412.52104413</v>
      </c>
    </row>
    <row r="83">
      <c r="B83" s="106" t="s">
        <v>526</v>
      </c>
      <c r="C83" t="s">
        <v>517</v>
      </c>
      <c r="D83" t="s">
        <v>520</v>
      </c>
      <c r="E83"/>
      <c r="F83" t="n">
        <v>141602.83625327</v>
      </c>
      <c r="G83" t="n">
        <v>-171295.768098235</v>
      </c>
      <c r="H83" t="n">
        <v>-47615.8902622639</v>
      </c>
      <c r="I83" t="n">
        <v>-1793.69058617948</v>
      </c>
      <c r="J83" t="n">
        <v>-3884922.67113245</v>
      </c>
      <c r="K83" t="n">
        <v>48061311.4233748</v>
      </c>
      <c r="L83" t="n">
        <v>26375290.8226648</v>
      </c>
      <c r="M83" t="n">
        <v>21686020.6007101</v>
      </c>
      <c r="N83" t="n">
        <v>139394757.309143</v>
      </c>
      <c r="O83" t="n">
        <v>-8496170.17519619</v>
      </c>
    </row>
    <row r="84">
      <c r="B84" s="106" t="s">
        <v>526</v>
      </c>
      <c r="C84" t="s">
        <v>521</v>
      </c>
      <c r="D84" t="s">
        <v>522</v>
      </c>
      <c r="E84"/>
      <c r="F84" t="n">
        <v>165.841081189957</v>
      </c>
      <c r="G84" t="n">
        <v>-6607.99671774854</v>
      </c>
      <c r="H84" t="n">
        <v>-1836.85592504112</v>
      </c>
      <c r="I84" t="n">
        <v>-69.1943626962992</v>
      </c>
      <c r="J84" t="n">
        <v>-149866.844607789</v>
      </c>
      <c r="K84" t="n">
        <v>2730035.30237096</v>
      </c>
      <c r="L84" t="n">
        <v>1017467.25631821</v>
      </c>
      <c r="M84" t="n">
        <v>1712568.04605275</v>
      </c>
      <c r="N84" t="n">
        <v>6150195.27949219</v>
      </c>
      <c r="O84" t="n">
        <v>-211243.570318876</v>
      </c>
    </row>
    <row r="85">
      <c r="B85" s="106" t="s">
        <v>526</v>
      </c>
      <c r="C85" t="s">
        <v>521</v>
      </c>
      <c r="D85" t="s">
        <v>523</v>
      </c>
      <c r="E85"/>
      <c r="F85" t="n">
        <v>7422.06945544474</v>
      </c>
      <c r="G85" t="n">
        <v>-12445.2654963315</v>
      </c>
      <c r="H85" t="n">
        <v>-3459.46898009889</v>
      </c>
      <c r="I85" t="n">
        <v>-130.318196480325</v>
      </c>
      <c r="J85" t="n">
        <v>-282253.873588011</v>
      </c>
      <c r="K85" t="n">
        <v>6385036.82605993</v>
      </c>
      <c r="L85" t="n">
        <v>1916261.56603456</v>
      </c>
      <c r="M85" t="n">
        <v>4468775.26002537</v>
      </c>
      <c r="N85" t="n">
        <v>16165867.4085541</v>
      </c>
      <c r="O85" t="n">
        <v>-445324.167326684</v>
      </c>
    </row>
    <row r="86">
      <c r="B86" s="106" t="s">
        <v>526</v>
      </c>
      <c r="C86" t="s">
        <v>524</v>
      </c>
      <c r="D86"/>
      <c r="E86"/>
      <c r="F86" t="n">
        <v>4494.42750122454</v>
      </c>
      <c r="G86" t="n">
        <v>-9422.51349798346</v>
      </c>
      <c r="H86" t="n">
        <v>-44767.431020209</v>
      </c>
      <c r="I86" t="n">
        <v>-1686.38912653127</v>
      </c>
      <c r="J86" t="n">
        <v>-213699.011445365</v>
      </c>
      <c r="K86" t="n">
        <v>139248381.884889</v>
      </c>
      <c r="L86" t="n">
        <v>0</v>
      </c>
      <c r="M86" t="n">
        <v>139248381.884889</v>
      </c>
      <c r="N86" t="n">
        <v>101401580.232968</v>
      </c>
      <c r="O86" t="n">
        <v>102652724.127968</v>
      </c>
    </row>
    <row r="87">
      <c r="B87" s="106" t="s">
        <v>527</v>
      </c>
      <c r="C87" t="s">
        <v>487</v>
      </c>
      <c r="D87" t="s">
        <v>488</v>
      </c>
      <c r="E87"/>
      <c r="F87" t="n">
        <v>5245.90849696717</v>
      </c>
      <c r="G87" t="n">
        <v>-69800.0926702969</v>
      </c>
      <c r="H87" t="n">
        <v>-19402.6600414698</v>
      </c>
      <c r="I87" t="n">
        <v>-730.981944035145</v>
      </c>
      <c r="J87" t="n">
        <v>-1583039.47302698</v>
      </c>
      <c r="K87" t="n">
        <v>70007447.9508142</v>
      </c>
      <c r="L87" t="n">
        <v>10666175.8800113</v>
      </c>
      <c r="M87" t="n">
        <v>59341272.0708028</v>
      </c>
      <c r="N87" t="n">
        <v>16194119.5301377</v>
      </c>
      <c r="O87" t="n">
        <v>67472875.0879918</v>
      </c>
    </row>
    <row r="88">
      <c r="B88" s="106" t="s">
        <v>527</v>
      </c>
      <c r="C88" t="s">
        <v>487</v>
      </c>
      <c r="D88" t="s">
        <v>489</v>
      </c>
      <c r="E88" t="s">
        <v>490</v>
      </c>
      <c r="F88" t="n">
        <v>228.236284159331</v>
      </c>
      <c r="G88" t="n">
        <v>-5455.33463124176</v>
      </c>
      <c r="H88" t="n">
        <v>-666.038173311594</v>
      </c>
      <c r="I88" t="n">
        <v>-24.3690179914611</v>
      </c>
      <c r="J88" t="n">
        <v>-123724.908226401</v>
      </c>
      <c r="K88" t="n">
        <v>1834427.64628387</v>
      </c>
      <c r="L88" t="n">
        <v>794345.454787849</v>
      </c>
      <c r="M88" t="n">
        <v>1040082.19149602</v>
      </c>
      <c r="N88" t="n">
        <v>-2849010.44286911</v>
      </c>
      <c r="O88" t="n">
        <v>2509752.37776975</v>
      </c>
    </row>
    <row r="89">
      <c r="B89" s="106" t="s">
        <v>527</v>
      </c>
      <c r="C89" t="s">
        <v>487</v>
      </c>
      <c r="D89" t="s">
        <v>489</v>
      </c>
      <c r="E89" t="s">
        <v>491</v>
      </c>
      <c r="F89" t="n">
        <v>947.28156876749</v>
      </c>
      <c r="G89" t="n">
        <v>-10875.5411536667</v>
      </c>
      <c r="H89" t="n">
        <v>-1337.65029156561</v>
      </c>
      <c r="I89" t="n">
        <v>-48.9617565127262</v>
      </c>
      <c r="J89" t="n">
        <v>-246653.124346211</v>
      </c>
      <c r="K89" t="n">
        <v>4310417.15654951</v>
      </c>
      <c r="L89" t="n">
        <v>1583575.94313273</v>
      </c>
      <c r="M89" t="n">
        <v>2726841.21341678</v>
      </c>
      <c r="N89" t="n">
        <v>-5772845.02525977</v>
      </c>
      <c r="O89" t="n">
        <v>5678802.81001419</v>
      </c>
    </row>
    <row r="90">
      <c r="B90" s="106" t="s">
        <v>527</v>
      </c>
      <c r="C90" t="s">
        <v>487</v>
      </c>
      <c r="D90" t="s">
        <v>492</v>
      </c>
      <c r="E90" t="s">
        <v>493</v>
      </c>
      <c r="F90" t="n">
        <v>1613.02870938833</v>
      </c>
      <c r="G90" t="n">
        <v>-52121.7797883763</v>
      </c>
      <c r="H90" t="n">
        <v>-1442.45403498024</v>
      </c>
      <c r="I90" t="n">
        <v>-42.8433295726606</v>
      </c>
      <c r="J90" t="n">
        <v>-1182102.08114139</v>
      </c>
      <c r="K90" t="n">
        <v>31725007.3077913</v>
      </c>
      <c r="L90" t="n">
        <v>7115059.4445052</v>
      </c>
      <c r="M90" t="n">
        <v>24609947.8632861</v>
      </c>
      <c r="N90" t="n">
        <v>38523964.6663214</v>
      </c>
      <c r="O90" t="n">
        <v>25695547.3405561</v>
      </c>
    </row>
    <row r="91">
      <c r="B91" s="106" t="s">
        <v>527</v>
      </c>
      <c r="C91" t="s">
        <v>487</v>
      </c>
      <c r="D91" t="s">
        <v>492</v>
      </c>
      <c r="E91" t="s">
        <v>494</v>
      </c>
      <c r="F91" t="n">
        <v>295.596048801364</v>
      </c>
      <c r="G91" t="n">
        <v>-33683.4608674515</v>
      </c>
      <c r="H91" t="n">
        <v>-932.179296977688</v>
      </c>
      <c r="I91" t="n">
        <v>-27.6873050181964</v>
      </c>
      <c r="J91" t="n">
        <v>-763928.042233479</v>
      </c>
      <c r="K91" t="n">
        <v>7024536.92639178</v>
      </c>
      <c r="L91" t="n">
        <v>4598074.49671987</v>
      </c>
      <c r="M91" t="n">
        <v>2426462.42967191</v>
      </c>
      <c r="N91" t="n">
        <v>7059720.43352298</v>
      </c>
      <c r="O91" t="n">
        <v>5919606.47329612</v>
      </c>
    </row>
    <row r="92">
      <c r="B92" s="106" t="s">
        <v>527</v>
      </c>
      <c r="C92" t="s">
        <v>487</v>
      </c>
      <c r="D92" t="s">
        <v>495</v>
      </c>
      <c r="E92" t="s">
        <v>496</v>
      </c>
      <c r="F92" t="n">
        <v>216999.154395943</v>
      </c>
      <c r="G92" t="n">
        <v>-48311.0632998788</v>
      </c>
      <c r="H92" t="n">
        <v>-13429.253472398</v>
      </c>
      <c r="I92" t="n">
        <v>-505.879978305233</v>
      </c>
      <c r="J92" t="n">
        <v>-1095676.4849706</v>
      </c>
      <c r="K92" t="n">
        <v>147984369.144842</v>
      </c>
      <c r="L92" t="n">
        <v>7382429.99964023</v>
      </c>
      <c r="M92" t="n">
        <v>140601939.145202</v>
      </c>
      <c r="N92" t="n">
        <v>20386058.9176846</v>
      </c>
      <c r="O92" t="n">
        <v>144611334.278587</v>
      </c>
    </row>
    <row r="93">
      <c r="B93" s="106" t="s">
        <v>527</v>
      </c>
      <c r="C93" t="s">
        <v>487</v>
      </c>
      <c r="D93" t="s">
        <v>495</v>
      </c>
      <c r="E93" t="s">
        <v>497</v>
      </c>
      <c r="F93" t="n">
        <v>34582.6072564483</v>
      </c>
      <c r="G93" t="n">
        <v>-9945.89259846322</v>
      </c>
      <c r="H93" t="n">
        <v>-2764.70654112771</v>
      </c>
      <c r="I93" t="n">
        <v>-104.146495404281</v>
      </c>
      <c r="J93" t="n">
        <v>-225569.04977512</v>
      </c>
      <c r="K93" t="n">
        <v>32765778.6570102</v>
      </c>
      <c r="L93" t="n">
        <v>1519835.22772679</v>
      </c>
      <c r="M93" t="n">
        <v>31245943.4292834</v>
      </c>
      <c r="N93" t="n">
        <v>6943705.03176146</v>
      </c>
      <c r="O93" t="n">
        <v>31538719.5576259</v>
      </c>
    </row>
    <row r="94">
      <c r="B94" s="106" t="s">
        <v>527</v>
      </c>
      <c r="C94" t="s">
        <v>487</v>
      </c>
      <c r="D94" t="s">
        <v>495</v>
      </c>
      <c r="E94" t="s">
        <v>498</v>
      </c>
      <c r="F94" t="n">
        <v>28361.1139100458</v>
      </c>
      <c r="G94" t="n">
        <v>-24901.4333384104</v>
      </c>
      <c r="H94" t="n">
        <v>-6921.96853651892</v>
      </c>
      <c r="I94" t="n">
        <v>-260.750554770668</v>
      </c>
      <c r="J94" t="n">
        <v>-564755.008218328</v>
      </c>
      <c r="K94" t="n">
        <v>16968357.5876908</v>
      </c>
      <c r="L94" t="n">
        <v>3805196.49030336</v>
      </c>
      <c r="M94" t="n">
        <v>13163161.0973875</v>
      </c>
      <c r="N94" t="n">
        <v>1953099.38568995</v>
      </c>
      <c r="O94" t="n">
        <v>16738705.304394</v>
      </c>
    </row>
    <row r="95">
      <c r="B95" s="106" t="s">
        <v>527</v>
      </c>
      <c r="C95" t="s">
        <v>487</v>
      </c>
      <c r="D95" t="s">
        <v>495</v>
      </c>
      <c r="E95" t="s">
        <v>499</v>
      </c>
      <c r="F95" t="n">
        <v>34458.2207370282</v>
      </c>
      <c r="G95" t="n">
        <v>-65407.4555550865</v>
      </c>
      <c r="H95" t="n">
        <v>-18181.6180319109</v>
      </c>
      <c r="I95" t="n">
        <v>-684.901551262083</v>
      </c>
      <c r="J95" t="n">
        <v>-1483416.13904507</v>
      </c>
      <c r="K95" t="n">
        <v>126157066.408287</v>
      </c>
      <c r="L95" t="n">
        <v>9994935.50975554</v>
      </c>
      <c r="M95" t="n">
        <v>116162130.898531</v>
      </c>
      <c r="N95" t="n">
        <v>28611950.9249868</v>
      </c>
      <c r="O95" t="n">
        <v>121673580.049322</v>
      </c>
    </row>
    <row r="96">
      <c r="B96" s="106" t="s">
        <v>527</v>
      </c>
      <c r="C96" t="s">
        <v>487</v>
      </c>
      <c r="D96" t="s">
        <v>495</v>
      </c>
      <c r="E96" t="s">
        <v>500</v>
      </c>
      <c r="F96" t="n">
        <v>62818.1592028378</v>
      </c>
      <c r="G96" t="n">
        <v>-76682.9468332559</v>
      </c>
      <c r="H96" t="n">
        <v>-21315.9193711391</v>
      </c>
      <c r="I96" t="n">
        <v>-802.97068271081</v>
      </c>
      <c r="J96" t="n">
        <v>-1739139.97963403</v>
      </c>
      <c r="K96" t="n">
        <v>249490039.832548</v>
      </c>
      <c r="L96" t="n">
        <v>11717947.1635447</v>
      </c>
      <c r="M96" t="n">
        <v>237772092.669004</v>
      </c>
      <c r="N96" t="n">
        <v>60018835.2312629</v>
      </c>
      <c r="O96" t="n">
        <v>240092513.773873</v>
      </c>
    </row>
    <row r="97">
      <c r="B97" s="106" t="s">
        <v>527</v>
      </c>
      <c r="C97" t="s">
        <v>487</v>
      </c>
      <c r="D97" t="s">
        <v>495</v>
      </c>
      <c r="E97" t="s">
        <v>501</v>
      </c>
      <c r="F97" t="n">
        <v>145569.275315297</v>
      </c>
      <c r="G97" t="n">
        <v>-186675.772528145</v>
      </c>
      <c r="H97" t="n">
        <v>-51891.1424258068</v>
      </c>
      <c r="I97" t="n">
        <v>-1954.73933518014</v>
      </c>
      <c r="J97" t="n">
        <v>-4233735.30413112</v>
      </c>
      <c r="K97" t="n">
        <v>514816374.433598</v>
      </c>
      <c r="L97" t="n">
        <v>28525988.2351058</v>
      </c>
      <c r="M97" t="n">
        <v>486290386.198492</v>
      </c>
      <c r="N97" t="n">
        <v>113564163.824302</v>
      </c>
      <c r="O97" t="n">
        <v>497014069.542315</v>
      </c>
    </row>
    <row r="98">
      <c r="B98" s="106" t="s">
        <v>527</v>
      </c>
      <c r="C98" t="s">
        <v>502</v>
      </c>
      <c r="D98" t="s">
        <v>503</v>
      </c>
      <c r="E98"/>
      <c r="F98" t="n">
        <v>23065.5941564767</v>
      </c>
      <c r="G98" t="n">
        <v>-167385.284478224</v>
      </c>
      <c r="H98" t="n">
        <v>-46528.8747683534</v>
      </c>
      <c r="I98" t="n">
        <v>-1752.94352729185</v>
      </c>
      <c r="J98" t="n">
        <v>-3796234.3944801</v>
      </c>
      <c r="K98" t="n">
        <v>30753435.4594461</v>
      </c>
      <c r="L98" t="n">
        <v>25578202.2010155</v>
      </c>
      <c r="M98" t="n">
        <v>5175233.25843054</v>
      </c>
      <c r="N98" t="n">
        <v>58854602.5485911</v>
      </c>
      <c r="O98" t="n">
        <v>13770159.7114166</v>
      </c>
    </row>
    <row r="99">
      <c r="B99" s="106" t="s">
        <v>527</v>
      </c>
      <c r="C99" t="s">
        <v>502</v>
      </c>
      <c r="D99" t="s">
        <v>504</v>
      </c>
      <c r="E99"/>
      <c r="F99" t="n">
        <v>4055.87859898413</v>
      </c>
      <c r="G99" t="n">
        <v>-68329.0346283142</v>
      </c>
      <c r="H99" t="n">
        <v>-18993.7431188995</v>
      </c>
      <c r="I99" t="n">
        <v>-715.576278710367</v>
      </c>
      <c r="J99" t="n">
        <v>-1549676.43784345</v>
      </c>
      <c r="K99" t="n">
        <v>7208231.74815167</v>
      </c>
      <c r="L99" t="n">
        <v>9949317.82483308</v>
      </c>
      <c r="M99" t="n">
        <v>-2741086.07668142</v>
      </c>
      <c r="N99" t="n">
        <v>14641760.8295693</v>
      </c>
      <c r="O99" t="n">
        <v>2421359.52359352</v>
      </c>
    </row>
    <row r="100">
      <c r="B100" s="106" t="s">
        <v>527</v>
      </c>
      <c r="C100" t="s">
        <v>502</v>
      </c>
      <c r="D100" t="s">
        <v>505</v>
      </c>
      <c r="E100" t="s">
        <v>506</v>
      </c>
      <c r="F100" t="n">
        <v>7905.10659841388</v>
      </c>
      <c r="G100" t="n">
        <v>-103482.659533069</v>
      </c>
      <c r="H100" t="n">
        <v>-2863.85039804897</v>
      </c>
      <c r="I100" t="n">
        <v>-85.0612106000923</v>
      </c>
      <c r="J100" t="n">
        <v>-2346947.23957539</v>
      </c>
      <c r="K100" t="n">
        <v>11266671.6424584</v>
      </c>
      <c r="L100" t="n">
        <v>14126249.6607508</v>
      </c>
      <c r="M100" t="n">
        <v>-2859578.01829241</v>
      </c>
      <c r="N100" t="n">
        <v>22689385.6537427</v>
      </c>
      <c r="O100" t="n">
        <v>4719348.63925308</v>
      </c>
    </row>
    <row r="101">
      <c r="B101" s="106" t="s">
        <v>527</v>
      </c>
      <c r="C101" t="s">
        <v>502</v>
      </c>
      <c r="D101" t="s">
        <v>505</v>
      </c>
      <c r="E101" t="s">
        <v>507</v>
      </c>
      <c r="F101" t="n">
        <v>1408.08869234506</v>
      </c>
      <c r="G101" t="n">
        <v>-33374.9715833217</v>
      </c>
      <c r="H101" t="n">
        <v>-923.641952043423</v>
      </c>
      <c r="I101" t="n">
        <v>-27.4337314041858</v>
      </c>
      <c r="J101" t="n">
        <v>-756931.622958077</v>
      </c>
      <c r="K101" t="n">
        <v>3611712.96192725</v>
      </c>
      <c r="L101" t="n">
        <v>4555963.12593613</v>
      </c>
      <c r="M101" t="n">
        <v>-944250.164008887</v>
      </c>
      <c r="N101" t="n">
        <v>10906104.0962395</v>
      </c>
      <c r="O101" t="n">
        <v>840628.949329999</v>
      </c>
    </row>
    <row r="102">
      <c r="B102" s="106" t="s">
        <v>527</v>
      </c>
      <c r="C102" t="s">
        <v>502</v>
      </c>
      <c r="D102" t="s">
        <v>508</v>
      </c>
      <c r="E102" t="s">
        <v>509</v>
      </c>
      <c r="F102" t="n">
        <v>307.000186570534</v>
      </c>
      <c r="G102" t="n">
        <v>-68844.1706806959</v>
      </c>
      <c r="H102" t="n">
        <v>-19136.937910154</v>
      </c>
      <c r="I102" t="n">
        <v>-720.971044513778</v>
      </c>
      <c r="J102" t="n">
        <v>-1561359.52698707</v>
      </c>
      <c r="K102" t="n">
        <v>7675004.66426335</v>
      </c>
      <c r="L102" t="n">
        <v>10520101.1159445</v>
      </c>
      <c r="M102" t="n">
        <v>-2845096.45168119</v>
      </c>
      <c r="N102" t="n">
        <v>0</v>
      </c>
      <c r="O102" t="n">
        <v>7675004.66426335</v>
      </c>
    </row>
    <row r="103">
      <c r="B103" s="106" t="s">
        <v>527</v>
      </c>
      <c r="C103" t="s">
        <v>502</v>
      </c>
      <c r="D103" t="s">
        <v>508</v>
      </c>
      <c r="E103" t="s">
        <v>510</v>
      </c>
      <c r="F103" t="n">
        <v>289.805507140894</v>
      </c>
      <c r="G103" t="n">
        <v>-39483.1029269244</v>
      </c>
      <c r="H103" t="n">
        <v>-10975.3038164586</v>
      </c>
      <c r="I103" t="n">
        <v>-3050.85682061298</v>
      </c>
      <c r="J103" t="n">
        <v>-895461.711578879</v>
      </c>
      <c r="K103" t="n">
        <v>7245137.67852235</v>
      </c>
      <c r="L103" t="n">
        <v>5749092.48853616</v>
      </c>
      <c r="M103" t="n">
        <v>1496045.18998618</v>
      </c>
      <c r="N103" t="n">
        <v>0</v>
      </c>
      <c r="O103" t="n">
        <v>7245137.67852235</v>
      </c>
    </row>
    <row r="104">
      <c r="B104" s="106" t="s">
        <v>527</v>
      </c>
      <c r="C104" t="s">
        <v>502</v>
      </c>
      <c r="D104" t="s">
        <v>508</v>
      </c>
      <c r="E104" t="s">
        <v>511</v>
      </c>
      <c r="F104" t="n">
        <v>781.548284821454</v>
      </c>
      <c r="G104" t="n">
        <v>-27499.4629405273</v>
      </c>
      <c r="H104" t="n">
        <v>-761.039078853546</v>
      </c>
      <c r="I104" t="n">
        <v>-21.0615196665782</v>
      </c>
      <c r="J104" t="n">
        <v>-623677.328446048</v>
      </c>
      <c r="K104" t="n">
        <v>19538707.1205363</v>
      </c>
      <c r="L104" t="n">
        <v>3753906.99067137</v>
      </c>
      <c r="M104" t="n">
        <v>15784800.129865</v>
      </c>
      <c r="N104" t="n">
        <v>0</v>
      </c>
      <c r="O104" t="n">
        <v>19538707.1205363</v>
      </c>
    </row>
    <row r="105">
      <c r="B105" s="106" t="s">
        <v>527</v>
      </c>
      <c r="C105" t="s">
        <v>502</v>
      </c>
      <c r="D105" t="s">
        <v>512</v>
      </c>
      <c r="E105" t="s">
        <v>513</v>
      </c>
      <c r="F105" t="n">
        <v>477.350144957287</v>
      </c>
      <c r="G105" t="n">
        <v>-7697.90903084241</v>
      </c>
      <c r="H105" t="n">
        <v>-2139.82397790075</v>
      </c>
      <c r="I105" t="n">
        <v>-80.6164045504977</v>
      </c>
      <c r="J105" t="n">
        <v>-174585.640067211</v>
      </c>
      <c r="K105" t="n">
        <v>7160252.17435931</v>
      </c>
      <c r="L105" t="n">
        <v>1176320.0948619</v>
      </c>
      <c r="M105" t="n">
        <v>5983932.07949741</v>
      </c>
      <c r="N105" t="n">
        <v>0</v>
      </c>
      <c r="O105" t="n">
        <v>7160252.17435931</v>
      </c>
    </row>
    <row r="106">
      <c r="B106" s="106" t="s">
        <v>527</v>
      </c>
      <c r="C106" t="s">
        <v>502</v>
      </c>
      <c r="D106" t="s">
        <v>512</v>
      </c>
      <c r="E106" t="s">
        <v>514</v>
      </c>
      <c r="F106" t="n">
        <v>396.853599914194</v>
      </c>
      <c r="G106" t="n">
        <v>-3088.43663921179</v>
      </c>
      <c r="H106" t="n">
        <v>-858.507258053344</v>
      </c>
      <c r="I106" t="n">
        <v>-238.643300229197</v>
      </c>
      <c r="J106" t="n">
        <v>-70044.5647387455</v>
      </c>
      <c r="K106" t="n">
        <v>5952803.99871291</v>
      </c>
      <c r="L106" t="n">
        <v>449703.963659461</v>
      </c>
      <c r="M106" t="n">
        <v>5503100.03505345</v>
      </c>
      <c r="N106" t="n">
        <v>0</v>
      </c>
      <c r="O106" t="n">
        <v>5952803.99871291</v>
      </c>
    </row>
    <row r="107">
      <c r="B107" s="106" t="s">
        <v>527</v>
      </c>
      <c r="C107" t="s">
        <v>502</v>
      </c>
      <c r="D107" t="s">
        <v>512</v>
      </c>
      <c r="E107" t="s">
        <v>515</v>
      </c>
      <c r="F107" t="n">
        <v>2544.88846165446</v>
      </c>
      <c r="G107" t="n">
        <v>-45940.7323529912</v>
      </c>
      <c r="H107" t="n">
        <v>-1271.39547079123</v>
      </c>
      <c r="I107" t="n">
        <v>-35.1854739869686</v>
      </c>
      <c r="J107" t="n">
        <v>-1041918.28337645</v>
      </c>
      <c r="K107" t="n">
        <v>38173326.9248168</v>
      </c>
      <c r="L107" t="n">
        <v>6271294.70526123</v>
      </c>
      <c r="M107" t="n">
        <v>31902032.2195556</v>
      </c>
      <c r="N107" t="n">
        <v>0</v>
      </c>
      <c r="O107" t="n">
        <v>38173326.9248168</v>
      </c>
    </row>
    <row r="108">
      <c r="B108" s="106" t="s">
        <v>527</v>
      </c>
      <c r="C108" t="s">
        <v>516</v>
      </c>
      <c r="D108"/>
      <c r="E108"/>
      <c r="F108" t="n">
        <v>262041.579431754</v>
      </c>
      <c r="G108" t="n">
        <v>-25933.5708992929</v>
      </c>
      <c r="H108" t="n">
        <v>-7208.87667294546</v>
      </c>
      <c r="I108" t="n">
        <v>-271.589497184227</v>
      </c>
      <c r="J108" t="n">
        <v>-588163.494338665</v>
      </c>
      <c r="K108" t="n">
        <v>17032702.663064</v>
      </c>
      <c r="L108" t="n">
        <v>3962917.78171682</v>
      </c>
      <c r="M108" t="n">
        <v>13069784.8813472</v>
      </c>
      <c r="N108" t="n">
        <v>0</v>
      </c>
      <c r="O108" t="n">
        <v>17032702.663064</v>
      </c>
    </row>
    <row r="109">
      <c r="B109" s="106" t="s">
        <v>527</v>
      </c>
      <c r="C109" t="s">
        <v>517</v>
      </c>
      <c r="D109" t="s">
        <v>518</v>
      </c>
      <c r="E109"/>
      <c r="F109" t="n">
        <v>3870.56237752328</v>
      </c>
      <c r="G109" t="n">
        <v>-285506.133113175</v>
      </c>
      <c r="H109" t="n">
        <v>-79363.4825568132</v>
      </c>
      <c r="I109" t="n">
        <v>-2989.62238791515</v>
      </c>
      <c r="J109" t="n">
        <v>-6475170.17841702</v>
      </c>
      <c r="K109" t="n">
        <v>67802243.1630107</v>
      </c>
      <c r="L109" t="n">
        <v>43628289.220065</v>
      </c>
      <c r="M109" t="n">
        <v>24173953.9429458</v>
      </c>
      <c r="N109" t="n">
        <v>631162161.192505</v>
      </c>
      <c r="O109" t="n">
        <v>-11514616.2098059</v>
      </c>
    </row>
    <row r="110">
      <c r="B110" s="106" t="s">
        <v>527</v>
      </c>
      <c r="C110" t="s">
        <v>517</v>
      </c>
      <c r="D110" t="s">
        <v>519</v>
      </c>
      <c r="E110"/>
      <c r="F110" t="n">
        <v>37263.495552067</v>
      </c>
      <c r="G110" t="n">
        <v>-70046.1838003944</v>
      </c>
      <c r="H110" t="n">
        <v>-1938.50633781272</v>
      </c>
      <c r="I110" t="n">
        <v>-57.5769236977728</v>
      </c>
      <c r="J110" t="n">
        <v>-1588620.72597382</v>
      </c>
      <c r="K110" t="n">
        <v>27002677.7286843</v>
      </c>
      <c r="L110" t="n">
        <v>9561890.70335023</v>
      </c>
      <c r="M110" t="n">
        <v>17440787.0253341</v>
      </c>
      <c r="N110" t="n">
        <v>355380730.693553</v>
      </c>
      <c r="O110" t="n">
        <v>-14101963.9347094</v>
      </c>
    </row>
    <row r="111">
      <c r="B111" s="106" t="s">
        <v>527</v>
      </c>
      <c r="C111" t="s">
        <v>517</v>
      </c>
      <c r="D111" t="s">
        <v>520</v>
      </c>
      <c r="E111"/>
      <c r="F111" t="n">
        <v>1307863.96114823</v>
      </c>
      <c r="G111" t="n">
        <v>-1721595.11969756</v>
      </c>
      <c r="H111" t="n">
        <v>-478559.892084179</v>
      </c>
      <c r="I111" t="n">
        <v>-18027.351134811</v>
      </c>
      <c r="J111" t="n">
        <v>-39045120.5262025</v>
      </c>
      <c r="K111" t="n">
        <v>958189154.926745</v>
      </c>
      <c r="L111" t="n">
        <v>263077535.263468</v>
      </c>
      <c r="M111" t="n">
        <v>695111619.663278</v>
      </c>
      <c r="N111" t="n">
        <v>8604500413.89376</v>
      </c>
      <c r="O111" t="n">
        <v>-78471837.6688937</v>
      </c>
    </row>
    <row r="112">
      <c r="B112" s="106" t="s">
        <v>527</v>
      </c>
      <c r="C112" t="s">
        <v>521</v>
      </c>
      <c r="D112" t="s">
        <v>522</v>
      </c>
      <c r="E112"/>
      <c r="F112" t="n">
        <v>414.602702974892</v>
      </c>
      <c r="G112" t="n">
        <v>-38582.8091711666</v>
      </c>
      <c r="H112" t="n">
        <v>-10725.0449202607</v>
      </c>
      <c r="I112" t="n">
        <v>-404.012442146221</v>
      </c>
      <c r="J112" t="n">
        <v>-875043.392660359</v>
      </c>
      <c r="K112" t="n">
        <v>24809063.0796573</v>
      </c>
      <c r="L112" t="n">
        <v>5895852.18043274</v>
      </c>
      <c r="M112" t="n">
        <v>18913210.8992246</v>
      </c>
      <c r="N112" t="n">
        <v>199254830.224688</v>
      </c>
      <c r="O112" t="n">
        <v>-1233410.17109737</v>
      </c>
    </row>
    <row r="113">
      <c r="B113" s="106" t="s">
        <v>527</v>
      </c>
      <c r="C113" t="s">
        <v>521</v>
      </c>
      <c r="D113" t="s">
        <v>523</v>
      </c>
      <c r="E113"/>
      <c r="F113" t="n">
        <v>102780.948563408</v>
      </c>
      <c r="G113" t="n">
        <v>-172342.255824357</v>
      </c>
      <c r="H113" t="n">
        <v>-47906.7873771256</v>
      </c>
      <c r="I113" t="n">
        <v>-1804.64868049632</v>
      </c>
      <c r="J113" t="n">
        <v>-3908656.61352582</v>
      </c>
      <c r="K113" t="n">
        <v>148348633.435754</v>
      </c>
      <c r="L113" t="n">
        <v>26335678.6768673</v>
      </c>
      <c r="M113" t="n">
        <v>122012954.758886</v>
      </c>
      <c r="N113" t="n">
        <v>1273392460.46529</v>
      </c>
      <c r="O113" t="n">
        <v>-6166856.91380449</v>
      </c>
    </row>
    <row r="114">
      <c r="B114" s="106" t="s">
        <v>527</v>
      </c>
      <c r="C114" t="s">
        <v>524</v>
      </c>
      <c r="D114"/>
      <c r="E114"/>
      <c r="F114" t="n">
        <v>5767.09379954105</v>
      </c>
      <c r="G114" t="n">
        <v>-11052.4407983984</v>
      </c>
      <c r="H114" t="n">
        <v>-52544.8574447759</v>
      </c>
      <c r="I114" t="n">
        <v>-1979.36477994471</v>
      </c>
      <c r="J114" t="n">
        <v>-250665.140801511</v>
      </c>
      <c r="K114" t="n">
        <v>178679406.282289</v>
      </c>
      <c r="L114" t="n">
        <v>0</v>
      </c>
      <c r="M114" t="n">
        <v>178679406.282289</v>
      </c>
      <c r="N114" t="n">
        <v>102549014.141007</v>
      </c>
      <c r="O114" t="n">
        <v>131720422.381518</v>
      </c>
    </row>
    <row r="115">
      <c r="B115" s="106" t="s">
        <v>528</v>
      </c>
      <c r="C115" t="s">
        <v>487</v>
      </c>
      <c r="D115" t="s">
        <v>488</v>
      </c>
      <c r="E115"/>
      <c r="F115" t="n">
        <v>5205.22946330034</v>
      </c>
      <c r="G115" t="n">
        <v>-69258.832691911</v>
      </c>
      <c r="H115" t="n">
        <v>-19252.2034596386</v>
      </c>
      <c r="I115" t="n">
        <v>-725.313595239424</v>
      </c>
      <c r="J115" t="n">
        <v>-1570763.90320787</v>
      </c>
      <c r="K115" t="n">
        <v>69464580.0502844</v>
      </c>
      <c r="L115" t="n">
        <v>10929626.8894245</v>
      </c>
      <c r="M115" t="n">
        <v>58534953.1608599</v>
      </c>
      <c r="N115" t="n">
        <v>0</v>
      </c>
      <c r="O115" t="n">
        <v>66949661.356969</v>
      </c>
    </row>
    <row r="116">
      <c r="B116" s="106" t="s">
        <v>528</v>
      </c>
      <c r="C116" t="s">
        <v>487</v>
      </c>
      <c r="D116" t="s">
        <v>489</v>
      </c>
      <c r="E116" t="s">
        <v>490</v>
      </c>
      <c r="F116" t="n">
        <v>228.672114680428</v>
      </c>
      <c r="G116" t="n">
        <v>-5443.70526241972</v>
      </c>
      <c r="H116" t="n">
        <v>-661.187705257689</v>
      </c>
      <c r="I116" t="n">
        <v>-24.1846683732984</v>
      </c>
      <c r="J116" t="n">
        <v>-123461.158578122</v>
      </c>
      <c r="K116" t="n">
        <v>1737616.89419922</v>
      </c>
      <c r="L116" t="n">
        <v>818577.965418338</v>
      </c>
      <c r="M116" t="n">
        <v>919038.928780885</v>
      </c>
      <c r="N116" t="n">
        <v>-28445.4552185518</v>
      </c>
      <c r="O116" t="n">
        <v>2414231.19772101</v>
      </c>
    </row>
    <row r="117">
      <c r="B117" s="106" t="s">
        <v>528</v>
      </c>
      <c r="C117" t="s">
        <v>487</v>
      </c>
      <c r="D117" t="s">
        <v>489</v>
      </c>
      <c r="E117" t="s">
        <v>491</v>
      </c>
      <c r="F117" t="n">
        <v>949.090458275403</v>
      </c>
      <c r="G117" t="n">
        <v>-10852.2604230092</v>
      </c>
      <c r="H117" t="n">
        <v>-1327.97251956153</v>
      </c>
      <c r="I117" t="n">
        <v>-48.5939566489734</v>
      </c>
      <c r="J117" t="n">
        <v>-246125.126256498</v>
      </c>
      <c r="K117" t="n">
        <v>4116232.9687872</v>
      </c>
      <c r="L117" t="n">
        <v>1631870.35833534</v>
      </c>
      <c r="M117" t="n">
        <v>2484362.61045186</v>
      </c>
      <c r="N117" t="n">
        <v>-57637.9792010507</v>
      </c>
      <c r="O117" t="n">
        <v>5487231.63461582</v>
      </c>
    </row>
    <row r="118">
      <c r="B118" s="106" t="s">
        <v>528</v>
      </c>
      <c r="C118" t="s">
        <v>487</v>
      </c>
      <c r="D118" t="s">
        <v>492</v>
      </c>
      <c r="E118" t="s">
        <v>493</v>
      </c>
      <c r="F118" t="n">
        <v>1600.90322139845</v>
      </c>
      <c r="G118" t="n">
        <v>-51729.9690219861</v>
      </c>
      <c r="H118" t="n">
        <v>-1431.61079395465</v>
      </c>
      <c r="I118" t="n">
        <v>-42.5212669366047</v>
      </c>
      <c r="J118" t="n">
        <v>-1173215.96243546</v>
      </c>
      <c r="K118" t="n">
        <v>31486523.5208318</v>
      </c>
      <c r="L118" t="n">
        <v>7292542.0425778</v>
      </c>
      <c r="M118" t="n">
        <v>24193981.478254</v>
      </c>
      <c r="N118" t="n">
        <v>0</v>
      </c>
      <c r="O118" t="n">
        <v>25502388.3168774</v>
      </c>
    </row>
    <row r="119">
      <c r="B119" s="106" t="s">
        <v>528</v>
      </c>
      <c r="C119" t="s">
        <v>487</v>
      </c>
      <c r="D119" t="s">
        <v>492</v>
      </c>
      <c r="E119" t="s">
        <v>494</v>
      </c>
      <c r="F119" t="n">
        <v>292.721403870589</v>
      </c>
      <c r="G119" t="n">
        <v>-33355.8922466049</v>
      </c>
      <c r="H119" t="n">
        <v>-923.113937337408</v>
      </c>
      <c r="I119" t="n">
        <v>-27.4180484725149</v>
      </c>
      <c r="J119" t="n">
        <v>-756498.910880106</v>
      </c>
      <c r="K119" t="n">
        <v>6956223.93794564</v>
      </c>
      <c r="L119" t="n">
        <v>4702288.6573289</v>
      </c>
      <c r="M119" t="n">
        <v>2253935.28061673</v>
      </c>
      <c r="N119" t="n">
        <v>0</v>
      </c>
      <c r="O119" t="n">
        <v>5862038.83391242</v>
      </c>
    </row>
    <row r="120">
      <c r="B120" s="106" t="s">
        <v>528</v>
      </c>
      <c r="C120" t="s">
        <v>487</v>
      </c>
      <c r="D120" t="s">
        <v>495</v>
      </c>
      <c r="E120" t="s">
        <v>496</v>
      </c>
      <c r="F120" t="n">
        <v>210232.056985137</v>
      </c>
      <c r="G120" t="n">
        <v>-46913.0106669204</v>
      </c>
      <c r="H120" t="n">
        <v>-13040.630206973</v>
      </c>
      <c r="I120" t="n">
        <v>-491.240539896674</v>
      </c>
      <c r="J120" t="n">
        <v>-1063969.18461219</v>
      </c>
      <c r="K120" t="n">
        <v>143652343.901352</v>
      </c>
      <c r="L120" t="n">
        <v>7403268.04423483</v>
      </c>
      <c r="M120" t="n">
        <v>136249075.857117</v>
      </c>
      <c r="N120" t="n">
        <v>332129.809964951</v>
      </c>
      <c r="O120" t="n">
        <v>140363256.163548</v>
      </c>
    </row>
    <row r="121">
      <c r="B121" s="106" t="s">
        <v>528</v>
      </c>
      <c r="C121" t="s">
        <v>487</v>
      </c>
      <c r="D121" t="s">
        <v>495</v>
      </c>
      <c r="E121" t="s">
        <v>497</v>
      </c>
      <c r="F121" t="n">
        <v>33511.6945210374</v>
      </c>
      <c r="G121" t="n">
        <v>-9781.52911661674</v>
      </c>
      <c r="H121" t="n">
        <v>-2719.01765107739</v>
      </c>
      <c r="I121" t="n">
        <v>-102.425394916085</v>
      </c>
      <c r="J121" t="n">
        <v>-221841.34871151</v>
      </c>
      <c r="K121" t="n">
        <v>32230445.4945395</v>
      </c>
      <c r="L121" t="n">
        <v>1543607.6453704</v>
      </c>
      <c r="M121" t="n">
        <v>30686837.8491691</v>
      </c>
      <c r="N121" t="n">
        <v>255482.904290983</v>
      </c>
      <c r="O121" t="n">
        <v>31005390.4289833</v>
      </c>
    </row>
    <row r="122">
      <c r="B122" s="106" t="s">
        <v>528</v>
      </c>
      <c r="C122" t="s">
        <v>487</v>
      </c>
      <c r="D122" t="s">
        <v>495</v>
      </c>
      <c r="E122" t="s">
        <v>498</v>
      </c>
      <c r="F122" t="n">
        <v>27552.5870770005</v>
      </c>
      <c r="G122" t="n">
        <v>-23987.8198373125</v>
      </c>
      <c r="H122" t="n">
        <v>-6668.00709489446</v>
      </c>
      <c r="I122" t="n">
        <v>-251.183827264674</v>
      </c>
      <c r="J122" t="n">
        <v>-544034.602556981</v>
      </c>
      <c r="K122" t="n">
        <v>16122540.3172386</v>
      </c>
      <c r="L122" t="n">
        <v>3785479.92396618</v>
      </c>
      <c r="M122" t="n">
        <v>12337060.3932724</v>
      </c>
      <c r="N122" t="n">
        <v>-138464.113616853</v>
      </c>
      <c r="O122" t="n">
        <v>15926869.7679875</v>
      </c>
    </row>
    <row r="123">
      <c r="B123" s="106" t="s">
        <v>528</v>
      </c>
      <c r="C123" t="s">
        <v>487</v>
      </c>
      <c r="D123" t="s">
        <v>495</v>
      </c>
      <c r="E123" t="s">
        <v>499</v>
      </c>
      <c r="F123" t="n">
        <v>34312.8810173624</v>
      </c>
      <c r="G123" t="n">
        <v>-63451.2863244054</v>
      </c>
      <c r="H123" t="n">
        <v>-17637.8524709946</v>
      </c>
      <c r="I123" t="n">
        <v>-664.417902582365</v>
      </c>
      <c r="J123" t="n">
        <v>-1439050.96717178</v>
      </c>
      <c r="K123" t="n">
        <v>123512232.935463</v>
      </c>
      <c r="L123" t="n">
        <v>10013147.1788549</v>
      </c>
      <c r="M123" t="n">
        <v>113499085.756608</v>
      </c>
      <c r="N123" t="n">
        <v>9788.26917730271</v>
      </c>
      <c r="O123" t="n">
        <v>119180255.369654</v>
      </c>
    </row>
    <row r="124">
      <c r="B124" s="106" t="s">
        <v>528</v>
      </c>
      <c r="C124" t="s">
        <v>487</v>
      </c>
      <c r="D124" t="s">
        <v>495</v>
      </c>
      <c r="E124" t="s">
        <v>500</v>
      </c>
      <c r="F124" t="n">
        <v>61098.4638026811</v>
      </c>
      <c r="G124" t="n">
        <v>-74160.3302019879</v>
      </c>
      <c r="H124" t="n">
        <v>-20614.6957622795</v>
      </c>
      <c r="I124" t="n">
        <v>-776.55558936507</v>
      </c>
      <c r="J124" t="n">
        <v>-1681927.99681511</v>
      </c>
      <c r="K124" t="n">
        <v>240952189.462687</v>
      </c>
      <c r="L124" t="n">
        <v>11703124.4622596</v>
      </c>
      <c r="M124" t="n">
        <v>229249065.000427</v>
      </c>
      <c r="N124" t="n">
        <v>7034.13808933292</v>
      </c>
      <c r="O124" t="n">
        <v>231919116.741481</v>
      </c>
    </row>
    <row r="125">
      <c r="B125" s="106" t="s">
        <v>528</v>
      </c>
      <c r="C125" t="s">
        <v>487</v>
      </c>
      <c r="D125" t="s">
        <v>495</v>
      </c>
      <c r="E125" t="s">
        <v>501</v>
      </c>
      <c r="F125" t="n">
        <v>145579.666342333</v>
      </c>
      <c r="G125" t="n">
        <v>-182920.193353464</v>
      </c>
      <c r="H125" t="n">
        <v>-50847.1864201316</v>
      </c>
      <c r="I125" t="n">
        <v>-1915.41351244636</v>
      </c>
      <c r="J125" t="n">
        <v>-4148560.20120279</v>
      </c>
      <c r="K125" t="n">
        <v>504333568.901752</v>
      </c>
      <c r="L125" t="n">
        <v>28866346.5176802</v>
      </c>
      <c r="M125" t="n">
        <v>475467222.384072</v>
      </c>
      <c r="N125" t="n">
        <v>51281.2841650789</v>
      </c>
      <c r="O125" t="n">
        <v>487190218.916281</v>
      </c>
    </row>
    <row r="126">
      <c r="B126" s="106" t="s">
        <v>528</v>
      </c>
      <c r="C126" t="s">
        <v>502</v>
      </c>
      <c r="D126" t="s">
        <v>503</v>
      </c>
      <c r="E126"/>
      <c r="F126" t="n">
        <v>23974.0119732508</v>
      </c>
      <c r="G126" t="n">
        <v>-170839.912690878</v>
      </c>
      <c r="H126" t="n">
        <v>-47489.1740203387</v>
      </c>
      <c r="I126" t="n">
        <v>-1789.12214468614</v>
      </c>
      <c r="J126" t="n">
        <v>-3874584.04440243</v>
      </c>
      <c r="K126" t="n">
        <v>31125928.1385799</v>
      </c>
      <c r="L126" t="n">
        <v>26959976.5251492</v>
      </c>
      <c r="M126" t="n">
        <v>4165951.61343073</v>
      </c>
      <c r="N126" t="n">
        <v>0</v>
      </c>
      <c r="O126" t="n">
        <v>14312485.1480307</v>
      </c>
    </row>
    <row r="127">
      <c r="B127" s="106" t="s">
        <v>528</v>
      </c>
      <c r="C127" t="s">
        <v>502</v>
      </c>
      <c r="D127" t="s">
        <v>504</v>
      </c>
      <c r="E127"/>
      <c r="F127" t="n">
        <v>4067.42547904574</v>
      </c>
      <c r="G127" t="n">
        <v>-67795.501652516</v>
      </c>
      <c r="H127" t="n">
        <v>-18845.434448319</v>
      </c>
      <c r="I127" t="n">
        <v>-709.988851001668</v>
      </c>
      <c r="J127" t="n">
        <v>-1537576.11349518</v>
      </c>
      <c r="K127" t="n">
        <v>7167256.51330286</v>
      </c>
      <c r="L127" t="n">
        <v>10194509.2785138</v>
      </c>
      <c r="M127" t="n">
        <v>-3027252.76521091</v>
      </c>
      <c r="N127" t="n">
        <v>0</v>
      </c>
      <c r="O127" t="n">
        <v>2428253.0109903</v>
      </c>
    </row>
    <row r="128">
      <c r="B128" s="106" t="s">
        <v>528</v>
      </c>
      <c r="C128" t="s">
        <v>502</v>
      </c>
      <c r="D128" t="s">
        <v>505</v>
      </c>
      <c r="E128" t="s">
        <v>506</v>
      </c>
      <c r="F128" t="n">
        <v>8155.57288250885</v>
      </c>
      <c r="G128" t="n">
        <v>-103527.051945217</v>
      </c>
      <c r="H128" t="n">
        <v>-2865.07894423993</v>
      </c>
      <c r="I128" t="n">
        <v>-85.0977005041574</v>
      </c>
      <c r="J128" t="n">
        <v>-2347954.0425472</v>
      </c>
      <c r="K128" t="n">
        <v>11350726.7840311</v>
      </c>
      <c r="L128" t="n">
        <v>14594545.3501771</v>
      </c>
      <c r="M128" t="n">
        <v>-3243818.56614602</v>
      </c>
      <c r="N128" t="n">
        <v>0</v>
      </c>
      <c r="O128" t="n">
        <v>4868877.01085779</v>
      </c>
    </row>
    <row r="129">
      <c r="B129" s="106" t="s">
        <v>528</v>
      </c>
      <c r="C129" t="s">
        <v>502</v>
      </c>
      <c r="D129" t="s">
        <v>505</v>
      </c>
      <c r="E129" t="s">
        <v>507</v>
      </c>
      <c r="F129" t="n">
        <v>1405.67019018074</v>
      </c>
      <c r="G129" t="n">
        <v>-33090.0744577352</v>
      </c>
      <c r="H129" t="n">
        <v>-915.7575127548</v>
      </c>
      <c r="I129" t="n">
        <v>-27.1995501944235</v>
      </c>
      <c r="J129" t="n">
        <v>-750470.26483803</v>
      </c>
      <c r="K129" t="n">
        <v>3582558.27600918</v>
      </c>
      <c r="L129" t="n">
        <v>4664815.45876246</v>
      </c>
      <c r="M129" t="n">
        <v>-1082257.18275329</v>
      </c>
      <c r="N129" t="n">
        <v>0</v>
      </c>
      <c r="O129" t="n">
        <v>839185.103537901</v>
      </c>
    </row>
    <row r="130">
      <c r="B130" s="106" t="s">
        <v>528</v>
      </c>
      <c r="C130" t="s">
        <v>502</v>
      </c>
      <c r="D130" t="s">
        <v>508</v>
      </c>
      <c r="E130" t="s">
        <v>509</v>
      </c>
      <c r="F130" t="n">
        <v>319.091114614342</v>
      </c>
      <c r="G130" t="n">
        <v>-71555.5368307771</v>
      </c>
      <c r="H130" t="n">
        <v>-19890.629110916</v>
      </c>
      <c r="I130" t="n">
        <v>-749.365844915252</v>
      </c>
      <c r="J130" t="n">
        <v>-1622852.27688472</v>
      </c>
      <c r="K130" t="n">
        <v>7977277.86535856</v>
      </c>
      <c r="L130" t="n">
        <v>11292066.1385072</v>
      </c>
      <c r="M130" t="n">
        <v>-3314788.27314868</v>
      </c>
      <c r="N130" t="n">
        <v>0</v>
      </c>
      <c r="O130" t="n">
        <v>7977277.86535856</v>
      </c>
    </row>
    <row r="131">
      <c r="B131" s="106" t="s">
        <v>528</v>
      </c>
      <c r="C131" t="s">
        <v>502</v>
      </c>
      <c r="D131" t="s">
        <v>508</v>
      </c>
      <c r="E131" t="s">
        <v>510</v>
      </c>
      <c r="F131" t="n">
        <v>286.907452069485</v>
      </c>
      <c r="G131" t="n">
        <v>-39088.2718976552</v>
      </c>
      <c r="H131" t="n">
        <v>-10865.5507782941</v>
      </c>
      <c r="I131" t="n">
        <v>-3020.34825240685</v>
      </c>
      <c r="J131" t="n">
        <v>-886507.09446309</v>
      </c>
      <c r="K131" t="n">
        <v>7172686.30173712</v>
      </c>
      <c r="L131" t="n">
        <v>5877760.92555731</v>
      </c>
      <c r="M131" t="n">
        <v>1294925.37617981</v>
      </c>
      <c r="N131" t="n">
        <v>0</v>
      </c>
      <c r="O131" t="n">
        <v>7172686.30173712</v>
      </c>
    </row>
    <row r="132">
      <c r="B132" s="106" t="s">
        <v>528</v>
      </c>
      <c r="C132" t="s">
        <v>502</v>
      </c>
      <c r="D132" t="s">
        <v>508</v>
      </c>
      <c r="E132" t="s">
        <v>511</v>
      </c>
      <c r="F132" t="n">
        <v>775.67321620925</v>
      </c>
      <c r="G132" t="n">
        <v>-27292.7434905432</v>
      </c>
      <c r="H132" t="n">
        <v>-755.318182407776</v>
      </c>
      <c r="I132" t="n">
        <v>-20.9031956378246</v>
      </c>
      <c r="J132" t="n">
        <v>-618989.010183877</v>
      </c>
      <c r="K132" t="n">
        <v>19391830.4052313</v>
      </c>
      <c r="L132" t="n">
        <v>3847546.85001812</v>
      </c>
      <c r="M132" t="n">
        <v>15544283.5552131</v>
      </c>
      <c r="N132" t="n">
        <v>0</v>
      </c>
      <c r="O132" t="n">
        <v>19391830.4052313</v>
      </c>
    </row>
    <row r="133">
      <c r="B133" s="106" t="s">
        <v>528</v>
      </c>
      <c r="C133" t="s">
        <v>502</v>
      </c>
      <c r="D133" t="s">
        <v>512</v>
      </c>
      <c r="E133" t="s">
        <v>513</v>
      </c>
      <c r="F133" t="n">
        <v>495.830650013583</v>
      </c>
      <c r="G133" t="n">
        <v>-7995.93187271275</v>
      </c>
      <c r="H133" t="n">
        <v>-2222.66678890842</v>
      </c>
      <c r="I133" t="n">
        <v>-83.7374507838642</v>
      </c>
      <c r="J133" t="n">
        <v>-181344.684425116</v>
      </c>
      <c r="K133" t="n">
        <v>7437459.75020375</v>
      </c>
      <c r="L133" t="n">
        <v>1261825.36732552</v>
      </c>
      <c r="M133" t="n">
        <v>6175634.38287822</v>
      </c>
      <c r="N133" t="n">
        <v>0</v>
      </c>
      <c r="O133" t="n">
        <v>7437459.75020375</v>
      </c>
    </row>
    <row r="134">
      <c r="B134" s="106" t="s">
        <v>528</v>
      </c>
      <c r="C134" t="s">
        <v>502</v>
      </c>
      <c r="D134" t="s">
        <v>512</v>
      </c>
      <c r="E134" t="s">
        <v>514</v>
      </c>
      <c r="F134" t="n">
        <v>401.590670588586</v>
      </c>
      <c r="G134" t="n">
        <v>-3125.30197856235</v>
      </c>
      <c r="H134" t="n">
        <v>-868.754889816687</v>
      </c>
      <c r="I134" t="n">
        <v>-241.491882626838</v>
      </c>
      <c r="J134" t="n">
        <v>-70880.6565710893</v>
      </c>
      <c r="K134" t="n">
        <v>6023860.05882879</v>
      </c>
      <c r="L134" t="n">
        <v>469956.254353182</v>
      </c>
      <c r="M134" t="n">
        <v>5553903.80447561</v>
      </c>
      <c r="N134" t="n">
        <v>0</v>
      </c>
      <c r="O134" t="n">
        <v>6023860.05882879</v>
      </c>
    </row>
    <row r="135">
      <c r="B135" s="106" t="s">
        <v>528</v>
      </c>
      <c r="C135" t="s">
        <v>502</v>
      </c>
      <c r="D135" t="s">
        <v>512</v>
      </c>
      <c r="E135" t="s">
        <v>515</v>
      </c>
      <c r="F135" t="n">
        <v>2656.61094268101</v>
      </c>
      <c r="G135" t="n">
        <v>-47957.5643972988</v>
      </c>
      <c r="H135" t="n">
        <v>-1327.21066996518</v>
      </c>
      <c r="I135" t="n">
        <v>-36.7301422540265</v>
      </c>
      <c r="J135" t="n">
        <v>-1087659.26471992</v>
      </c>
      <c r="K135" t="n">
        <v>39849164.1402152</v>
      </c>
      <c r="L135" t="n">
        <v>6760733.88867277</v>
      </c>
      <c r="M135" t="n">
        <v>33088430.2515424</v>
      </c>
      <c r="N135" t="n">
        <v>0</v>
      </c>
      <c r="O135" t="n">
        <v>39849164.1402152</v>
      </c>
    </row>
    <row r="136">
      <c r="B136" s="106" t="s">
        <v>528</v>
      </c>
      <c r="C136" t="s">
        <v>516</v>
      </c>
      <c r="D136"/>
      <c r="E136"/>
      <c r="F136" t="n">
        <v>259482.74391989</v>
      </c>
      <c r="G136" t="n">
        <v>-25680.329630062</v>
      </c>
      <c r="H136" t="n">
        <v>-7138.48200629986</v>
      </c>
      <c r="I136" t="n">
        <v>-268.937426274139</v>
      </c>
      <c r="J136" t="n">
        <v>-582420.078964052</v>
      </c>
      <c r="K136" t="n">
        <v>16866378.3547928</v>
      </c>
      <c r="L136" t="n">
        <v>4052572.2185149</v>
      </c>
      <c r="M136" t="n">
        <v>12813806.1362779</v>
      </c>
      <c r="N136" t="n">
        <v>0</v>
      </c>
      <c r="O136" t="n">
        <v>16866378.3547928</v>
      </c>
    </row>
    <row r="137">
      <c r="B137" s="106" t="s">
        <v>528</v>
      </c>
      <c r="C137" t="s">
        <v>517</v>
      </c>
      <c r="D137" t="s">
        <v>518</v>
      </c>
      <c r="E137"/>
      <c r="F137" t="n">
        <v>4257.61861527561</v>
      </c>
      <c r="G137" t="n">
        <v>-295704.195469878</v>
      </c>
      <c r="H137" t="n">
        <v>-82198.2859115934</v>
      </c>
      <c r="I137" t="n">
        <v>-3096.40943028972</v>
      </c>
      <c r="J137" t="n">
        <v>-6706458.34210627</v>
      </c>
      <c r="K137" t="n">
        <v>69026734.060516</v>
      </c>
      <c r="L137" t="n">
        <v>46664611.5810249</v>
      </c>
      <c r="M137" t="n">
        <v>22362122.4794911</v>
      </c>
      <c r="N137" t="n">
        <v>21174381.5759056</v>
      </c>
      <c r="O137" t="n">
        <v>-11960402.0241282</v>
      </c>
    </row>
    <row r="138">
      <c r="B138" s="106" t="s">
        <v>528</v>
      </c>
      <c r="C138" t="s">
        <v>517</v>
      </c>
      <c r="D138" t="s">
        <v>519</v>
      </c>
      <c r="E138"/>
      <c r="F138" t="n">
        <v>40989.8451072737</v>
      </c>
      <c r="G138" t="n">
        <v>-70960.6941051602</v>
      </c>
      <c r="H138" t="n">
        <v>-1963.8151258951</v>
      </c>
      <c r="I138" t="n">
        <v>-58.3286375982527</v>
      </c>
      <c r="J138" t="n">
        <v>-1609361.47080023</v>
      </c>
      <c r="K138" t="n">
        <v>20658230.5751612</v>
      </c>
      <c r="L138" t="n">
        <v>10003559.9269824</v>
      </c>
      <c r="M138" t="n">
        <v>10654670.6481788</v>
      </c>
      <c r="N138" t="n">
        <v>7280482.2424421</v>
      </c>
      <c r="O138" t="n">
        <v>-14492725.0590094</v>
      </c>
    </row>
    <row r="139">
      <c r="B139" s="106" t="s">
        <v>528</v>
      </c>
      <c r="C139" t="s">
        <v>517</v>
      </c>
      <c r="D139" t="s">
        <v>520</v>
      </c>
      <c r="E139"/>
      <c r="F139" t="n">
        <v>1309158.06089255</v>
      </c>
      <c r="G139" t="n">
        <v>-1718502.47016787</v>
      </c>
      <c r="H139" t="n">
        <v>-477700.213749681</v>
      </c>
      <c r="I139" t="n">
        <v>-17994.9670519505</v>
      </c>
      <c r="J139" t="n">
        <v>-38974980.414715</v>
      </c>
      <c r="K139" t="n">
        <v>937004789.888883</v>
      </c>
      <c r="L139" t="n">
        <v>271194157.8779</v>
      </c>
      <c r="M139" t="n">
        <v>665810632.010983</v>
      </c>
      <c r="N139" t="n">
        <v>150154077.587403</v>
      </c>
      <c r="O139" t="n">
        <v>-78549483.6535532</v>
      </c>
    </row>
    <row r="140">
      <c r="B140" s="106" t="s">
        <v>528</v>
      </c>
      <c r="C140" t="s">
        <v>521</v>
      </c>
      <c r="D140" t="s">
        <v>522</v>
      </c>
      <c r="E140"/>
      <c r="F140" t="n">
        <v>456.062973272381</v>
      </c>
      <c r="G140" t="n">
        <v>-40076.5340762625</v>
      </c>
      <c r="H140" t="n">
        <v>-11140.2626571184</v>
      </c>
      <c r="I140" t="n">
        <v>-419.653694293652</v>
      </c>
      <c r="J140" t="n">
        <v>-908920.503651883</v>
      </c>
      <c r="K140" t="n">
        <v>25280239.1669627</v>
      </c>
      <c r="L140" t="n">
        <v>6324414.48188043</v>
      </c>
      <c r="M140" t="n">
        <v>18955824.6850823</v>
      </c>
      <c r="N140" t="n">
        <v>6872525.36567331</v>
      </c>
      <c r="O140" t="n">
        <v>-1281161.37248329</v>
      </c>
    </row>
    <row r="141">
      <c r="B141" s="106" t="s">
        <v>528</v>
      </c>
      <c r="C141" t="s">
        <v>521</v>
      </c>
      <c r="D141" t="s">
        <v>523</v>
      </c>
      <c r="E141"/>
      <c r="F141" t="n">
        <v>101690.098879379</v>
      </c>
      <c r="G141" t="n">
        <v>-170513.127975873</v>
      </c>
      <c r="H141" t="n">
        <v>-47398.3361066943</v>
      </c>
      <c r="I141" t="n">
        <v>-1785.49532113917</v>
      </c>
      <c r="J141" t="n">
        <v>-3867172.69173448</v>
      </c>
      <c r="K141" t="n">
        <v>145139208.269042</v>
      </c>
      <c r="L141" t="n">
        <v>26908407.1459183</v>
      </c>
      <c r="M141" t="n">
        <v>118230801.123124</v>
      </c>
      <c r="N141" t="n">
        <v>17829069.8288458</v>
      </c>
      <c r="O141" t="n">
        <v>-6101405.93276272</v>
      </c>
    </row>
    <row r="142">
      <c r="B142" s="106" t="s">
        <v>528</v>
      </c>
      <c r="C142" t="s">
        <v>524</v>
      </c>
      <c r="D142"/>
      <c r="E142"/>
      <c r="F142" t="n">
        <v>7028.60373741531</v>
      </c>
      <c r="G142" t="n">
        <v>-12333.2679604695</v>
      </c>
      <c r="H142" t="n">
        <v>-58665.7368176735</v>
      </c>
      <c r="I142" t="n">
        <v>-2209.93830592176</v>
      </c>
      <c r="J142" t="n">
        <v>-279713.812201722</v>
      </c>
      <c r="K142" t="n">
        <v>217764076.695336</v>
      </c>
      <c r="L142" t="n">
        <v>0</v>
      </c>
      <c r="M142" t="n">
        <v>217764076.695336</v>
      </c>
      <c r="N142" t="n">
        <v>102346810.94929</v>
      </c>
      <c r="O142" t="n">
        <v>160533309.362566</v>
      </c>
    </row>
    <row r="143">
      <c r="B143" s="106" t="s">
        <v>529</v>
      </c>
      <c r="C143" t="s">
        <v>487</v>
      </c>
      <c r="D143" t="s">
        <v>488</v>
      </c>
      <c r="E143"/>
      <c r="F143" t="n">
        <v>5164.95721997018</v>
      </c>
      <c r="G143" t="n">
        <v>-68722.985313309</v>
      </c>
      <c r="H143" t="n">
        <v>-19103.2514436257</v>
      </c>
      <c r="I143" t="n">
        <v>-719.701929931659</v>
      </c>
      <c r="J143" t="n">
        <v>-1558611.08908695</v>
      </c>
      <c r="K143" t="n">
        <v>68927140.8287599</v>
      </c>
      <c r="L143" t="n">
        <v>11448942.9717859</v>
      </c>
      <c r="M143" t="n">
        <v>57478197.8569741</v>
      </c>
      <c r="N143" t="n">
        <v>0</v>
      </c>
      <c r="O143" t="n">
        <v>66431679.7632565</v>
      </c>
    </row>
    <row r="144">
      <c r="B144" s="106" t="s">
        <v>529</v>
      </c>
      <c r="C144" t="s">
        <v>487</v>
      </c>
      <c r="D144" t="s">
        <v>489</v>
      </c>
      <c r="E144" t="s">
        <v>490</v>
      </c>
      <c r="F144" t="n">
        <v>229.125499620603</v>
      </c>
      <c r="G144" t="n">
        <v>-5432.53821906461</v>
      </c>
      <c r="H144" t="n">
        <v>-656.400332509105</v>
      </c>
      <c r="I144" t="n">
        <v>-24.0026406254414</v>
      </c>
      <c r="J144" t="n">
        <v>-123207.894295055</v>
      </c>
      <c r="K144" t="n">
        <v>1641141.69189693</v>
      </c>
      <c r="L144" t="n">
        <v>862385.495534353</v>
      </c>
      <c r="M144" t="n">
        <v>778756.196362577</v>
      </c>
      <c r="N144" t="n">
        <v>-85336.3656556554</v>
      </c>
      <c r="O144" t="n">
        <v>2319097.50894761</v>
      </c>
    </row>
    <row r="145">
      <c r="B145" s="106" t="s">
        <v>529</v>
      </c>
      <c r="C145" t="s">
        <v>487</v>
      </c>
      <c r="D145" t="s">
        <v>489</v>
      </c>
      <c r="E145" t="s">
        <v>491</v>
      </c>
      <c r="F145" t="n">
        <v>950.972206389935</v>
      </c>
      <c r="G145" t="n">
        <v>-10829.9015540654</v>
      </c>
      <c r="H145" t="n">
        <v>-1318.4213426083</v>
      </c>
      <c r="I145" t="n">
        <v>-48.2308168176385</v>
      </c>
      <c r="J145" t="n">
        <v>-245618.03563876</v>
      </c>
      <c r="K145" t="n">
        <v>3922772.69087969</v>
      </c>
      <c r="L145" t="n">
        <v>1719187.17212432</v>
      </c>
      <c r="M145" t="n">
        <v>2203585.51875538</v>
      </c>
      <c r="N145" t="n">
        <v>-172913.937603152</v>
      </c>
      <c r="O145" t="n">
        <v>5296489.61620819</v>
      </c>
    </row>
    <row r="146">
      <c r="B146" s="106" t="s">
        <v>529</v>
      </c>
      <c r="C146" t="s">
        <v>487</v>
      </c>
      <c r="D146" t="s">
        <v>492</v>
      </c>
      <c r="E146" t="s">
        <v>493</v>
      </c>
      <c r="F146" t="n">
        <v>1588.89898828848</v>
      </c>
      <c r="G146" t="n">
        <v>-51342.0763632597</v>
      </c>
      <c r="H146" t="n">
        <v>-1420.87598533931</v>
      </c>
      <c r="I146" t="n">
        <v>-42.2024249269092</v>
      </c>
      <c r="J146" t="n">
        <v>-1164418.7049166</v>
      </c>
      <c r="K146" t="n">
        <v>31250424.5717419</v>
      </c>
      <c r="L146" t="n">
        <v>7640879.62561012</v>
      </c>
      <c r="M146" t="n">
        <v>23609544.9461318</v>
      </c>
      <c r="N146" t="n">
        <v>0</v>
      </c>
      <c r="O146" t="n">
        <v>25311160.8834354</v>
      </c>
    </row>
    <row r="147">
      <c r="B147" s="106" t="s">
        <v>529</v>
      </c>
      <c r="C147" t="s">
        <v>487</v>
      </c>
      <c r="D147" t="s">
        <v>492</v>
      </c>
      <c r="E147" t="s">
        <v>494</v>
      </c>
      <c r="F147" t="n">
        <v>289.875505389122</v>
      </c>
      <c r="G147" t="n">
        <v>-33031.5993119667</v>
      </c>
      <c r="H147" t="n">
        <v>-914.13923129353</v>
      </c>
      <c r="I147" t="n">
        <v>-27.1514844922901</v>
      </c>
      <c r="J147" t="n">
        <v>-749144.070840267</v>
      </c>
      <c r="K147" t="n">
        <v>6888594.07938395</v>
      </c>
      <c r="L147" t="n">
        <v>4915860.28578957</v>
      </c>
      <c r="M147" t="n">
        <v>1972733.79359439</v>
      </c>
      <c r="N147" t="n">
        <v>0</v>
      </c>
      <c r="O147" t="n">
        <v>5805046.87092256</v>
      </c>
    </row>
    <row r="148">
      <c r="B148" s="106" t="s">
        <v>529</v>
      </c>
      <c r="C148" t="s">
        <v>487</v>
      </c>
      <c r="D148" t="s">
        <v>495</v>
      </c>
      <c r="E148" t="s">
        <v>496</v>
      </c>
      <c r="F148" t="n">
        <v>203747.714585561</v>
      </c>
      <c r="G148" t="n">
        <v>-45552.5856228238</v>
      </c>
      <c r="H148" t="n">
        <v>-12662.4664593865</v>
      </c>
      <c r="I148" t="n">
        <v>-476.99511152509</v>
      </c>
      <c r="J148" t="n">
        <v>-1033115.26361423</v>
      </c>
      <c r="K148" t="n">
        <v>139511781.857757</v>
      </c>
      <c r="L148" t="n">
        <v>7588857.68182865</v>
      </c>
      <c r="M148" t="n">
        <v>131922924.175929</v>
      </c>
      <c r="N148" t="n">
        <v>337945.20157834</v>
      </c>
      <c r="O148" t="n">
        <v>136302348.527104</v>
      </c>
    </row>
    <row r="149">
      <c r="B149" s="106" t="s">
        <v>529</v>
      </c>
      <c r="C149" t="s">
        <v>487</v>
      </c>
      <c r="D149" t="s">
        <v>495</v>
      </c>
      <c r="E149" t="s">
        <v>497</v>
      </c>
      <c r="F149" t="n">
        <v>32489.5953837401</v>
      </c>
      <c r="G149" t="n">
        <v>-9623.03101858981</v>
      </c>
      <c r="H149" t="n">
        <v>-2674.95918935229</v>
      </c>
      <c r="I149" t="n">
        <v>-100.765712662901</v>
      </c>
      <c r="J149" t="n">
        <v>-218246.672315283</v>
      </c>
      <c r="K149" t="n">
        <v>31737085.6138153</v>
      </c>
      <c r="L149" t="n">
        <v>1603154.0662164</v>
      </c>
      <c r="M149" t="n">
        <v>30133931.5475989</v>
      </c>
      <c r="N149" t="n">
        <v>259956.255054453</v>
      </c>
      <c r="O149" t="n">
        <v>30512623.6712875</v>
      </c>
    </row>
    <row r="150">
      <c r="B150" s="106" t="s">
        <v>529</v>
      </c>
      <c r="C150" t="s">
        <v>487</v>
      </c>
      <c r="D150" t="s">
        <v>495</v>
      </c>
      <c r="E150" t="s">
        <v>498</v>
      </c>
      <c r="F150" t="n">
        <v>26764.0107318014</v>
      </c>
      <c r="G150" t="n">
        <v>-23090.4084882343</v>
      </c>
      <c r="H150" t="n">
        <v>-6418.54944166561</v>
      </c>
      <c r="I150" t="n">
        <v>-241.786757467543</v>
      </c>
      <c r="J150" t="n">
        <v>-523681.655522316</v>
      </c>
      <c r="K150" t="n">
        <v>15288108.502892</v>
      </c>
      <c r="L150" t="n">
        <v>3846759.11227969</v>
      </c>
      <c r="M150" t="n">
        <v>11441349.3906123</v>
      </c>
      <c r="N150" t="n">
        <v>-140888.536300164</v>
      </c>
      <c r="O150" t="n">
        <v>15126280.1658364</v>
      </c>
    </row>
    <row r="151">
      <c r="B151" s="106" t="s">
        <v>529</v>
      </c>
      <c r="C151" t="s">
        <v>487</v>
      </c>
      <c r="D151" t="s">
        <v>495</v>
      </c>
      <c r="E151" t="s">
        <v>499</v>
      </c>
      <c r="F151" t="n">
        <v>34195.0980116946</v>
      </c>
      <c r="G151" t="n">
        <v>-61531.3263897001</v>
      </c>
      <c r="H151" t="n">
        <v>-17104.1521783729</v>
      </c>
      <c r="I151" t="n">
        <v>-644.313412559309</v>
      </c>
      <c r="J151" t="n">
        <v>-1395507.00831738</v>
      </c>
      <c r="K151" t="n">
        <v>120954979.239063</v>
      </c>
      <c r="L151" t="n">
        <v>10250844.657029</v>
      </c>
      <c r="M151" t="n">
        <v>110704134.582034</v>
      </c>
      <c r="N151" t="n">
        <v>9959.65583629997</v>
      </c>
      <c r="O151" t="n">
        <v>116771760.304975</v>
      </c>
    </row>
    <row r="152">
      <c r="B152" s="106" t="s">
        <v>529</v>
      </c>
      <c r="C152" t="s">
        <v>487</v>
      </c>
      <c r="D152" t="s">
        <v>495</v>
      </c>
      <c r="E152" t="s">
        <v>500</v>
      </c>
      <c r="F152" t="n">
        <v>59437.4594311832</v>
      </c>
      <c r="G152" t="n">
        <v>-71686.0563220665</v>
      </c>
      <c r="H152" t="n">
        <v>-19926.9102153677</v>
      </c>
      <c r="I152" t="n">
        <v>-750.646707812901</v>
      </c>
      <c r="J152" t="n">
        <v>-1625812.40915398</v>
      </c>
      <c r="K152" t="n">
        <v>232654034.109072</v>
      </c>
      <c r="L152" t="n">
        <v>11942577.3918559</v>
      </c>
      <c r="M152" t="n">
        <v>220711456.717216</v>
      </c>
      <c r="N152" t="n">
        <v>7157.30158271656</v>
      </c>
      <c r="O152" t="n">
        <v>223976220.612828</v>
      </c>
    </row>
    <row r="153">
      <c r="B153" s="106" t="s">
        <v>529</v>
      </c>
      <c r="C153" t="s">
        <v>487</v>
      </c>
      <c r="D153" t="s">
        <v>495</v>
      </c>
      <c r="E153" t="s">
        <v>501</v>
      </c>
      <c r="F153" t="n">
        <v>145741.147988226</v>
      </c>
      <c r="G153" t="n">
        <v>-179221.893189264</v>
      </c>
      <c r="H153" t="n">
        <v>-49819.1525303834</v>
      </c>
      <c r="I153" t="n">
        <v>-1876.68747581954</v>
      </c>
      <c r="J153" t="n">
        <v>-4064684.16438025</v>
      </c>
      <c r="K153" t="n">
        <v>494356266.48176</v>
      </c>
      <c r="L153" t="n">
        <v>29857568.3967269</v>
      </c>
      <c r="M153" t="n">
        <v>464498698.085033</v>
      </c>
      <c r="N153" t="n">
        <v>52179.1883606974</v>
      </c>
      <c r="O153" t="n">
        <v>477855203.91044</v>
      </c>
    </row>
    <row r="154">
      <c r="B154" s="106" t="s">
        <v>529</v>
      </c>
      <c r="C154" t="s">
        <v>502</v>
      </c>
      <c r="D154" t="s">
        <v>503</v>
      </c>
      <c r="E154"/>
      <c r="F154" t="n">
        <v>24883.3572950462</v>
      </c>
      <c r="G154" t="n">
        <v>-174305.070479937</v>
      </c>
      <c r="H154" t="n">
        <v>-48452.4002281997</v>
      </c>
      <c r="I154" t="n">
        <v>-1825.41103314076</v>
      </c>
      <c r="J154" t="n">
        <v>-3953172.50110058</v>
      </c>
      <c r="K154" t="n">
        <v>31500672.8657862</v>
      </c>
      <c r="L154" t="n">
        <v>29038447.6535748</v>
      </c>
      <c r="M154" t="n">
        <v>2462225.21221144</v>
      </c>
      <c r="N154" t="n">
        <v>0</v>
      </c>
      <c r="O154" t="n">
        <v>14855364.3051426</v>
      </c>
    </row>
    <row r="155">
      <c r="B155" s="106" t="s">
        <v>529</v>
      </c>
      <c r="C155" t="s">
        <v>502</v>
      </c>
      <c r="D155" t="s">
        <v>504</v>
      </c>
      <c r="E155"/>
      <c r="F155" t="n">
        <v>4079.27694029647</v>
      </c>
      <c r="G155" t="n">
        <v>-67268.511275986</v>
      </c>
      <c r="H155" t="n">
        <v>-18698.9444548281</v>
      </c>
      <c r="I155" t="n">
        <v>-704.469940708192</v>
      </c>
      <c r="J155" t="n">
        <v>-1525624.17280231</v>
      </c>
      <c r="K155" t="n">
        <v>7126941.80064643</v>
      </c>
      <c r="L155" t="n">
        <v>10678505.3489395</v>
      </c>
      <c r="M155" t="n">
        <v>-3551563.54829303</v>
      </c>
      <c r="N155" t="n">
        <v>0</v>
      </c>
      <c r="O155" t="n">
        <v>2435328.33335699</v>
      </c>
    </row>
    <row r="156">
      <c r="B156" s="106" t="s">
        <v>529</v>
      </c>
      <c r="C156" t="s">
        <v>502</v>
      </c>
      <c r="D156" t="s">
        <v>505</v>
      </c>
      <c r="E156" t="s">
        <v>506</v>
      </c>
      <c r="F156" t="n">
        <v>8406.39673454604</v>
      </c>
      <c r="G156" t="n">
        <v>-103580.374670637</v>
      </c>
      <c r="H156" t="n">
        <v>-2866.55463407153</v>
      </c>
      <c r="I156" t="n">
        <v>-85.141530993219</v>
      </c>
      <c r="J156" t="n">
        <v>-2349163.38161711</v>
      </c>
      <c r="K156" t="n">
        <v>11435650.1259655</v>
      </c>
      <c r="L156" t="n">
        <v>15415137.6511194</v>
      </c>
      <c r="M156" t="n">
        <v>-3979487.52515393</v>
      </c>
      <c r="N156" t="n">
        <v>0</v>
      </c>
      <c r="O156" t="n">
        <v>5018618.85052398</v>
      </c>
    </row>
    <row r="157">
      <c r="B157" s="106" t="s">
        <v>529</v>
      </c>
      <c r="C157" t="s">
        <v>502</v>
      </c>
      <c r="D157" t="s">
        <v>505</v>
      </c>
      <c r="E157" t="s">
        <v>507</v>
      </c>
      <c r="F157" t="n">
        <v>1403.37772758354</v>
      </c>
      <c r="G157" t="n">
        <v>-32808.4529621436</v>
      </c>
      <c r="H157" t="n">
        <v>-907.963725506885</v>
      </c>
      <c r="I157" t="n">
        <v>-26.9680615039113</v>
      </c>
      <c r="J157" t="n">
        <v>-744083.196756613</v>
      </c>
      <c r="K157" t="n">
        <v>3553755.94411394</v>
      </c>
      <c r="L157" t="n">
        <v>4882650.98615337</v>
      </c>
      <c r="M157" t="n">
        <v>-1328895.04203943</v>
      </c>
      <c r="N157" t="n">
        <v>0</v>
      </c>
      <c r="O157" t="n">
        <v>837816.503367376</v>
      </c>
    </row>
    <row r="158">
      <c r="B158" s="106" t="s">
        <v>529</v>
      </c>
      <c r="C158" t="s">
        <v>502</v>
      </c>
      <c r="D158" t="s">
        <v>508</v>
      </c>
      <c r="E158" t="s">
        <v>509</v>
      </c>
      <c r="F158" t="n">
        <v>331.19438763451</v>
      </c>
      <c r="G158" t="n">
        <v>-74269.6713168291</v>
      </c>
      <c r="H158" t="n">
        <v>-20645.0898390477</v>
      </c>
      <c r="I158" t="n">
        <v>-777.789636733961</v>
      </c>
      <c r="J158" t="n">
        <v>-1684407.81158608</v>
      </c>
      <c r="K158" t="n">
        <v>8279859.69086275</v>
      </c>
      <c r="L158" t="n">
        <v>12372996.1316885</v>
      </c>
      <c r="M158" t="n">
        <v>-4093136.44082574</v>
      </c>
      <c r="N158" t="n">
        <v>0</v>
      </c>
      <c r="O158" t="n">
        <v>8279859.69086275</v>
      </c>
    </row>
    <row r="159">
      <c r="B159" s="106" t="s">
        <v>529</v>
      </c>
      <c r="C159" t="s">
        <v>502</v>
      </c>
      <c r="D159" t="s">
        <v>508</v>
      </c>
      <c r="E159" t="s">
        <v>510</v>
      </c>
      <c r="F159" t="n">
        <v>284.03837754879</v>
      </c>
      <c r="G159" t="n">
        <v>-38697.3891786786</v>
      </c>
      <c r="H159" t="n">
        <v>-10756.8952705111</v>
      </c>
      <c r="I159" t="n">
        <v>-2990.14476988278</v>
      </c>
      <c r="J159" t="n">
        <v>-877642.023518459</v>
      </c>
      <c r="K159" t="n">
        <v>7100959.43871975</v>
      </c>
      <c r="L159" t="n">
        <v>6142997.21364622</v>
      </c>
      <c r="M159" t="n">
        <v>957962.225073533</v>
      </c>
      <c r="N159" t="n">
        <v>0</v>
      </c>
      <c r="O159" t="n">
        <v>7100959.43871975</v>
      </c>
    </row>
    <row r="160">
      <c r="B160" s="106" t="s">
        <v>529</v>
      </c>
      <c r="C160" t="s">
        <v>502</v>
      </c>
      <c r="D160" t="s">
        <v>508</v>
      </c>
      <c r="E160" t="s">
        <v>511</v>
      </c>
      <c r="F160" t="n">
        <v>769.856898283169</v>
      </c>
      <c r="G160" t="n">
        <v>-27088.0912350589</v>
      </c>
      <c r="H160" t="n">
        <v>-749.654494926464</v>
      </c>
      <c r="I160" t="n">
        <v>-20.7464548493585</v>
      </c>
      <c r="J160" t="n">
        <v>-614347.575104329</v>
      </c>
      <c r="K160" t="n">
        <v>19246422.4570792</v>
      </c>
      <c r="L160" t="n">
        <v>4031329.83851704</v>
      </c>
      <c r="M160" t="n">
        <v>15215092.6185622</v>
      </c>
      <c r="N160" t="n">
        <v>0</v>
      </c>
      <c r="O160" t="n">
        <v>19246422.4570792</v>
      </c>
    </row>
    <row r="161">
      <c r="B161" s="106" t="s">
        <v>529</v>
      </c>
      <c r="C161" t="s">
        <v>502</v>
      </c>
      <c r="D161" t="s">
        <v>512</v>
      </c>
      <c r="E161" t="s">
        <v>513</v>
      </c>
      <c r="F161" t="n">
        <v>514.330736912006</v>
      </c>
      <c r="G161" t="n">
        <v>-8294.27049795708</v>
      </c>
      <c r="H161" t="n">
        <v>-2305.59737970573</v>
      </c>
      <c r="I161" t="n">
        <v>-86.8618040607572</v>
      </c>
      <c r="J161" t="n">
        <v>-188110.890629472</v>
      </c>
      <c r="K161" t="n">
        <v>7714961.05368009</v>
      </c>
      <c r="L161" t="n">
        <v>1381788.48737071</v>
      </c>
      <c r="M161" t="n">
        <v>6333172.56630938</v>
      </c>
      <c r="N161" t="n">
        <v>0</v>
      </c>
      <c r="O161" t="n">
        <v>7714961.05368009</v>
      </c>
    </row>
    <row r="162">
      <c r="B162" s="106" t="s">
        <v>529</v>
      </c>
      <c r="C162" t="s">
        <v>502</v>
      </c>
      <c r="D162" t="s">
        <v>512</v>
      </c>
      <c r="E162" t="s">
        <v>514</v>
      </c>
      <c r="F162" t="n">
        <v>406.350550831645</v>
      </c>
      <c r="G162" t="n">
        <v>-3162.34482898402</v>
      </c>
      <c r="H162" t="n">
        <v>-879.05186516733</v>
      </c>
      <c r="I162" t="n">
        <v>-244.354181293512</v>
      </c>
      <c r="J162" t="n">
        <v>-71720.7742868053</v>
      </c>
      <c r="K162" t="n">
        <v>6095258.26247467</v>
      </c>
      <c r="L162" t="n">
        <v>502004.809247979</v>
      </c>
      <c r="M162" t="n">
        <v>5593253.45322669</v>
      </c>
      <c r="N162" t="n">
        <v>0</v>
      </c>
      <c r="O162" t="n">
        <v>6095258.26247467</v>
      </c>
    </row>
    <row r="163">
      <c r="B163" s="106" t="s">
        <v>529</v>
      </c>
      <c r="C163" t="s">
        <v>502</v>
      </c>
      <c r="D163" t="s">
        <v>512</v>
      </c>
      <c r="E163" t="s">
        <v>515</v>
      </c>
      <c r="F163" t="n">
        <v>2768.42479078224</v>
      </c>
      <c r="G163" t="n">
        <v>-49976.0458146089</v>
      </c>
      <c r="H163" t="n">
        <v>-1383.07151502368</v>
      </c>
      <c r="I163" t="n">
        <v>-38.2760737567341</v>
      </c>
      <c r="J163" t="n">
        <v>-1133437.65321385</v>
      </c>
      <c r="K163" t="n">
        <v>41526371.8617336</v>
      </c>
      <c r="L163" t="n">
        <v>7437582.91993547</v>
      </c>
      <c r="M163" t="n">
        <v>34088788.9417981</v>
      </c>
      <c r="N163" t="n">
        <v>0</v>
      </c>
      <c r="O163" t="n">
        <v>41526371.8617336</v>
      </c>
    </row>
    <row r="164">
      <c r="B164" s="106" t="s">
        <v>529</v>
      </c>
      <c r="C164" t="s">
        <v>516</v>
      </c>
      <c r="D164"/>
      <c r="E164"/>
      <c r="F164" t="n">
        <v>257086.553350905</v>
      </c>
      <c r="G164" t="n">
        <v>-25443.1849061455</v>
      </c>
      <c r="H164" t="n">
        <v>-7072.56177206014</v>
      </c>
      <c r="I164" t="n">
        <v>-266.45392654406</v>
      </c>
      <c r="J164" t="n">
        <v>-577041.727096338</v>
      </c>
      <c r="K164" t="n">
        <v>16710625.9678088</v>
      </c>
      <c r="L164" t="n">
        <v>4238721.17433538</v>
      </c>
      <c r="M164" t="n">
        <v>12471904.7934734</v>
      </c>
      <c r="N164" t="n">
        <v>0</v>
      </c>
      <c r="O164" t="n">
        <v>16710625.9678088</v>
      </c>
    </row>
    <row r="165">
      <c r="B165" s="106" t="s">
        <v>529</v>
      </c>
      <c r="C165" t="s">
        <v>517</v>
      </c>
      <c r="D165" t="s">
        <v>518</v>
      </c>
      <c r="E165"/>
      <c r="F165" t="n">
        <v>4644.67485302794</v>
      </c>
      <c r="G165" t="n">
        <v>-305915.005277499</v>
      </c>
      <c r="H165" t="n">
        <v>-85036.6327352563</v>
      </c>
      <c r="I165" t="n">
        <v>-3203.3299551371</v>
      </c>
      <c r="J165" t="n">
        <v>-6938035.61311917</v>
      </c>
      <c r="K165" t="n">
        <v>70359518.2183209</v>
      </c>
      <c r="L165" t="n">
        <v>50964076.0462916</v>
      </c>
      <c r="M165" t="n">
        <v>19395442.1720293</v>
      </c>
      <c r="N165" t="n">
        <v>20411758.7986527</v>
      </c>
      <c r="O165" t="n">
        <v>-12406660.1906622</v>
      </c>
    </row>
    <row r="166">
      <c r="B166" s="106" t="s">
        <v>529</v>
      </c>
      <c r="C166" t="s">
        <v>517</v>
      </c>
      <c r="D166" t="s">
        <v>519</v>
      </c>
      <c r="E166"/>
      <c r="F166" t="n">
        <v>44716.1946624804</v>
      </c>
      <c r="G166" t="n">
        <v>-71879.8408941178</v>
      </c>
      <c r="H166" t="n">
        <v>-1989.25222723458</v>
      </c>
      <c r="I166" t="n">
        <v>-59.0841626199394</v>
      </c>
      <c r="J166" t="n">
        <v>-1630207.36931929</v>
      </c>
      <c r="K166" t="n">
        <v>20812489.3143186</v>
      </c>
      <c r="L166" t="n">
        <v>10697370.4743462</v>
      </c>
      <c r="M166" t="n">
        <v>10115118.8399724</v>
      </c>
      <c r="N166" t="n">
        <v>7280482.2424421</v>
      </c>
      <c r="O166" t="n">
        <v>-14884199.603369</v>
      </c>
    </row>
    <row r="167">
      <c r="B167" s="106" t="s">
        <v>529</v>
      </c>
      <c r="C167" t="s">
        <v>517</v>
      </c>
      <c r="D167" t="s">
        <v>520</v>
      </c>
      <c r="E167"/>
      <c r="F167" t="n">
        <v>1312387.18379639</v>
      </c>
      <c r="G167" t="n">
        <v>-1717916.56314112</v>
      </c>
      <c r="H167" t="n">
        <v>-477537.346417932</v>
      </c>
      <c r="I167" t="n">
        <v>-17988.8318395635</v>
      </c>
      <c r="J167" t="n">
        <v>-38961692.2668717</v>
      </c>
      <c r="K167" t="n">
        <v>917606427.529514</v>
      </c>
      <c r="L167" t="n">
        <v>286197240.588732</v>
      </c>
      <c r="M167" t="n">
        <v>631409186.940781</v>
      </c>
      <c r="N167" t="n">
        <v>148531145.590852</v>
      </c>
      <c r="O167" t="n">
        <v>-78743231.0277833</v>
      </c>
    </row>
    <row r="168">
      <c r="B168" s="106" t="s">
        <v>529</v>
      </c>
      <c r="C168" t="s">
        <v>521</v>
      </c>
      <c r="D168" t="s">
        <v>522</v>
      </c>
      <c r="E168"/>
      <c r="F168" t="n">
        <v>497.52324356987</v>
      </c>
      <c r="G168" t="n">
        <v>-41571.8417241018</v>
      </c>
      <c r="H168" t="n">
        <v>-11555.9203564202</v>
      </c>
      <c r="I168" t="n">
        <v>-435.31151982635</v>
      </c>
      <c r="J168" t="n">
        <v>-942833.510645012</v>
      </c>
      <c r="K168" t="n">
        <v>25802357.3451875</v>
      </c>
      <c r="L168" t="n">
        <v>6925683.49528868</v>
      </c>
      <c r="M168" t="n">
        <v>18876673.8498988</v>
      </c>
      <c r="N168" t="n">
        <v>6511360.32258275</v>
      </c>
      <c r="O168" t="n">
        <v>-1328963.17078114</v>
      </c>
    </row>
    <row r="169">
      <c r="B169" s="106" t="s">
        <v>529</v>
      </c>
      <c r="C169" t="s">
        <v>521</v>
      </c>
      <c r="D169" t="s">
        <v>523</v>
      </c>
      <c r="E169"/>
      <c r="F169" t="n">
        <v>100703.472232786</v>
      </c>
      <c r="G169" t="n">
        <v>-168858.760466069</v>
      </c>
      <c r="H169" t="n">
        <v>-46938.4637895036</v>
      </c>
      <c r="I169" t="n">
        <v>-1768.1719309506</v>
      </c>
      <c r="J169" t="n">
        <v>-3829652.26775332</v>
      </c>
      <c r="K169" t="n">
        <v>142155843.96495</v>
      </c>
      <c r="L169" t="n">
        <v>28131116.6860511</v>
      </c>
      <c r="M169" t="n">
        <v>114024727.278899</v>
      </c>
      <c r="N169" t="n">
        <v>17460048.029977</v>
      </c>
      <c r="O169" t="n">
        <v>-6042208.33396718</v>
      </c>
    </row>
    <row r="170">
      <c r="B170" s="106" t="s">
        <v>529</v>
      </c>
      <c r="C170" t="s">
        <v>524</v>
      </c>
      <c r="D170"/>
      <c r="E170"/>
      <c r="F170" t="n">
        <v>8307.58563896456</v>
      </c>
      <c r="G170" t="n">
        <v>-13442.4301973919</v>
      </c>
      <c r="H170" t="n">
        <v>-63970.0923955897</v>
      </c>
      <c r="I170" t="n">
        <v>-2409.75338054186</v>
      </c>
      <c r="J170" t="n">
        <v>-304869.188589728</v>
      </c>
      <c r="K170" t="n">
        <v>257390071.374807</v>
      </c>
      <c r="L170" t="n">
        <v>0</v>
      </c>
      <c r="M170" t="n">
        <v>257390071.374807</v>
      </c>
      <c r="N170" t="n">
        <v>104138841.559594</v>
      </c>
      <c r="O170" t="n">
        <v>189745255.99395</v>
      </c>
    </row>
    <row r="171">
      <c r="B171" s="106" t="s">
        <v>530</v>
      </c>
      <c r="C171" t="s">
        <v>487</v>
      </c>
      <c r="D171" t="s">
        <v>488</v>
      </c>
      <c r="E171"/>
      <c r="F171" t="n">
        <v>5125.08769907333</v>
      </c>
      <c r="G171" t="n">
        <v>-68192.496408493</v>
      </c>
      <c r="H171" t="n">
        <v>-18955.788947773</v>
      </c>
      <c r="I171" t="n">
        <v>-714.146381276973</v>
      </c>
      <c r="J171" t="n">
        <v>-1546579.80310724</v>
      </c>
      <c r="K171" t="n">
        <v>68395075.9994507</v>
      </c>
      <c r="L171" t="n">
        <v>11773085.0851648</v>
      </c>
      <c r="M171" t="n">
        <v>56621990.9142859</v>
      </c>
      <c r="N171" t="n">
        <v>0</v>
      </c>
      <c r="O171" t="n">
        <v>65918877.9854811</v>
      </c>
    </row>
    <row r="172">
      <c r="B172" s="106" t="s">
        <v>530</v>
      </c>
      <c r="C172" t="s">
        <v>487</v>
      </c>
      <c r="D172" t="s">
        <v>489</v>
      </c>
      <c r="E172" t="s">
        <v>490</v>
      </c>
      <c r="F172" t="n">
        <v>229.596263435665</v>
      </c>
      <c r="G172" t="n">
        <v>-5421.82887792175</v>
      </c>
      <c r="H172" t="n">
        <v>-651.675424112789</v>
      </c>
      <c r="I172" t="n">
        <v>-23.8229115291871</v>
      </c>
      <c r="J172" t="n">
        <v>-122965.010523548</v>
      </c>
      <c r="K172" t="n">
        <v>1544998.68387917</v>
      </c>
      <c r="L172" t="n">
        <v>891938.227149455</v>
      </c>
      <c r="M172" t="n">
        <v>653060.456729715</v>
      </c>
      <c r="N172" t="n">
        <v>-56890.9104371036</v>
      </c>
      <c r="O172" t="n">
        <v>2224347.43653679</v>
      </c>
    </row>
    <row r="173">
      <c r="B173" s="106" t="s">
        <v>530</v>
      </c>
      <c r="C173" t="s">
        <v>487</v>
      </c>
      <c r="D173" t="s">
        <v>489</v>
      </c>
      <c r="E173" t="s">
        <v>491</v>
      </c>
      <c r="F173" t="n">
        <v>952.926084525018</v>
      </c>
      <c r="G173" t="n">
        <v>-10808.4553282181</v>
      </c>
      <c r="H173" t="n">
        <v>-1308.99549475541</v>
      </c>
      <c r="I173" t="n">
        <v>-47.8722904183973</v>
      </c>
      <c r="J173" t="n">
        <v>-245131.643418279</v>
      </c>
      <c r="K173" t="n">
        <v>3730029.08372846</v>
      </c>
      <c r="L173" t="n">
        <v>1778085.34735058</v>
      </c>
      <c r="M173" t="n">
        <v>1951943.73637787</v>
      </c>
      <c r="N173" t="n">
        <v>-115275.958402101</v>
      </c>
      <c r="O173" t="n">
        <v>5106568.4632214</v>
      </c>
    </row>
    <row r="174">
      <c r="B174" s="106" t="s">
        <v>530</v>
      </c>
      <c r="C174" t="s">
        <v>487</v>
      </c>
      <c r="D174" t="s">
        <v>492</v>
      </c>
      <c r="E174" t="s">
        <v>493</v>
      </c>
      <c r="F174" t="n">
        <v>1577.0147975096</v>
      </c>
      <c r="G174" t="n">
        <v>-50958.0626311206</v>
      </c>
      <c r="H174" t="n">
        <v>-1410.24852481013</v>
      </c>
      <c r="I174" t="n">
        <v>-41.8867713373108</v>
      </c>
      <c r="J174" t="n">
        <v>-1155709.41997292</v>
      </c>
      <c r="K174" t="n">
        <v>31016686.6121429</v>
      </c>
      <c r="L174" t="n">
        <v>7859106.17043856</v>
      </c>
      <c r="M174" t="n">
        <v>23157580.4417043</v>
      </c>
      <c r="N174" t="n">
        <v>0</v>
      </c>
      <c r="O174" t="n">
        <v>25121845.7243279</v>
      </c>
    </row>
    <row r="175">
      <c r="B175" s="106" t="s">
        <v>530</v>
      </c>
      <c r="C175" t="s">
        <v>487</v>
      </c>
      <c r="D175" t="s">
        <v>492</v>
      </c>
      <c r="E175" t="s">
        <v>494</v>
      </c>
      <c r="F175" t="n">
        <v>287.05806589247</v>
      </c>
      <c r="G175" t="n">
        <v>-32710.5493066749</v>
      </c>
      <c r="H175" t="n">
        <v>-905.254272310092</v>
      </c>
      <c r="I175" t="n">
        <v>-26.8875861518676</v>
      </c>
      <c r="J175" t="n">
        <v>-741862.779200827</v>
      </c>
      <c r="K175" t="n">
        <v>6821640.51940789</v>
      </c>
      <c r="L175" t="n">
        <v>5044847.9910915</v>
      </c>
      <c r="M175" t="n">
        <v>1776792.52831639</v>
      </c>
      <c r="N175" t="n">
        <v>0</v>
      </c>
      <c r="O175" t="n">
        <v>5748624.8275626</v>
      </c>
    </row>
    <row r="176">
      <c r="B176" s="106" t="s">
        <v>530</v>
      </c>
      <c r="C176" t="s">
        <v>487</v>
      </c>
      <c r="D176" t="s">
        <v>495</v>
      </c>
      <c r="E176" t="s">
        <v>496</v>
      </c>
      <c r="F176" t="n">
        <v>197502.606539297</v>
      </c>
      <c r="G176" t="n">
        <v>-44225.8371392453</v>
      </c>
      <c r="H176" t="n">
        <v>-12293.6639437081</v>
      </c>
      <c r="I176" t="n">
        <v>-463.102320759484</v>
      </c>
      <c r="J176" t="n">
        <v>-1003025.11416122</v>
      </c>
      <c r="K176" t="n">
        <v>135530489.797479</v>
      </c>
      <c r="L176" t="n">
        <v>7635364.16798683</v>
      </c>
      <c r="M176" t="n">
        <v>127895125.629492</v>
      </c>
      <c r="N176" t="n">
        <v>339195.474361099</v>
      </c>
      <c r="O176" t="n">
        <v>132397283.420615</v>
      </c>
    </row>
    <row r="177">
      <c r="B177" s="106" t="s">
        <v>530</v>
      </c>
      <c r="C177" t="s">
        <v>487</v>
      </c>
      <c r="D177" t="s">
        <v>495</v>
      </c>
      <c r="E177" t="s">
        <v>497</v>
      </c>
      <c r="F177" t="n">
        <v>31508.0645536037</v>
      </c>
      <c r="G177" t="n">
        <v>-9468.69793327502</v>
      </c>
      <c r="H177" t="n">
        <v>-2632.05849579884</v>
      </c>
      <c r="I177" t="n">
        <v>-99.1496435367422</v>
      </c>
      <c r="J177" t="n">
        <v>-214746.456818416</v>
      </c>
      <c r="K177" t="n">
        <v>31273986.3867972</v>
      </c>
      <c r="L177" t="n">
        <v>1634722.18037595</v>
      </c>
      <c r="M177" t="n">
        <v>29639264.2064213</v>
      </c>
      <c r="N177" t="n">
        <v>260917.99745791</v>
      </c>
      <c r="O177" t="n">
        <v>30049292.1217921</v>
      </c>
    </row>
    <row r="178">
      <c r="B178" s="106" t="s">
        <v>530</v>
      </c>
      <c r="C178" t="s">
        <v>487</v>
      </c>
      <c r="D178" t="s">
        <v>495</v>
      </c>
      <c r="E178" t="s">
        <v>498</v>
      </c>
      <c r="F178" t="n">
        <v>25993.4301938136</v>
      </c>
      <c r="G178" t="n">
        <v>-22210.4348492224</v>
      </c>
      <c r="H178" t="n">
        <v>-6173.93903071346</v>
      </c>
      <c r="I178" t="n">
        <v>-232.572283286976</v>
      </c>
      <c r="J178" t="n">
        <v>-503724.18909947</v>
      </c>
      <c r="K178" t="n">
        <v>14468728.7420441</v>
      </c>
      <c r="L178" t="n">
        <v>3834517.76999088</v>
      </c>
      <c r="M178" t="n">
        <v>10634210.9720532</v>
      </c>
      <c r="N178" t="n">
        <v>-141409.771996117</v>
      </c>
      <c r="O178" t="n">
        <v>14340265.3780972</v>
      </c>
    </row>
    <row r="179">
      <c r="B179" s="106" t="s">
        <v>530</v>
      </c>
      <c r="C179" t="s">
        <v>487</v>
      </c>
      <c r="D179" t="s">
        <v>495</v>
      </c>
      <c r="E179" t="s">
        <v>499</v>
      </c>
      <c r="F179" t="n">
        <v>34093.7046712682</v>
      </c>
      <c r="G179" t="n">
        <v>-59647.4744514773</v>
      </c>
      <c r="H179" t="n">
        <v>-16580.4889953495</v>
      </c>
      <c r="I179" t="n">
        <v>-624.587020454815</v>
      </c>
      <c r="J179" t="n">
        <v>-1352781.965048</v>
      </c>
      <c r="K179" t="n">
        <v>118469262.571212</v>
      </c>
      <c r="L179" t="n">
        <v>10297830.8291552</v>
      </c>
      <c r="M179" t="n">
        <v>108171431.742056</v>
      </c>
      <c r="N179" t="n">
        <v>9996.50289481599</v>
      </c>
      <c r="O179" t="n">
        <v>114431945.990564</v>
      </c>
    </row>
    <row r="180">
      <c r="B180" s="106" t="s">
        <v>530</v>
      </c>
      <c r="C180" t="s">
        <v>487</v>
      </c>
      <c r="D180" t="s">
        <v>495</v>
      </c>
      <c r="E180" t="s">
        <v>500</v>
      </c>
      <c r="F180" t="n">
        <v>57826.3379205971</v>
      </c>
      <c r="G180" t="n">
        <v>-69261.3380840814</v>
      </c>
      <c r="H180" t="n">
        <v>-19252.8998833051</v>
      </c>
      <c r="I180" t="n">
        <v>-725.256738604103</v>
      </c>
      <c r="J180" t="n">
        <v>-1570820.72454649</v>
      </c>
      <c r="K180" t="n">
        <v>224581133.148895</v>
      </c>
      <c r="L180" t="n">
        <v>11957615.1236883</v>
      </c>
      <c r="M180" t="n">
        <v>212623518.025207</v>
      </c>
      <c r="N180" t="n">
        <v>7183.7809625837</v>
      </c>
      <c r="O180" t="n">
        <v>216249413.199009</v>
      </c>
    </row>
    <row r="181">
      <c r="B181" s="106" t="s">
        <v>530</v>
      </c>
      <c r="C181" t="s">
        <v>487</v>
      </c>
      <c r="D181" t="s">
        <v>495</v>
      </c>
      <c r="E181" t="s">
        <v>501</v>
      </c>
      <c r="F181" t="n">
        <v>145991.479853985</v>
      </c>
      <c r="G181" t="n">
        <v>-175578.64335958</v>
      </c>
      <c r="H181" t="n">
        <v>-48806.4212410221</v>
      </c>
      <c r="I181" t="n">
        <v>-1838.5378881493</v>
      </c>
      <c r="J181" t="n">
        <v>-3982056.64814283</v>
      </c>
      <c r="K181" t="n">
        <v>484784157.026671</v>
      </c>
      <c r="L181" t="n">
        <v>30312753.1074327</v>
      </c>
      <c r="M181" t="n">
        <v>454471403.919238</v>
      </c>
      <c r="N181" t="n">
        <v>52372.232140367</v>
      </c>
      <c r="O181" t="n">
        <v>468908806.695872</v>
      </c>
    </row>
    <row r="182">
      <c r="B182" s="106" t="s">
        <v>530</v>
      </c>
      <c r="C182" t="s">
        <v>502</v>
      </c>
      <c r="D182" t="s">
        <v>503</v>
      </c>
      <c r="E182"/>
      <c r="F182" t="n">
        <v>25793.6208468126</v>
      </c>
      <c r="G182" t="n">
        <v>-177780.652549636</v>
      </c>
      <c r="H182" t="n">
        <v>-49418.5241223776</v>
      </c>
      <c r="I182" t="n">
        <v>-1861.80908994511</v>
      </c>
      <c r="J182" t="n">
        <v>-4031997.3765068</v>
      </c>
      <c r="K182" t="n">
        <v>31877647.1205843</v>
      </c>
      <c r="L182" t="n">
        <v>30692918.7109554</v>
      </c>
      <c r="M182" t="n">
        <v>1184728.40962898</v>
      </c>
      <c r="N182" t="n">
        <v>0</v>
      </c>
      <c r="O182" t="n">
        <v>15398791.6455471</v>
      </c>
    </row>
    <row r="183">
      <c r="B183" s="106" t="s">
        <v>530</v>
      </c>
      <c r="C183" t="s">
        <v>502</v>
      </c>
      <c r="D183" t="s">
        <v>504</v>
      </c>
      <c r="E183"/>
      <c r="F183" t="n">
        <v>4091.42993692444</v>
      </c>
      <c r="G183" t="n">
        <v>-66747.9980727316</v>
      </c>
      <c r="H183" t="n">
        <v>-18554.2549516559</v>
      </c>
      <c r="I183" t="n">
        <v>-699.018862655787</v>
      </c>
      <c r="J183" t="n">
        <v>-1513819.13192829</v>
      </c>
      <c r="K183" t="n">
        <v>7087281.00496043</v>
      </c>
      <c r="L183" t="n">
        <v>10980628.9367045</v>
      </c>
      <c r="M183" t="n">
        <v>-3893347.93174403</v>
      </c>
      <c r="N183" t="n">
        <v>14206885.8911703</v>
      </c>
      <c r="O183" t="n">
        <v>2442583.67234389</v>
      </c>
    </row>
    <row r="184">
      <c r="B184" s="106" t="s">
        <v>530</v>
      </c>
      <c r="C184" t="s">
        <v>502</v>
      </c>
      <c r="D184" t="s">
        <v>505</v>
      </c>
      <c r="E184" t="s">
        <v>506</v>
      </c>
      <c r="F184" t="n">
        <v>8657.574578846</v>
      </c>
      <c r="G184" t="n">
        <v>-103642.538406197</v>
      </c>
      <c r="H184" t="n">
        <v>-2868.27499610735</v>
      </c>
      <c r="I184" t="n">
        <v>-85.1926286614272</v>
      </c>
      <c r="J184" t="n">
        <v>-2350573.23142414</v>
      </c>
      <c r="K184" t="n">
        <v>11521432.9862582</v>
      </c>
      <c r="L184" t="n">
        <v>15984471.7607182</v>
      </c>
      <c r="M184" t="n">
        <v>-4463038.77446001</v>
      </c>
      <c r="N184" t="n">
        <v>0</v>
      </c>
      <c r="O184" t="n">
        <v>5168572.02357106</v>
      </c>
    </row>
    <row r="185">
      <c r="B185" s="106" t="s">
        <v>530</v>
      </c>
      <c r="C185" t="s">
        <v>502</v>
      </c>
      <c r="D185" t="s">
        <v>505</v>
      </c>
      <c r="E185" t="s">
        <v>507</v>
      </c>
      <c r="F185" t="n">
        <v>1401.2100441578</v>
      </c>
      <c r="G185" t="n">
        <v>-32530.074340247</v>
      </c>
      <c r="H185" t="n">
        <v>-900.259683779272</v>
      </c>
      <c r="I185" t="n">
        <v>-26.7392384074567</v>
      </c>
      <c r="J185" t="n">
        <v>-737769.67581344</v>
      </c>
      <c r="K185" t="n">
        <v>3525302.4427013</v>
      </c>
      <c r="L185" t="n">
        <v>5017013.88890965</v>
      </c>
      <c r="M185" t="n">
        <v>-1491711.44620835</v>
      </c>
      <c r="N185" t="n">
        <v>0</v>
      </c>
      <c r="O185" t="n">
        <v>836522.396362207</v>
      </c>
    </row>
    <row r="186">
      <c r="B186" s="106" t="s">
        <v>530</v>
      </c>
      <c r="C186" t="s">
        <v>502</v>
      </c>
      <c r="D186" t="s">
        <v>508</v>
      </c>
      <c r="E186" t="s">
        <v>509</v>
      </c>
      <c r="F186" t="n">
        <v>343.309882181273</v>
      </c>
      <c r="G186" t="n">
        <v>-76986.5464554921</v>
      </c>
      <c r="H186" t="n">
        <v>-21400.3123992755</v>
      </c>
      <c r="I186" t="n">
        <v>-806.242130055732</v>
      </c>
      <c r="J186" t="n">
        <v>-1746025.50324309</v>
      </c>
      <c r="K186" t="n">
        <v>8582747.05453182</v>
      </c>
      <c r="L186" t="n">
        <v>13291332.764885</v>
      </c>
      <c r="M186" t="n">
        <v>-4708585.71035314</v>
      </c>
      <c r="N186" t="n">
        <v>0</v>
      </c>
      <c r="O186" t="n">
        <v>8582747.05453182</v>
      </c>
    </row>
    <row r="187">
      <c r="B187" s="106" t="s">
        <v>530</v>
      </c>
      <c r="C187" t="s">
        <v>502</v>
      </c>
      <c r="D187" t="s">
        <v>508</v>
      </c>
      <c r="E187" t="s">
        <v>510</v>
      </c>
      <c r="F187" t="n">
        <v>281.197993773302</v>
      </c>
      <c r="G187" t="n">
        <v>-38310.4152868918</v>
      </c>
      <c r="H187" t="n">
        <v>-10649.326317806</v>
      </c>
      <c r="I187" t="n">
        <v>-2960.24332218395</v>
      </c>
      <c r="J187" t="n">
        <v>-868865.603283275</v>
      </c>
      <c r="K187" t="n">
        <v>7029949.84433255</v>
      </c>
      <c r="L187" t="n">
        <v>6302398.07668877</v>
      </c>
      <c r="M187" t="n">
        <v>727551.767643788</v>
      </c>
      <c r="N187" t="n">
        <v>0</v>
      </c>
      <c r="O187" t="n">
        <v>7029949.84433255</v>
      </c>
    </row>
    <row r="188">
      <c r="B188" s="106" t="s">
        <v>530</v>
      </c>
      <c r="C188" t="s">
        <v>502</v>
      </c>
      <c r="D188" t="s">
        <v>508</v>
      </c>
      <c r="E188" t="s">
        <v>511</v>
      </c>
      <c r="F188" t="n">
        <v>764.098743536348</v>
      </c>
      <c r="G188" t="n">
        <v>-26885.4855021294</v>
      </c>
      <c r="H188" t="n">
        <v>-744.047444319965</v>
      </c>
      <c r="I188" t="n">
        <v>-20.591281468777</v>
      </c>
      <c r="J188" t="n">
        <v>-609752.554375576</v>
      </c>
      <c r="K188" t="n">
        <v>19102468.5884087</v>
      </c>
      <c r="L188" t="n">
        <v>4146466.21349338</v>
      </c>
      <c r="M188" t="n">
        <v>14956002.3749153</v>
      </c>
      <c r="N188" t="n">
        <v>0</v>
      </c>
      <c r="O188" t="n">
        <v>19102468.5884087</v>
      </c>
    </row>
    <row r="189">
      <c r="B189" s="106" t="s">
        <v>530</v>
      </c>
      <c r="C189" t="s">
        <v>502</v>
      </c>
      <c r="D189" t="s">
        <v>512</v>
      </c>
      <c r="E189" t="s">
        <v>513</v>
      </c>
      <c r="F189" t="n">
        <v>532.850209834135</v>
      </c>
      <c r="G189" t="n">
        <v>-8592.92174874166</v>
      </c>
      <c r="H189" t="n">
        <v>-2388.61487249481</v>
      </c>
      <c r="I189" t="n">
        <v>-89.9894313107413</v>
      </c>
      <c r="J189" t="n">
        <v>-194884.187061814</v>
      </c>
      <c r="K189" t="n">
        <v>7992753.14751202</v>
      </c>
      <c r="L189" t="n">
        <v>1483523.90961155</v>
      </c>
      <c r="M189" t="n">
        <v>6509229.23790047</v>
      </c>
      <c r="N189" t="n">
        <v>0</v>
      </c>
      <c r="O189" t="n">
        <v>7992753.14751202</v>
      </c>
    </row>
    <row r="190">
      <c r="B190" s="106" t="s">
        <v>530</v>
      </c>
      <c r="C190" t="s">
        <v>502</v>
      </c>
      <c r="D190" t="s">
        <v>512</v>
      </c>
      <c r="E190" t="s">
        <v>514</v>
      </c>
      <c r="F190" t="n">
        <v>411.133012547683</v>
      </c>
      <c r="G190" t="n">
        <v>-3199.56341536608</v>
      </c>
      <c r="H190" t="n">
        <v>-889.397690669401</v>
      </c>
      <c r="I190" t="n">
        <v>-247.230059066529</v>
      </c>
      <c r="J190" t="n">
        <v>-72564.8776270598</v>
      </c>
      <c r="K190" t="n">
        <v>6166995.18821524</v>
      </c>
      <c r="L190" t="n">
        <v>526356.140079393</v>
      </c>
      <c r="M190" t="n">
        <v>5640639.04813585</v>
      </c>
      <c r="N190" t="n">
        <v>0</v>
      </c>
      <c r="O190" t="n">
        <v>6166995.18821524</v>
      </c>
    </row>
    <row r="191">
      <c r="B191" s="106" t="s">
        <v>530</v>
      </c>
      <c r="C191" t="s">
        <v>502</v>
      </c>
      <c r="D191" t="s">
        <v>512</v>
      </c>
      <c r="E191" t="s">
        <v>515</v>
      </c>
      <c r="F191" t="n">
        <v>2880.32909228739</v>
      </c>
      <c r="G191" t="n">
        <v>-51996.1601111916</v>
      </c>
      <c r="H191" t="n">
        <v>-1438.97754950788</v>
      </c>
      <c r="I191" t="n">
        <v>-39.8232558627347</v>
      </c>
      <c r="J191" t="n">
        <v>-1179253.07478674</v>
      </c>
      <c r="K191" t="n">
        <v>43204936.3843108</v>
      </c>
      <c r="L191" t="n">
        <v>8019208.77029996</v>
      </c>
      <c r="M191" t="n">
        <v>35185727.6140109</v>
      </c>
      <c r="N191" t="n">
        <v>0</v>
      </c>
      <c r="O191" t="n">
        <v>43204936.3843108</v>
      </c>
    </row>
    <row r="192">
      <c r="B192" s="106" t="s">
        <v>530</v>
      </c>
      <c r="C192" t="s">
        <v>516</v>
      </c>
      <c r="D192"/>
      <c r="E192"/>
      <c r="F192" t="n">
        <v>254801.061832546</v>
      </c>
      <c r="G192" t="n">
        <v>-25216.995778223</v>
      </c>
      <c r="H192" t="n">
        <v>-7009.68691636494</v>
      </c>
      <c r="I192" t="n">
        <v>-264.085159367355</v>
      </c>
      <c r="J192" t="n">
        <v>-571911.843966208</v>
      </c>
      <c r="K192" t="n">
        <v>16562069.0191155</v>
      </c>
      <c r="L192" t="n">
        <v>4353585.10870246</v>
      </c>
      <c r="M192" t="n">
        <v>12208483.910413</v>
      </c>
      <c r="N192" t="n">
        <v>0</v>
      </c>
      <c r="O192" t="n">
        <v>16562069.0191155</v>
      </c>
    </row>
    <row r="193">
      <c r="B193" s="106" t="s">
        <v>530</v>
      </c>
      <c r="C193" t="s">
        <v>517</v>
      </c>
      <c r="D193" t="s">
        <v>518</v>
      </c>
      <c r="E193"/>
      <c r="F193" t="n">
        <v>5031.73109078027</v>
      </c>
      <c r="G193" t="n">
        <v>-316138.435061527</v>
      </c>
      <c r="H193" t="n">
        <v>-87878.4875931129</v>
      </c>
      <c r="I193" t="n">
        <v>-3310.38262763256</v>
      </c>
      <c r="J193" t="n">
        <v>-7169899.10038246</v>
      </c>
      <c r="K193" t="n">
        <v>71695355.5966291</v>
      </c>
      <c r="L193" t="n">
        <v>54579680.9134952</v>
      </c>
      <c r="M193" t="n">
        <v>17115674.6831339</v>
      </c>
      <c r="N193" t="n">
        <v>20411758.7986527</v>
      </c>
      <c r="O193" t="n">
        <v>-12853385.9858859</v>
      </c>
    </row>
    <row r="194">
      <c r="B194" s="106" t="s">
        <v>530</v>
      </c>
      <c r="C194" t="s">
        <v>517</v>
      </c>
      <c r="D194" t="s">
        <v>519</v>
      </c>
      <c r="E194"/>
      <c r="F194" t="n">
        <v>48442.5442176871</v>
      </c>
      <c r="G194" t="n">
        <v>-72803.5778024253</v>
      </c>
      <c r="H194" t="n">
        <v>-2014.8163586986</v>
      </c>
      <c r="I194" t="n">
        <v>-59.8434606516209</v>
      </c>
      <c r="J194" t="n">
        <v>-1651157.36999407</v>
      </c>
      <c r="K194" t="n">
        <v>20942367.6092345</v>
      </c>
      <c r="L194" t="n">
        <v>11228273.1719791</v>
      </c>
      <c r="M194" t="n">
        <v>9714094.43725531</v>
      </c>
      <c r="N194" t="n">
        <v>7315027.09981985</v>
      </c>
      <c r="O194" t="n">
        <v>-15276380.4335876</v>
      </c>
    </row>
    <row r="195">
      <c r="B195" s="106" t="s">
        <v>530</v>
      </c>
      <c r="C195" t="s">
        <v>517</v>
      </c>
      <c r="D195" t="s">
        <v>520</v>
      </c>
      <c r="E195"/>
      <c r="F195" t="n">
        <v>1314968.98250504</v>
      </c>
      <c r="G195" t="n">
        <v>-1716686.95311396</v>
      </c>
      <c r="H195" t="n">
        <v>-477195.545935829</v>
      </c>
      <c r="I195" t="n">
        <v>-17975.9562154027</v>
      </c>
      <c r="J195" t="n">
        <v>-38933805.1805521</v>
      </c>
      <c r="K195" t="n">
        <v>898458486.630744</v>
      </c>
      <c r="L195" t="n">
        <v>296377206.115685</v>
      </c>
      <c r="M195" t="n">
        <v>602081280.515059</v>
      </c>
      <c r="N195" t="n">
        <v>149543899.226195</v>
      </c>
      <c r="O195" t="n">
        <v>-78898138.9503023</v>
      </c>
    </row>
    <row r="196">
      <c r="B196" s="106" t="s">
        <v>530</v>
      </c>
      <c r="C196" t="s">
        <v>521</v>
      </c>
      <c r="D196" t="s">
        <v>522</v>
      </c>
      <c r="E196"/>
      <c r="F196" t="n">
        <v>538.98351386736</v>
      </c>
      <c r="G196" t="n">
        <v>-43068.7162872572</v>
      </c>
      <c r="H196" t="n">
        <v>-11972.0136185416</v>
      </c>
      <c r="I196" t="n">
        <v>-450.985753010461</v>
      </c>
      <c r="J196" t="n">
        <v>-976782.054679729</v>
      </c>
      <c r="K196" t="n">
        <v>26325581.1771968</v>
      </c>
      <c r="L196" t="n">
        <v>7435593.18200224</v>
      </c>
      <c r="M196" t="n">
        <v>18889987.9951946</v>
      </c>
      <c r="N196" t="n">
        <v>6511360.32258275</v>
      </c>
      <c r="O196" t="n">
        <v>-1376815.06002182</v>
      </c>
    </row>
    <row r="197">
      <c r="B197" s="106" t="s">
        <v>530</v>
      </c>
      <c r="C197" t="s">
        <v>521</v>
      </c>
      <c r="D197" t="s">
        <v>523</v>
      </c>
      <c r="E197"/>
      <c r="F197" t="n">
        <v>99769.7818188846</v>
      </c>
      <c r="G197" t="n">
        <v>-167293.155999263</v>
      </c>
      <c r="H197" t="n">
        <v>-46503.2653528278</v>
      </c>
      <c r="I197" t="n">
        <v>-1751.77800584102</v>
      </c>
      <c r="J197" t="n">
        <v>-3794144.95572427</v>
      </c>
      <c r="K197" t="n">
        <v>139256210.71489</v>
      </c>
      <c r="L197" t="n">
        <v>28882306.1696826</v>
      </c>
      <c r="M197" t="n">
        <v>110373904.545207</v>
      </c>
      <c r="N197" t="n">
        <v>17598582.5778992</v>
      </c>
      <c r="O197" t="n">
        <v>-5986186.90913307</v>
      </c>
    </row>
    <row r="198">
      <c r="B198" s="106" t="s">
        <v>530</v>
      </c>
      <c r="C198" t="s">
        <v>524</v>
      </c>
      <c r="D198"/>
      <c r="E198"/>
      <c r="F198" t="n">
        <v>9575.60263852122</v>
      </c>
      <c r="G198" t="n">
        <v>-14350.9249455736</v>
      </c>
      <c r="H198" t="n">
        <v>-68318.0563946798</v>
      </c>
      <c r="I198" t="n">
        <v>-2573.54118438759</v>
      </c>
      <c r="J198" t="n">
        <v>-325473.502887743</v>
      </c>
      <c r="K198" t="n">
        <v>296676345.83943</v>
      </c>
      <c r="L198" t="n">
        <v>0</v>
      </c>
      <c r="M198" t="n">
        <v>296676345.83943</v>
      </c>
      <c r="N198" t="n">
        <v>104524116.919688</v>
      </c>
      <c r="O198" t="n">
        <v>218706764.263825</v>
      </c>
    </row>
    <row r="199">
      <c r="B199" s="106" t="s">
        <v>531</v>
      </c>
      <c r="C199" t="s">
        <v>487</v>
      </c>
      <c r="D199" t="s">
        <v>488</v>
      </c>
      <c r="E199"/>
      <c r="F199" t="n">
        <v>5085.61687338544</v>
      </c>
      <c r="G199" t="n">
        <v>-67667.3123927252</v>
      </c>
      <c r="H199" t="n">
        <v>-18809.8010768787</v>
      </c>
      <c r="I199" t="n">
        <v>-708.646388108833</v>
      </c>
      <c r="J199" t="n">
        <v>-1534668.82998733</v>
      </c>
      <c r="K199" t="n">
        <v>67868331.8184346</v>
      </c>
      <c r="L199" t="n">
        <v>12012125.2070594</v>
      </c>
      <c r="M199" t="n">
        <v>55856206.6113751</v>
      </c>
      <c r="N199" t="n">
        <v>0</v>
      </c>
      <c r="O199" t="n">
        <v>65411204.2254835</v>
      </c>
    </row>
    <row r="200">
      <c r="B200" s="106" t="s">
        <v>531</v>
      </c>
      <c r="C200" t="s">
        <v>487</v>
      </c>
      <c r="D200" t="s">
        <v>489</v>
      </c>
      <c r="E200" t="s">
        <v>490</v>
      </c>
      <c r="F200" t="n">
        <v>230.084232336867</v>
      </c>
      <c r="G200" t="n">
        <v>-5411.57266196903</v>
      </c>
      <c r="H200" t="n">
        <v>-647.012355425219</v>
      </c>
      <c r="I200" t="n">
        <v>-23.6454580980193</v>
      </c>
      <c r="J200" t="n">
        <v>-122732.403458487</v>
      </c>
      <c r="K200" t="n">
        <v>1449184.54820309</v>
      </c>
      <c r="L200" t="n">
        <v>915376.365340089</v>
      </c>
      <c r="M200" t="n">
        <v>533808.182863005</v>
      </c>
      <c r="N200" t="n">
        <v>-56890.9104371036</v>
      </c>
      <c r="O200" t="n">
        <v>2129977.14432492</v>
      </c>
    </row>
    <row r="201">
      <c r="B201" s="106" t="s">
        <v>531</v>
      </c>
      <c r="C201" t="s">
        <v>487</v>
      </c>
      <c r="D201" t="s">
        <v>489</v>
      </c>
      <c r="E201" t="s">
        <v>491</v>
      </c>
      <c r="F201" t="n">
        <v>954.95137138045</v>
      </c>
      <c r="G201" t="n">
        <v>-10787.9126190363</v>
      </c>
      <c r="H201" t="n">
        <v>-1299.69372271185</v>
      </c>
      <c r="I201" t="n">
        <v>-47.518331316929</v>
      </c>
      <c r="J201" t="n">
        <v>-244665.74261108</v>
      </c>
      <c r="K201" t="n">
        <v>3537994.98062593</v>
      </c>
      <c r="L201" t="n">
        <v>1824793.06102986</v>
      </c>
      <c r="M201" t="n">
        <v>1713201.91959607</v>
      </c>
      <c r="N201" t="n">
        <v>-115275.958402101</v>
      </c>
      <c r="O201" t="n">
        <v>4917459.96700123</v>
      </c>
    </row>
    <row r="202">
      <c r="B202" s="106" t="s">
        <v>531</v>
      </c>
      <c r="C202" t="s">
        <v>487</v>
      </c>
      <c r="D202" t="s">
        <v>492</v>
      </c>
      <c r="E202" t="s">
        <v>493</v>
      </c>
      <c r="F202" t="n">
        <v>1565.24944863851</v>
      </c>
      <c r="G202" t="n">
        <v>-50577.8890363029</v>
      </c>
      <c r="H202" t="n">
        <v>-1399.72733888623</v>
      </c>
      <c r="I202" t="n">
        <v>-41.5742742836083</v>
      </c>
      <c r="J202" t="n">
        <v>-1147087.22787868</v>
      </c>
      <c r="K202" t="n">
        <v>30785286.0321399</v>
      </c>
      <c r="L202" t="n">
        <v>8020624.35068429</v>
      </c>
      <c r="M202" t="n">
        <v>22764661.6814556</v>
      </c>
      <c r="N202" t="n">
        <v>0</v>
      </c>
      <c r="O202" t="n">
        <v>24934423.7168115</v>
      </c>
    </row>
    <row r="203">
      <c r="B203" s="106" t="s">
        <v>531</v>
      </c>
      <c r="C203" t="s">
        <v>487</v>
      </c>
      <c r="D203" t="s">
        <v>492</v>
      </c>
      <c r="E203" t="s">
        <v>494</v>
      </c>
      <c r="F203" t="n">
        <v>284.268800790784</v>
      </c>
      <c r="G203" t="n">
        <v>-32392.7098014361</v>
      </c>
      <c r="H203" t="n">
        <v>-896.458162916487</v>
      </c>
      <c r="I203" t="n">
        <v>-26.6263267948493</v>
      </c>
      <c r="J203" t="n">
        <v>-734654.300477781</v>
      </c>
      <c r="K203" t="n">
        <v>6755356.49503158</v>
      </c>
      <c r="L203" t="n">
        <v>5136824.84517228</v>
      </c>
      <c r="M203" t="n">
        <v>1618531.6498593</v>
      </c>
      <c r="N203" t="n">
        <v>0</v>
      </c>
      <c r="O203" t="n">
        <v>5692767.00463624</v>
      </c>
    </row>
    <row r="204">
      <c r="B204" s="106" t="s">
        <v>531</v>
      </c>
      <c r="C204" t="s">
        <v>487</v>
      </c>
      <c r="D204" t="s">
        <v>495</v>
      </c>
      <c r="E204" t="s">
        <v>496</v>
      </c>
      <c r="F204" t="n">
        <v>191476.995402061</v>
      </c>
      <c r="G204" t="n">
        <v>-42931.2851615103</v>
      </c>
      <c r="H204" t="n">
        <v>-11933.8112421791</v>
      </c>
      <c r="I204" t="n">
        <v>-449.546669492888</v>
      </c>
      <c r="J204" t="n">
        <v>-973665.169177763</v>
      </c>
      <c r="K204" t="n">
        <v>131693849.983164</v>
      </c>
      <c r="L204" t="n">
        <v>7621050.02289814</v>
      </c>
      <c r="M204" t="n">
        <v>124072799.960266</v>
      </c>
      <c r="N204" t="n">
        <v>338013.965571641</v>
      </c>
      <c r="O204" t="n">
        <v>128633836.836511</v>
      </c>
    </row>
    <row r="205">
      <c r="B205" s="106" t="s">
        <v>531</v>
      </c>
      <c r="C205" t="s">
        <v>487</v>
      </c>
      <c r="D205" t="s">
        <v>495</v>
      </c>
      <c r="E205" t="s">
        <v>497</v>
      </c>
      <c r="F205" t="n">
        <v>30563.6145446918</v>
      </c>
      <c r="G205" t="n">
        <v>-9316.11061949101</v>
      </c>
      <c r="H205" t="n">
        <v>-2589.64308256816</v>
      </c>
      <c r="I205" t="n">
        <v>-97.5518549203426</v>
      </c>
      <c r="J205" t="n">
        <v>-211285.834753855</v>
      </c>
      <c r="K205" t="n">
        <v>30835961.0697178</v>
      </c>
      <c r="L205" t="n">
        <v>1653771.7140983</v>
      </c>
      <c r="M205" t="n">
        <v>29182189.3556195</v>
      </c>
      <c r="N205" t="n">
        <v>260009.150109917</v>
      </c>
      <c r="O205" t="n">
        <v>29610474.1428176</v>
      </c>
    </row>
    <row r="206">
      <c r="B206" s="106" t="s">
        <v>531</v>
      </c>
      <c r="C206" t="s">
        <v>487</v>
      </c>
      <c r="D206" t="s">
        <v>495</v>
      </c>
      <c r="E206" t="s">
        <v>498</v>
      </c>
      <c r="F206" t="n">
        <v>25240.5223303956</v>
      </c>
      <c r="G206" t="n">
        <v>-21349.4675858545</v>
      </c>
      <c r="H206" t="n">
        <v>-5934.61191138603</v>
      </c>
      <c r="I206" t="n">
        <v>-223.556830701912</v>
      </c>
      <c r="J206" t="n">
        <v>-484197.780025296</v>
      </c>
      <c r="K206" t="n">
        <v>13667208.3385513</v>
      </c>
      <c r="L206" t="n">
        <v>3789901.9286735</v>
      </c>
      <c r="M206" t="n">
        <v>9877306.40987779</v>
      </c>
      <c r="N206" t="n">
        <v>-140917.203842479</v>
      </c>
      <c r="O206" t="n">
        <v>13571415.206087</v>
      </c>
    </row>
    <row r="207">
      <c r="B207" s="106" t="s">
        <v>531</v>
      </c>
      <c r="C207" t="s">
        <v>487</v>
      </c>
      <c r="D207" t="s">
        <v>495</v>
      </c>
      <c r="E207" t="s">
        <v>499</v>
      </c>
      <c r="F207" t="n">
        <v>34003.3678805307</v>
      </c>
      <c r="G207" t="n">
        <v>-57802.2333832926</v>
      </c>
      <c r="H207" t="n">
        <v>-16067.5586574574</v>
      </c>
      <c r="I207" t="n">
        <v>-605.264934626422</v>
      </c>
      <c r="J207" t="n">
        <v>-1310932.60158104</v>
      </c>
      <c r="K207" t="n">
        <v>116050554.320213</v>
      </c>
      <c r="L207" t="n">
        <v>10260902.052945</v>
      </c>
      <c r="M207" t="n">
        <v>105789652.267268</v>
      </c>
      <c r="N207" t="n">
        <v>9961.68239475971</v>
      </c>
      <c r="O207" t="n">
        <v>112156036.50195</v>
      </c>
    </row>
    <row r="208">
      <c r="B208" s="106" t="s">
        <v>531</v>
      </c>
      <c r="C208" t="s">
        <v>487</v>
      </c>
      <c r="D208" t="s">
        <v>495</v>
      </c>
      <c r="E208" t="s">
        <v>500</v>
      </c>
      <c r="F208" t="n">
        <v>56261.7374794695</v>
      </c>
      <c r="G208" t="n">
        <v>-66888.0133361065</v>
      </c>
      <c r="H208" t="n">
        <v>-18593.1756413642</v>
      </c>
      <c r="I208" t="n">
        <v>-700.404926410191</v>
      </c>
      <c r="J208" t="n">
        <v>-1516994.62468581</v>
      </c>
      <c r="K208" t="n">
        <v>216732938.591465</v>
      </c>
      <c r="L208" t="n">
        <v>11873786.0664783</v>
      </c>
      <c r="M208" t="n">
        <v>204859152.524987</v>
      </c>
      <c r="N208" t="n">
        <v>7158.75792722387</v>
      </c>
      <c r="O208" t="n">
        <v>208737845.842041</v>
      </c>
    </row>
    <row r="209">
      <c r="B209" s="106" t="s">
        <v>531</v>
      </c>
      <c r="C209" t="s">
        <v>487</v>
      </c>
      <c r="D209" t="s">
        <v>495</v>
      </c>
      <c r="E209" t="s">
        <v>501</v>
      </c>
      <c r="F209" t="n">
        <v>146299.049249559</v>
      </c>
      <c r="G209" t="n">
        <v>-171992.564831999</v>
      </c>
      <c r="H209" t="n">
        <v>-47809.5821273831</v>
      </c>
      <c r="I209" t="n">
        <v>-1800.98695873852</v>
      </c>
      <c r="J209" t="n">
        <v>-3900725.75522625</v>
      </c>
      <c r="K209" t="n">
        <v>475578732.008883</v>
      </c>
      <c r="L209" t="n">
        <v>30531672.5371728</v>
      </c>
      <c r="M209" t="n">
        <v>445047059.471711</v>
      </c>
      <c r="N209" t="n">
        <v>52189.8056126724</v>
      </c>
      <c r="O209" t="n">
        <v>460311784.861219</v>
      </c>
    </row>
    <row r="210">
      <c r="B210" s="106" t="s">
        <v>531</v>
      </c>
      <c r="C210" t="s">
        <v>502</v>
      </c>
      <c r="D210" t="s">
        <v>503</v>
      </c>
      <c r="E210"/>
      <c r="F210" t="n">
        <v>26704.7934462503</v>
      </c>
      <c r="G210" t="n">
        <v>-181266.55465717</v>
      </c>
      <c r="H210" t="n">
        <v>-50387.5167260092</v>
      </c>
      <c r="I210" t="n">
        <v>-1898.3152234157</v>
      </c>
      <c r="J210" t="n">
        <v>-4111056.30643402</v>
      </c>
      <c r="K210" t="n">
        <v>32256828.6076983</v>
      </c>
      <c r="L210" t="n">
        <v>32177967.0774733</v>
      </c>
      <c r="M210" t="n">
        <v>78861.5302250175</v>
      </c>
      <c r="N210" t="n">
        <v>56535496.3783124</v>
      </c>
      <c r="O210" t="n">
        <v>15942761.6874114</v>
      </c>
    </row>
    <row r="211">
      <c r="B211" s="106" t="s">
        <v>531</v>
      </c>
      <c r="C211" t="s">
        <v>502</v>
      </c>
      <c r="D211" t="s">
        <v>504</v>
      </c>
      <c r="E211"/>
      <c r="F211" t="n">
        <v>4103.88145357587</v>
      </c>
      <c r="G211" t="n">
        <v>-66233.8972710201</v>
      </c>
      <c r="H211" t="n">
        <v>-18411.3479338991</v>
      </c>
      <c r="I211" t="n">
        <v>-693.634938522044</v>
      </c>
      <c r="J211" t="n">
        <v>-1502159.52187493</v>
      </c>
      <c r="K211" t="n">
        <v>7048267.58707517</v>
      </c>
      <c r="L211" t="n">
        <v>11203572.0359698</v>
      </c>
      <c r="M211" t="n">
        <v>-4155304.44889468</v>
      </c>
      <c r="N211" t="n">
        <v>0</v>
      </c>
      <c r="O211" t="n">
        <v>2450017.22778479</v>
      </c>
    </row>
    <row r="212">
      <c r="B212" s="106" t="s">
        <v>531</v>
      </c>
      <c r="C212" t="s">
        <v>502</v>
      </c>
      <c r="D212" t="s">
        <v>505</v>
      </c>
      <c r="E212" t="s">
        <v>506</v>
      </c>
      <c r="F212" t="n">
        <v>8909.10287548613</v>
      </c>
      <c r="G212" t="n">
        <v>-103713.454741794</v>
      </c>
      <c r="H212" t="n">
        <v>-2870.23758362536</v>
      </c>
      <c r="I212" t="n">
        <v>-85.2509208369906</v>
      </c>
      <c r="J212" t="n">
        <v>-2352181.58686091</v>
      </c>
      <c r="K212" t="n">
        <v>11608066.7697255</v>
      </c>
      <c r="L212" t="n">
        <v>16446844.1930932</v>
      </c>
      <c r="M212" t="n">
        <v>-4838777.4233677</v>
      </c>
      <c r="N212" t="n">
        <v>21795333.3283365</v>
      </c>
      <c r="O212" t="n">
        <v>5318734.41666522</v>
      </c>
    </row>
    <row r="213">
      <c r="B213" s="106" t="s">
        <v>531</v>
      </c>
      <c r="C213" t="s">
        <v>502</v>
      </c>
      <c r="D213" t="s">
        <v>505</v>
      </c>
      <c r="E213" t="s">
        <v>507</v>
      </c>
      <c r="F213" t="n">
        <v>1399.16589211179</v>
      </c>
      <c r="G213" t="n">
        <v>-32254.9061633083</v>
      </c>
      <c r="H213" t="n">
        <v>-892.644490116758</v>
      </c>
      <c r="I213" t="n">
        <v>-26.5130542491191</v>
      </c>
      <c r="J213" t="n">
        <v>-731528.96653713</v>
      </c>
      <c r="K213" t="n">
        <v>3497194.28346645</v>
      </c>
      <c r="L213" t="n">
        <v>5114971.99135335</v>
      </c>
      <c r="M213" t="n">
        <v>-1617777.7078869</v>
      </c>
      <c r="N213" t="n">
        <v>10476360.0794924</v>
      </c>
      <c r="O213" t="n">
        <v>835302.03759074</v>
      </c>
    </row>
    <row r="214">
      <c r="B214" s="106" t="s">
        <v>531</v>
      </c>
      <c r="C214" t="s">
        <v>502</v>
      </c>
      <c r="D214" t="s">
        <v>508</v>
      </c>
      <c r="E214" t="s">
        <v>509</v>
      </c>
      <c r="F214" t="n">
        <v>355.437476039365</v>
      </c>
      <c r="G214" t="n">
        <v>-79706.13484024</v>
      </c>
      <c r="H214" t="n">
        <v>-22156.2891732784</v>
      </c>
      <c r="I214" t="n">
        <v>-834.723037865535</v>
      </c>
      <c r="J214" t="n">
        <v>-1807704.7302862</v>
      </c>
      <c r="K214" t="n">
        <v>8885936.90098413</v>
      </c>
      <c r="L214" t="n">
        <v>14149225.6396259</v>
      </c>
      <c r="M214" t="n">
        <v>-5263288.73864181</v>
      </c>
      <c r="N214" t="n">
        <v>0</v>
      </c>
      <c r="O214" t="n">
        <v>8885936.90098413</v>
      </c>
    </row>
    <row r="215">
      <c r="B215" s="106" t="s">
        <v>531</v>
      </c>
      <c r="C215" t="s">
        <v>502</v>
      </c>
      <c r="D215" t="s">
        <v>508</v>
      </c>
      <c r="E215" t="s">
        <v>510</v>
      </c>
      <c r="F215" t="n">
        <v>278.386013835569</v>
      </c>
      <c r="G215" t="n">
        <v>-37927.3111340229</v>
      </c>
      <c r="H215" t="n">
        <v>-10542.8330546279</v>
      </c>
      <c r="I215" t="n">
        <v>-2930.64088896211</v>
      </c>
      <c r="J215" t="n">
        <v>-860176.947250442</v>
      </c>
      <c r="K215" t="n">
        <v>6959650.34588923</v>
      </c>
      <c r="L215" t="n">
        <v>6415466.70101484</v>
      </c>
      <c r="M215" t="n">
        <v>544183.644874389</v>
      </c>
      <c r="N215" t="n">
        <v>0</v>
      </c>
      <c r="O215" t="n">
        <v>6959650.34588923</v>
      </c>
    </row>
    <row r="216">
      <c r="B216" s="106" t="s">
        <v>531</v>
      </c>
      <c r="C216" t="s">
        <v>502</v>
      </c>
      <c r="D216" t="s">
        <v>508</v>
      </c>
      <c r="E216" t="s">
        <v>511</v>
      </c>
      <c r="F216" t="n">
        <v>758.398170336996</v>
      </c>
      <c r="G216" t="n">
        <v>-26684.9058265292</v>
      </c>
      <c r="H216" t="n">
        <v>-738.49646421953</v>
      </c>
      <c r="I216" t="n">
        <v>-20.4376598220014</v>
      </c>
      <c r="J216" t="n">
        <v>-605203.48385411</v>
      </c>
      <c r="K216" t="n">
        <v>18959954.2584249</v>
      </c>
      <c r="L216" t="n">
        <v>4231683.24234241</v>
      </c>
      <c r="M216" t="n">
        <v>14728271.0160825</v>
      </c>
      <c r="N216" t="n">
        <v>0</v>
      </c>
      <c r="O216" t="n">
        <v>18959954.2584249</v>
      </c>
    </row>
    <row r="217">
      <c r="B217" s="106" t="s">
        <v>531</v>
      </c>
      <c r="C217" t="s">
        <v>502</v>
      </c>
      <c r="D217" t="s">
        <v>512</v>
      </c>
      <c r="E217" t="s">
        <v>513</v>
      </c>
      <c r="F217" t="n">
        <v>551.388874919732</v>
      </c>
      <c r="G217" t="n">
        <v>-8891.88249881109</v>
      </c>
      <c r="H217" t="n">
        <v>-2471.71839825572</v>
      </c>
      <c r="I217" t="n">
        <v>-93.1202997940858</v>
      </c>
      <c r="J217" t="n">
        <v>-201664.502819862</v>
      </c>
      <c r="K217" t="n">
        <v>8270833.12379597</v>
      </c>
      <c r="L217" t="n">
        <v>1578463.84207307</v>
      </c>
      <c r="M217" t="n">
        <v>6692369.28172291</v>
      </c>
      <c r="N217" t="n">
        <v>0</v>
      </c>
      <c r="O217" t="n">
        <v>8270833.12379597</v>
      </c>
    </row>
    <row r="218">
      <c r="B218" s="106" t="s">
        <v>531</v>
      </c>
      <c r="C218" t="s">
        <v>502</v>
      </c>
      <c r="D218" t="s">
        <v>512</v>
      </c>
      <c r="E218" t="s">
        <v>514</v>
      </c>
      <c r="F218" t="n">
        <v>415.937829921971</v>
      </c>
      <c r="G218" t="n">
        <v>-3236.95598034894</v>
      </c>
      <c r="H218" t="n">
        <v>-899.791877821386</v>
      </c>
      <c r="I218" t="n">
        <v>-250.119380154826</v>
      </c>
      <c r="J218" t="n">
        <v>-73412.9267356075</v>
      </c>
      <c r="K218" t="n">
        <v>6239067.44882956</v>
      </c>
      <c r="L218" t="n">
        <v>547536.397484047</v>
      </c>
      <c r="M218" t="n">
        <v>5691531.05134552</v>
      </c>
      <c r="N218" t="n">
        <v>0</v>
      </c>
      <c r="O218" t="n">
        <v>6239067.44882956</v>
      </c>
    </row>
    <row r="219">
      <c r="B219" s="106" t="s">
        <v>531</v>
      </c>
      <c r="C219" t="s">
        <v>502</v>
      </c>
      <c r="D219" t="s">
        <v>512</v>
      </c>
      <c r="E219" t="s">
        <v>515</v>
      </c>
      <c r="F219" t="n">
        <v>2992.32294266242</v>
      </c>
      <c r="G219" t="n">
        <v>-54017.8909582541</v>
      </c>
      <c r="H219" t="n">
        <v>-1494.92832152353</v>
      </c>
      <c r="I219" t="n">
        <v>-41.3716760659955</v>
      </c>
      <c r="J219" t="n">
        <v>-1225105.1591078</v>
      </c>
      <c r="K219" t="n">
        <v>44884844.1399363</v>
      </c>
      <c r="L219" t="n">
        <v>8566138.679323</v>
      </c>
      <c r="M219" t="n">
        <v>36318705.4606133</v>
      </c>
      <c r="N219" t="n">
        <v>0</v>
      </c>
      <c r="O219" t="n">
        <v>44884844.1399363</v>
      </c>
    </row>
    <row r="220">
      <c r="B220" s="106" t="s">
        <v>531</v>
      </c>
      <c r="C220" t="s">
        <v>516</v>
      </c>
      <c r="D220"/>
      <c r="E220"/>
      <c r="F220" t="n">
        <v>252603.39344498</v>
      </c>
      <c r="G220" t="n">
        <v>-24999.49827624</v>
      </c>
      <c r="H220" t="n">
        <v>-6949.22811281037</v>
      </c>
      <c r="I220" t="n">
        <v>-261.807415302268</v>
      </c>
      <c r="J220" t="n">
        <v>-566979.083596532</v>
      </c>
      <c r="K220" t="n">
        <v>16419220.5739237</v>
      </c>
      <c r="L220" t="n">
        <v>4437845.87845026</v>
      </c>
      <c r="M220" t="n">
        <v>11981374.6954734</v>
      </c>
      <c r="N220" t="n">
        <v>0</v>
      </c>
      <c r="O220" t="n">
        <v>16419220.5739237</v>
      </c>
    </row>
    <row r="221">
      <c r="B221" s="106" t="s">
        <v>531</v>
      </c>
      <c r="C221" t="s">
        <v>517</v>
      </c>
      <c r="D221" t="s">
        <v>518</v>
      </c>
      <c r="E221"/>
      <c r="F221" t="n">
        <v>5418.78732853259</v>
      </c>
      <c r="G221" t="n">
        <v>-326374.358622199</v>
      </c>
      <c r="H221" t="n">
        <v>-90723.8154048213</v>
      </c>
      <c r="I221" t="n">
        <v>-3417.56612629962</v>
      </c>
      <c r="J221" t="n">
        <v>-7402045.94173366</v>
      </c>
      <c r="K221" t="n">
        <v>69251376.3345816</v>
      </c>
      <c r="L221" t="n">
        <v>57937126.8270595</v>
      </c>
      <c r="M221" t="n">
        <v>11314249.5075221</v>
      </c>
      <c r="N221" t="n">
        <v>34121964.0709429</v>
      </c>
      <c r="O221" t="n">
        <v>-13300574.7335124</v>
      </c>
    </row>
    <row r="222">
      <c r="B222" s="106" t="s">
        <v>531</v>
      </c>
      <c r="C222" t="s">
        <v>517</v>
      </c>
      <c r="D222" t="s">
        <v>519</v>
      </c>
      <c r="E222"/>
      <c r="F222" t="n">
        <v>52168.8937728938</v>
      </c>
      <c r="G222" t="n">
        <v>-73731.8589288892</v>
      </c>
      <c r="H222" t="n">
        <v>-2040.50624998589</v>
      </c>
      <c r="I222" t="n">
        <v>-60.6064939631972</v>
      </c>
      <c r="J222" t="n">
        <v>-1672210.43180303</v>
      </c>
      <c r="K222" t="n">
        <v>21086108.9540624</v>
      </c>
      <c r="L222" t="n">
        <v>11692372.9798569</v>
      </c>
      <c r="M222" t="n">
        <v>9393735.9742055</v>
      </c>
      <c r="N222" t="n">
        <v>7297754.67113097</v>
      </c>
      <c r="O222" t="n">
        <v>-15669260.4868066</v>
      </c>
    </row>
    <row r="223">
      <c r="B223" s="106" t="s">
        <v>531</v>
      </c>
      <c r="C223" t="s">
        <v>517</v>
      </c>
      <c r="D223" t="s">
        <v>520</v>
      </c>
      <c r="E223"/>
      <c r="F223" t="n">
        <v>1316892.96440599</v>
      </c>
      <c r="G223" t="n">
        <v>-1714783.73602423</v>
      </c>
      <c r="H223" t="n">
        <v>-476666.499730564</v>
      </c>
      <c r="I223" t="n">
        <v>-17956.0270448504</v>
      </c>
      <c r="J223" t="n">
        <v>-38890640.9430341</v>
      </c>
      <c r="K223" t="n">
        <v>821067168.754935</v>
      </c>
      <c r="L223" t="n">
        <v>304403946.481649</v>
      </c>
      <c r="M223" t="n">
        <v>516663222.273286</v>
      </c>
      <c r="N223" t="n">
        <v>361267341.345269</v>
      </c>
      <c r="O223" t="n">
        <v>-79013577.8643596</v>
      </c>
    </row>
    <row r="224">
      <c r="B224" s="106" t="s">
        <v>531</v>
      </c>
      <c r="C224" t="s">
        <v>521</v>
      </c>
      <c r="D224" t="s">
        <v>522</v>
      </c>
      <c r="E224"/>
      <c r="F224" t="n">
        <v>580.443784164849</v>
      </c>
      <c r="G224" t="n">
        <v>-44567.1420965753</v>
      </c>
      <c r="H224" t="n">
        <v>-12388.5380878543</v>
      </c>
      <c r="I224" t="n">
        <v>-466.676229769472</v>
      </c>
      <c r="J224" t="n">
        <v>-1010765.78038562</v>
      </c>
      <c r="K224" t="n">
        <v>25058411.9012739</v>
      </c>
      <c r="L224" t="n">
        <v>7911443.08906269</v>
      </c>
      <c r="M224" t="n">
        <v>17146968.8122112</v>
      </c>
      <c r="N224" t="n">
        <v>13004277.9558376</v>
      </c>
      <c r="O224" t="n">
        <v>-1424716.53929588</v>
      </c>
    </row>
    <row r="225">
      <c r="B225" s="106" t="s">
        <v>531</v>
      </c>
      <c r="C225" t="s">
        <v>521</v>
      </c>
      <c r="D225" t="s">
        <v>523</v>
      </c>
      <c r="E225"/>
      <c r="F225" t="n">
        <v>98876.5775232924</v>
      </c>
      <c r="G225" t="n">
        <v>-165795.438325259</v>
      </c>
      <c r="H225" t="n">
        <v>-46086.9377272186</v>
      </c>
      <c r="I225" t="n">
        <v>-1736.09494418432</v>
      </c>
      <c r="J225" t="n">
        <v>-3760177.29025714</v>
      </c>
      <c r="K225" t="n">
        <v>126032011.665837</v>
      </c>
      <c r="L225" t="n">
        <v>29431574.7663183</v>
      </c>
      <c r="M225" t="n">
        <v>96600436.8995188</v>
      </c>
      <c r="N225" t="n">
        <v>55294608.2723187</v>
      </c>
      <c r="O225" t="n">
        <v>-5932594.65139754</v>
      </c>
    </row>
    <row r="226">
      <c r="B226" s="106" t="s">
        <v>531</v>
      </c>
      <c r="C226" t="s">
        <v>524</v>
      </c>
      <c r="D226"/>
      <c r="E226"/>
      <c r="F226" t="n">
        <v>10817.7988810654</v>
      </c>
      <c r="G226" t="n">
        <v>-15070.24794082</v>
      </c>
      <c r="H226" t="n">
        <v>-71763.2773077842</v>
      </c>
      <c r="I226" t="n">
        <v>-2703.32265618423</v>
      </c>
      <c r="J226" t="n">
        <v>-341787.473998208</v>
      </c>
      <c r="K226" t="n">
        <v>335162627.406734</v>
      </c>
      <c r="L226" t="n">
        <v>0</v>
      </c>
      <c r="M226" t="n">
        <v>335162627.406734</v>
      </c>
      <c r="N226" t="n">
        <v>104160031.393242</v>
      </c>
      <c r="O226" t="n">
        <v>247078526.443534</v>
      </c>
    </row>
    <row r="227">
      <c r="B227" s="106" t="s">
        <v>532</v>
      </c>
      <c r="C227" t="s">
        <v>487</v>
      </c>
      <c r="D227" t="s">
        <v>488</v>
      </c>
      <c r="E227"/>
      <c r="F227" t="n">
        <v>5046.54075595443</v>
      </c>
      <c r="G227" t="n">
        <v>-67147.380217115</v>
      </c>
      <c r="H227" t="n">
        <v>-18665.2730846934</v>
      </c>
      <c r="I227" t="n">
        <v>-703.201394872375</v>
      </c>
      <c r="J227" t="n">
        <v>-1522876.96659862</v>
      </c>
      <c r="K227" t="n">
        <v>67346855.0792286</v>
      </c>
      <c r="L227" t="n">
        <v>12209888.153253</v>
      </c>
      <c r="M227" t="n">
        <v>55136966.9259756</v>
      </c>
      <c r="N227" t="n">
        <v>0</v>
      </c>
      <c r="O227" t="n">
        <v>64908607.2030858</v>
      </c>
    </row>
    <row r="228">
      <c r="B228" s="106" t="s">
        <v>532</v>
      </c>
      <c r="C228" t="s">
        <v>487</v>
      </c>
      <c r="D228" t="s">
        <v>489</v>
      </c>
      <c r="E228" t="s">
        <v>490</v>
      </c>
      <c r="F228" t="n">
        <v>230.589234273347</v>
      </c>
      <c r="G228" t="n">
        <v>-5401.76503995455</v>
      </c>
      <c r="H228" t="n">
        <v>-642.410508049307</v>
      </c>
      <c r="I228" t="n">
        <v>-23.4702575752872</v>
      </c>
      <c r="J228" t="n">
        <v>-122509.970332807</v>
      </c>
      <c r="K228" t="n">
        <v>1353695.99614529</v>
      </c>
      <c r="L228" t="n">
        <v>935952.007748723</v>
      </c>
      <c r="M228" t="n">
        <v>417743.988396567</v>
      </c>
      <c r="N228" t="n">
        <v>-2765772.85566247</v>
      </c>
      <c r="O228" t="n">
        <v>2035982.83451001</v>
      </c>
    </row>
    <row r="229">
      <c r="B229" s="106" t="s">
        <v>532</v>
      </c>
      <c r="C229" t="s">
        <v>487</v>
      </c>
      <c r="D229" t="s">
        <v>489</v>
      </c>
      <c r="E229" t="s">
        <v>491</v>
      </c>
      <c r="F229" t="n">
        <v>957.047352869024</v>
      </c>
      <c r="G229" t="n">
        <v>-10768.2643913535</v>
      </c>
      <c r="H229" t="n">
        <v>-1290.51478571953</v>
      </c>
      <c r="I229" t="n">
        <v>-47.1688938402557</v>
      </c>
      <c r="J229" t="n">
        <v>-244220.128303032</v>
      </c>
      <c r="K229" t="n">
        <v>3346663.28653161</v>
      </c>
      <c r="L229" t="n">
        <v>1865793.60681359</v>
      </c>
      <c r="M229" t="n">
        <v>1480869.67971802</v>
      </c>
      <c r="N229" t="n">
        <v>-5604183.76519904</v>
      </c>
      <c r="O229" t="n">
        <v>4729156.00098003</v>
      </c>
    </row>
    <row r="230">
      <c r="B230" s="106" t="s">
        <v>532</v>
      </c>
      <c r="C230" t="s">
        <v>487</v>
      </c>
      <c r="D230" t="s">
        <v>492</v>
      </c>
      <c r="E230" t="s">
        <v>493</v>
      </c>
      <c r="F230" t="n">
        <v>1553.60175325613</v>
      </c>
      <c r="G230" t="n">
        <v>-50201.5171774334</v>
      </c>
      <c r="H230" t="n">
        <v>-1389.31136482158</v>
      </c>
      <c r="I230" t="n">
        <v>-41.2649022004428</v>
      </c>
      <c r="J230" t="n">
        <v>-1138551.25770539</v>
      </c>
      <c r="K230" t="n">
        <v>30556199.4579369</v>
      </c>
      <c r="L230" t="n">
        <v>8154662.83590535</v>
      </c>
      <c r="M230" t="n">
        <v>22401536.6220315</v>
      </c>
      <c r="N230" t="n">
        <v>0</v>
      </c>
      <c r="O230" t="n">
        <v>24748875.9293702</v>
      </c>
    </row>
    <row r="231">
      <c r="B231" s="106" t="s">
        <v>532</v>
      </c>
      <c r="C231" t="s">
        <v>487</v>
      </c>
      <c r="D231" t="s">
        <v>492</v>
      </c>
      <c r="E231" t="s">
        <v>494</v>
      </c>
      <c r="F231" t="n">
        <v>281.507428340115</v>
      </c>
      <c r="G231" t="n">
        <v>-32078.0486912496</v>
      </c>
      <c r="H231" t="n">
        <v>-887.750014616819</v>
      </c>
      <c r="I231" t="n">
        <v>-26.3676800314012</v>
      </c>
      <c r="J231" t="n">
        <v>-727517.906541965</v>
      </c>
      <c r="K231" t="n">
        <v>6689735.31089904</v>
      </c>
      <c r="L231" t="n">
        <v>5210712.46883517</v>
      </c>
      <c r="M231" t="n">
        <v>1479022.84206388</v>
      </c>
      <c r="N231" t="n">
        <v>0</v>
      </c>
      <c r="O231" t="n">
        <v>5637467.75993914</v>
      </c>
    </row>
    <row r="232">
      <c r="B232" s="106" t="s">
        <v>532</v>
      </c>
      <c r="C232" t="s">
        <v>487</v>
      </c>
      <c r="D232" t="s">
        <v>495</v>
      </c>
      <c r="E232" t="s">
        <v>496</v>
      </c>
      <c r="F232" t="n">
        <v>185664.233300243</v>
      </c>
      <c r="G232" t="n">
        <v>-41669.5910397493</v>
      </c>
      <c r="H232" t="n">
        <v>-11583.0921934058</v>
      </c>
      <c r="I232" t="n">
        <v>-436.335082925595</v>
      </c>
      <c r="J232" t="n">
        <v>-945050.427832532</v>
      </c>
      <c r="K232" t="n">
        <v>127996384.930381</v>
      </c>
      <c r="L232" t="n">
        <v>7577079.61713525</v>
      </c>
      <c r="M232" t="n">
        <v>120419305.313246</v>
      </c>
      <c r="N232" t="n">
        <v>832342.48854518</v>
      </c>
      <c r="O232" t="n">
        <v>125006705.507312</v>
      </c>
    </row>
    <row r="233">
      <c r="B233" s="106" t="s">
        <v>532</v>
      </c>
      <c r="C233" t="s">
        <v>487</v>
      </c>
      <c r="D233" t="s">
        <v>495</v>
      </c>
      <c r="E233" t="s">
        <v>497</v>
      </c>
      <c r="F233" t="n">
        <v>29654.2373905329</v>
      </c>
      <c r="G233" t="n">
        <v>-9165.39573803506</v>
      </c>
      <c r="H233" t="n">
        <v>-2547.74815815776</v>
      </c>
      <c r="I233" t="n">
        <v>-95.9736731178029</v>
      </c>
      <c r="J233" t="n">
        <v>-207867.678740161</v>
      </c>
      <c r="K233" t="n">
        <v>30419678.5361631</v>
      </c>
      <c r="L233" t="n">
        <v>1666609.42660554</v>
      </c>
      <c r="M233" t="n">
        <v>28753069.1095576</v>
      </c>
      <c r="N233" t="n">
        <v>649518.606730559</v>
      </c>
      <c r="O233" t="n">
        <v>29193017.1380437</v>
      </c>
    </row>
    <row r="234">
      <c r="B234" s="106" t="s">
        <v>532</v>
      </c>
      <c r="C234" t="s">
        <v>487</v>
      </c>
      <c r="D234" t="s">
        <v>495</v>
      </c>
      <c r="E234" t="s">
        <v>498</v>
      </c>
      <c r="F234" t="n">
        <v>24505.878068135</v>
      </c>
      <c r="G234" t="n">
        <v>-20508.2951738971</v>
      </c>
      <c r="H234" t="n">
        <v>-5700.78726000039</v>
      </c>
      <c r="I234" t="n">
        <v>-214.748656084215</v>
      </c>
      <c r="J234" t="n">
        <v>-465120.310629378</v>
      </c>
      <c r="K234" t="n">
        <v>12884731.4814682</v>
      </c>
      <c r="L234" t="n">
        <v>3729169.91664491</v>
      </c>
      <c r="M234" t="n">
        <v>9155561.56482325</v>
      </c>
      <c r="N234" t="n">
        <v>-348359.210685564</v>
      </c>
      <c r="O234" t="n">
        <v>12820853.1539032</v>
      </c>
    </row>
    <row r="235">
      <c r="B235" s="106" t="s">
        <v>532</v>
      </c>
      <c r="C235" t="s">
        <v>487</v>
      </c>
      <c r="D235" t="s">
        <v>495</v>
      </c>
      <c r="E235" t="s">
        <v>499</v>
      </c>
      <c r="F235" t="n">
        <v>33922.4500038339</v>
      </c>
      <c r="G235" t="n">
        <v>-55996.7111988294</v>
      </c>
      <c r="H235" t="n">
        <v>-15565.6691644714</v>
      </c>
      <c r="I235" t="n">
        <v>-586.358757425637</v>
      </c>
      <c r="J235" t="n">
        <v>-1269984.04724413</v>
      </c>
      <c r="K235" t="n">
        <v>113698679.068076</v>
      </c>
      <c r="L235" t="n">
        <v>10182282.294216</v>
      </c>
      <c r="M235" t="n">
        <v>103516396.77386</v>
      </c>
      <c r="N235" t="n">
        <v>25384.850407269</v>
      </c>
      <c r="O235" t="n">
        <v>109943704.212216</v>
      </c>
    </row>
    <row r="236">
      <c r="B236" s="106" t="s">
        <v>532</v>
      </c>
      <c r="C236" t="s">
        <v>487</v>
      </c>
      <c r="D236" t="s">
        <v>495</v>
      </c>
      <c r="E236" t="s">
        <v>500</v>
      </c>
      <c r="F236" t="n">
        <v>54743.2823471777</v>
      </c>
      <c r="G236" t="n">
        <v>-64568.268802624</v>
      </c>
      <c r="H236" t="n">
        <v>-17948.3453436336</v>
      </c>
      <c r="I236" t="n">
        <v>-676.114169094677</v>
      </c>
      <c r="J236" t="n">
        <v>-1464383.70364896</v>
      </c>
      <c r="K236" t="n">
        <v>209110837.030736</v>
      </c>
      <c r="L236" t="n">
        <v>11740909.8877735</v>
      </c>
      <c r="M236" t="n">
        <v>197369927.142963</v>
      </c>
      <c r="N236" t="n">
        <v>17587.1178906462</v>
      </c>
      <c r="O236" t="n">
        <v>201442780.659823</v>
      </c>
    </row>
    <row r="237">
      <c r="B237" s="106" t="s">
        <v>532</v>
      </c>
      <c r="C237" t="s">
        <v>487</v>
      </c>
      <c r="D237" t="s">
        <v>495</v>
      </c>
      <c r="E237" t="s">
        <v>501</v>
      </c>
      <c r="F237" t="n">
        <v>146653.063148607</v>
      </c>
      <c r="G237" t="n">
        <v>-168465.921878546</v>
      </c>
      <c r="H237" t="n">
        <v>-46829.2645998099</v>
      </c>
      <c r="I237" t="n">
        <v>-1764.05839747484</v>
      </c>
      <c r="J237" t="n">
        <v>-3820742.83845622</v>
      </c>
      <c r="K237" t="n">
        <v>466727278.048854</v>
      </c>
      <c r="L237" t="n">
        <v>30633362.8671847</v>
      </c>
      <c r="M237" t="n">
        <v>436093915.18167</v>
      </c>
      <c r="N237" t="n">
        <v>132106.375378177</v>
      </c>
      <c r="O237" t="n">
        <v>452051147.230839</v>
      </c>
    </row>
    <row r="238">
      <c r="B238" s="106" t="s">
        <v>532</v>
      </c>
      <c r="C238" t="s">
        <v>502</v>
      </c>
      <c r="D238" t="s">
        <v>503</v>
      </c>
      <c r="E238"/>
      <c r="F238" t="n">
        <v>27616.8660028826</v>
      </c>
      <c r="G238" t="n">
        <v>-184762.67360216</v>
      </c>
      <c r="H238" t="n">
        <v>-51359.3493520001</v>
      </c>
      <c r="I238" t="n">
        <v>-1934.92835278586</v>
      </c>
      <c r="J238" t="n">
        <v>-4190346.95033701</v>
      </c>
      <c r="K238" t="n">
        <v>32638195.2548049</v>
      </c>
      <c r="L238" t="n">
        <v>33596717.7317122</v>
      </c>
      <c r="M238" t="n">
        <v>-958522.47690728</v>
      </c>
      <c r="N238" t="n">
        <v>0</v>
      </c>
      <c r="O238" t="n">
        <v>16487269.0037209</v>
      </c>
    </row>
    <row r="239">
      <c r="B239" s="106" t="s">
        <v>532</v>
      </c>
      <c r="C239" t="s">
        <v>502</v>
      </c>
      <c r="D239" t="s">
        <v>504</v>
      </c>
      <c r="E239"/>
      <c r="F239" t="n">
        <v>4116.62850505053</v>
      </c>
      <c r="G239" t="n">
        <v>-65726.1447468359</v>
      </c>
      <c r="H239" t="n">
        <v>-18270.2055767037</v>
      </c>
      <c r="I239" t="n">
        <v>-688.317496767774</v>
      </c>
      <c r="J239" t="n">
        <v>-1490643.88833402</v>
      </c>
      <c r="K239" t="n">
        <v>7009895.07321264</v>
      </c>
      <c r="L239" t="n">
        <v>11388225.2712535</v>
      </c>
      <c r="M239" t="n">
        <v>-4378330.19804089</v>
      </c>
      <c r="N239" t="n">
        <v>0</v>
      </c>
      <c r="O239" t="n">
        <v>2457627.21751516</v>
      </c>
    </row>
    <row r="240">
      <c r="B240" s="106" t="s">
        <v>532</v>
      </c>
      <c r="C240" t="s">
        <v>502</v>
      </c>
      <c r="D240" t="s">
        <v>505</v>
      </c>
      <c r="E240" t="s">
        <v>506</v>
      </c>
      <c r="F240" t="n">
        <v>9160.97811994301</v>
      </c>
      <c r="G240" t="n">
        <v>-103793.03615143</v>
      </c>
      <c r="H240" t="n">
        <v>-2872.43997437073</v>
      </c>
      <c r="I240" t="n">
        <v>-85.3163355748354</v>
      </c>
      <c r="J240" t="n">
        <v>-2353986.46287114</v>
      </c>
      <c r="K240" t="n">
        <v>11695542.9671356</v>
      </c>
      <c r="L240" t="n">
        <v>16859992.7276763</v>
      </c>
      <c r="M240" t="n">
        <v>-5164449.76054069</v>
      </c>
      <c r="N240" t="n">
        <v>0</v>
      </c>
      <c r="O240" t="n">
        <v>5469103.93760598</v>
      </c>
    </row>
    <row r="241">
      <c r="B241" s="106" t="s">
        <v>532</v>
      </c>
      <c r="C241" t="s">
        <v>502</v>
      </c>
      <c r="D241" t="s">
        <v>505</v>
      </c>
      <c r="E241" t="s">
        <v>507</v>
      </c>
      <c r="F241" t="n">
        <v>1397.24403613172</v>
      </c>
      <c r="G241" t="n">
        <v>-31982.9163268779</v>
      </c>
      <c r="H241" t="n">
        <v>-885.117256038692</v>
      </c>
      <c r="I241" t="n">
        <v>-26.2894826395173</v>
      </c>
      <c r="J241" t="n">
        <v>-725360.340811013</v>
      </c>
      <c r="K241" t="n">
        <v>3469428.01298759</v>
      </c>
      <c r="L241" t="n">
        <v>5195259.30327662</v>
      </c>
      <c r="M241" t="n">
        <v>-1725831.29028903</v>
      </c>
      <c r="N241" t="n">
        <v>0</v>
      </c>
      <c r="O241" t="n">
        <v>834154.68957064</v>
      </c>
    </row>
    <row r="242">
      <c r="B242" s="106" t="s">
        <v>532</v>
      </c>
      <c r="C242" t="s">
        <v>502</v>
      </c>
      <c r="D242" t="s">
        <v>508</v>
      </c>
      <c r="E242" t="s">
        <v>509</v>
      </c>
      <c r="F242" t="n">
        <v>367.577048215674</v>
      </c>
      <c r="G242" t="n">
        <v>-82428.409338612</v>
      </c>
      <c r="H242" t="n">
        <v>-22913.0126189187</v>
      </c>
      <c r="I242" t="n">
        <v>-863.232076018489</v>
      </c>
      <c r="J242" t="n">
        <v>-1869444.87736156</v>
      </c>
      <c r="K242" t="n">
        <v>9189426.20539184</v>
      </c>
      <c r="L242" t="n">
        <v>14988546.9160639</v>
      </c>
      <c r="M242" t="n">
        <v>-5799120.71067205</v>
      </c>
      <c r="N242" t="n">
        <v>0</v>
      </c>
      <c r="O242" t="n">
        <v>9189426.20539184</v>
      </c>
    </row>
    <row r="243">
      <c r="B243" s="106" t="s">
        <v>532</v>
      </c>
      <c r="C243" t="s">
        <v>502</v>
      </c>
      <c r="D243" t="s">
        <v>508</v>
      </c>
      <c r="E243" t="s">
        <v>510</v>
      </c>
      <c r="F243" t="n">
        <v>275.602153697213</v>
      </c>
      <c r="G243" t="n">
        <v>-37548.0380226827</v>
      </c>
      <c r="H243" t="n">
        <v>-10437.4047240817</v>
      </c>
      <c r="I243" t="n">
        <v>-2901.33448007249</v>
      </c>
      <c r="J243" t="n">
        <v>-851575.177777938</v>
      </c>
      <c r="K243" t="n">
        <v>6890053.84243034</v>
      </c>
      <c r="L243" t="n">
        <v>6505866.38152831</v>
      </c>
      <c r="M243" t="n">
        <v>384187.460902026</v>
      </c>
      <c r="N243" t="n">
        <v>0</v>
      </c>
      <c r="O243" t="n">
        <v>6890053.84243034</v>
      </c>
    </row>
    <row r="244">
      <c r="B244" s="106" t="s">
        <v>532</v>
      </c>
      <c r="C244" t="s">
        <v>502</v>
      </c>
      <c r="D244" t="s">
        <v>508</v>
      </c>
      <c r="E244" t="s">
        <v>511</v>
      </c>
      <c r="F244" t="n">
        <v>752.754602869637</v>
      </c>
      <c r="G244" t="n">
        <v>-26486.3319476851</v>
      </c>
      <c r="H244" t="n">
        <v>-733.0009939201</v>
      </c>
      <c r="I244" t="n">
        <v>-20.2855743916936</v>
      </c>
      <c r="J244" t="n">
        <v>-600699.904037859</v>
      </c>
      <c r="K244" t="n">
        <v>18818865.0717409</v>
      </c>
      <c r="L244" t="n">
        <v>4302401.97780975</v>
      </c>
      <c r="M244" t="n">
        <v>14516463.0939312</v>
      </c>
      <c r="N244" t="n">
        <v>0</v>
      </c>
      <c r="O244" t="n">
        <v>18818865.0717409</v>
      </c>
    </row>
    <row r="245">
      <c r="B245" s="106" t="s">
        <v>532</v>
      </c>
      <c r="C245" t="s">
        <v>502</v>
      </c>
      <c r="D245" t="s">
        <v>512</v>
      </c>
      <c r="E245" t="s">
        <v>513</v>
      </c>
      <c r="F245" t="n">
        <v>569.946540247162</v>
      </c>
      <c r="G245" t="n">
        <v>-9191.14965317251</v>
      </c>
      <c r="H245" t="n">
        <v>-2554.90709665874</v>
      </c>
      <c r="I245" t="n">
        <v>-96.2543770984569</v>
      </c>
      <c r="J245" t="n">
        <v>-208451.76771036</v>
      </c>
      <c r="K245" t="n">
        <v>8549198.10370743</v>
      </c>
      <c r="L245" t="n">
        <v>1671292.44509888</v>
      </c>
      <c r="M245" t="n">
        <v>6877905.65860855</v>
      </c>
      <c r="N245" t="n">
        <v>0</v>
      </c>
      <c r="O245" t="n">
        <v>8549198.10370743</v>
      </c>
    </row>
    <row r="246">
      <c r="B246" s="106" t="s">
        <v>532</v>
      </c>
      <c r="C246" t="s">
        <v>502</v>
      </c>
      <c r="D246" t="s">
        <v>512</v>
      </c>
      <c r="E246" t="s">
        <v>514</v>
      </c>
      <c r="F246" t="n">
        <v>420.764779397926</v>
      </c>
      <c r="G246" t="n">
        <v>-3274.52078414658</v>
      </c>
      <c r="H246" t="n">
        <v>-910.233943006785</v>
      </c>
      <c r="I246" t="n">
        <v>-253.02201012525</v>
      </c>
      <c r="J246" t="n">
        <v>-74264.8821547653</v>
      </c>
      <c r="K246" t="n">
        <v>6311471.69096889</v>
      </c>
      <c r="L246" t="n">
        <v>567369.050609928</v>
      </c>
      <c r="M246" t="n">
        <v>5744102.64035896</v>
      </c>
      <c r="N246" t="n">
        <v>0</v>
      </c>
      <c r="O246" t="n">
        <v>6311471.69096889</v>
      </c>
    </row>
    <row r="247">
      <c r="B247" s="106" t="s">
        <v>532</v>
      </c>
      <c r="C247" t="s">
        <v>502</v>
      </c>
      <c r="D247" t="s">
        <v>512</v>
      </c>
      <c r="E247" t="s">
        <v>515</v>
      </c>
      <c r="F247" t="n">
        <v>3104.40544641864</v>
      </c>
      <c r="G247" t="n">
        <v>-56041.2221902916</v>
      </c>
      <c r="H247" t="n">
        <v>-1550.92338369531</v>
      </c>
      <c r="I247" t="n">
        <v>-42.921321985544</v>
      </c>
      <c r="J247" t="n">
        <v>-1270993.53954955</v>
      </c>
      <c r="K247" t="n">
        <v>46566081.6962795</v>
      </c>
      <c r="L247" t="n">
        <v>9103256.18763002</v>
      </c>
      <c r="M247" t="n">
        <v>37462825.5086495</v>
      </c>
      <c r="N247" t="n">
        <v>0</v>
      </c>
      <c r="O247" t="n">
        <v>46566081.6962795</v>
      </c>
    </row>
    <row r="248">
      <c r="B248" s="106" t="s">
        <v>532</v>
      </c>
      <c r="C248" t="s">
        <v>516</v>
      </c>
      <c r="D248"/>
      <c r="E248"/>
      <c r="F248" t="n">
        <v>250488.946181775</v>
      </c>
      <c r="G248" t="n">
        <v>-24790.2369516363</v>
      </c>
      <c r="H248" t="n">
        <v>-6891.05875821808</v>
      </c>
      <c r="I248" t="n">
        <v>-259.615924660662</v>
      </c>
      <c r="J248" t="n">
        <v>-562233.116587715</v>
      </c>
      <c r="K248" t="n">
        <v>16281781.5018154</v>
      </c>
      <c r="L248" t="n">
        <v>4507785.99989176</v>
      </c>
      <c r="M248" t="n">
        <v>11773995.5019236</v>
      </c>
      <c r="N248" t="n">
        <v>0</v>
      </c>
      <c r="O248" t="n">
        <v>16281781.5018154</v>
      </c>
    </row>
    <row r="249">
      <c r="B249" s="106" t="s">
        <v>532</v>
      </c>
      <c r="C249" t="s">
        <v>517</v>
      </c>
      <c r="D249" t="s">
        <v>518</v>
      </c>
      <c r="E249"/>
      <c r="F249" t="n">
        <v>5805.84356628492</v>
      </c>
      <c r="G249" t="n">
        <v>-336622.651021748</v>
      </c>
      <c r="H249" t="n">
        <v>-93572.581440843</v>
      </c>
      <c r="I249" t="n">
        <v>-3524.87914287656</v>
      </c>
      <c r="J249" t="n">
        <v>-7634473.30363188</v>
      </c>
      <c r="K249" t="n">
        <v>70612594.1966456</v>
      </c>
      <c r="L249" t="n">
        <v>61210503.0090131</v>
      </c>
      <c r="M249" t="n">
        <v>9402091.18763252</v>
      </c>
      <c r="N249" t="n">
        <v>21937004.3531585</v>
      </c>
      <c r="O249" t="n">
        <v>-13748221.8040177</v>
      </c>
    </row>
    <row r="250">
      <c r="B250" s="106" t="s">
        <v>532</v>
      </c>
      <c r="C250" t="s">
        <v>517</v>
      </c>
      <c r="D250" t="s">
        <v>519</v>
      </c>
      <c r="E250"/>
      <c r="F250" t="n">
        <v>55895.2433281005</v>
      </c>
      <c r="G250" t="n">
        <v>-74664.6388313279</v>
      </c>
      <c r="H250" t="n">
        <v>-2066.32064349824</v>
      </c>
      <c r="I250" t="n">
        <v>-61.3732252018693</v>
      </c>
      <c r="J250" t="n">
        <v>-1693365.5241348</v>
      </c>
      <c r="K250" t="n">
        <v>21230950.660312</v>
      </c>
      <c r="L250" t="n">
        <v>12128417.4197791</v>
      </c>
      <c r="M250" t="n">
        <v>9102533.24053282</v>
      </c>
      <c r="N250" t="n">
        <v>7297754.67113097</v>
      </c>
      <c r="O250" t="n">
        <v>-16062832.770796</v>
      </c>
    </row>
    <row r="251">
      <c r="B251" s="106" t="s">
        <v>532</v>
      </c>
      <c r="C251" t="s">
        <v>517</v>
      </c>
      <c r="D251" t="s">
        <v>520</v>
      </c>
      <c r="E251"/>
      <c r="F251" t="n">
        <v>1318122.26388696</v>
      </c>
      <c r="G251" t="n">
        <v>-1712229.1510389</v>
      </c>
      <c r="H251" t="n">
        <v>-475956.389727981</v>
      </c>
      <c r="I251" t="n">
        <v>-17929.2772010531</v>
      </c>
      <c r="J251" t="n">
        <v>-38832703.9301412</v>
      </c>
      <c r="K251" t="n">
        <v>804889816.267179</v>
      </c>
      <c r="L251" t="n">
        <v>311346866.539339</v>
      </c>
      <c r="M251" t="n">
        <v>493542949.72784</v>
      </c>
      <c r="N251" t="n">
        <v>157476490.955228</v>
      </c>
      <c r="O251" t="n">
        <v>-79087335.8332178</v>
      </c>
    </row>
    <row r="252">
      <c r="B252" s="106" t="s">
        <v>532</v>
      </c>
      <c r="C252" t="s">
        <v>521</v>
      </c>
      <c r="D252" t="s">
        <v>522</v>
      </c>
      <c r="E252"/>
      <c r="F252" t="n">
        <v>621.904054462338</v>
      </c>
      <c r="G252" t="n">
        <v>-46067.1036395946</v>
      </c>
      <c r="H252" t="n">
        <v>-12805.4894522865</v>
      </c>
      <c r="I252" t="n">
        <v>-482.382787667634</v>
      </c>
      <c r="J252" t="n">
        <v>-1044784.33594597</v>
      </c>
      <c r="K252" t="n">
        <v>25592985.0712501</v>
      </c>
      <c r="L252" t="n">
        <v>8376710.76913285</v>
      </c>
      <c r="M252" t="n">
        <v>17216274.3021173</v>
      </c>
      <c r="N252" t="n">
        <v>7233690.40876387</v>
      </c>
      <c r="O252" t="n">
        <v>-1472667.112703</v>
      </c>
    </row>
    <row r="253">
      <c r="B253" s="106" t="s">
        <v>532</v>
      </c>
      <c r="C253" t="s">
        <v>521</v>
      </c>
      <c r="D253" t="s">
        <v>523</v>
      </c>
      <c r="E253"/>
      <c r="F253" t="n">
        <v>98020.2315081228</v>
      </c>
      <c r="G253" t="n">
        <v>-164359.524315091</v>
      </c>
      <c r="H253" t="n">
        <v>-45687.7899567087</v>
      </c>
      <c r="I253" t="n">
        <v>-1721.05904766922</v>
      </c>
      <c r="J253" t="n">
        <v>-3727611.30830774</v>
      </c>
      <c r="K253" t="n">
        <v>123678125.118551</v>
      </c>
      <c r="L253" t="n">
        <v>29886667.2433129</v>
      </c>
      <c r="M253" t="n">
        <v>93791457.8752383</v>
      </c>
      <c r="N253" t="n">
        <v>18936883.8620327</v>
      </c>
      <c r="O253" t="n">
        <v>-5881213.89048737</v>
      </c>
    </row>
    <row r="254">
      <c r="B254" s="106" t="s">
        <v>532</v>
      </c>
      <c r="C254" t="s">
        <v>524</v>
      </c>
      <c r="D254"/>
      <c r="E254"/>
      <c r="F254" t="n">
        <v>12073.1755918071</v>
      </c>
      <c r="G254" t="n">
        <v>-15668.7553602052</v>
      </c>
      <c r="H254" t="n">
        <v>-74632.8336713692</v>
      </c>
      <c r="I254" t="n">
        <v>-2811.41884440048</v>
      </c>
      <c r="J254" t="n">
        <v>-355361.393939283</v>
      </c>
      <c r="K254" t="n">
        <v>374057271.048215</v>
      </c>
      <c r="L254" t="n">
        <v>0</v>
      </c>
      <c r="M254" t="n">
        <v>374057271.048215</v>
      </c>
      <c r="N254" t="n">
        <v>103651848.77484</v>
      </c>
      <c r="O254" t="n">
        <v>275751330.516873</v>
      </c>
    </row>
    <row r="255">
      <c r="B255" s="106" t="s">
        <v>533</v>
      </c>
      <c r="C255" t="s">
        <v>487</v>
      </c>
      <c r="D255" t="s">
        <v>488</v>
      </c>
      <c r="E255"/>
      <c r="F255" t="n">
        <v>5007.85539969773</v>
      </c>
      <c r="G255" t="n">
        <v>-66632.647363261</v>
      </c>
      <c r="H255" t="n">
        <v>-18522.19037243</v>
      </c>
      <c r="I255" t="n">
        <v>-697.810851568281</v>
      </c>
      <c r="J255" t="n">
        <v>-1511203.02184379</v>
      </c>
      <c r="K255" t="n">
        <v>66830593.1074147</v>
      </c>
      <c r="L255" t="n">
        <v>12230973.1848242</v>
      </c>
      <c r="M255" t="n">
        <v>54599619.9225905</v>
      </c>
      <c r="N255" t="n">
        <v>0</v>
      </c>
      <c r="O255" t="n">
        <v>64411036.1509122</v>
      </c>
    </row>
    <row r="256">
      <c r="B256" s="106" t="s">
        <v>533</v>
      </c>
      <c r="C256" t="s">
        <v>487</v>
      </c>
      <c r="D256" t="s">
        <v>489</v>
      </c>
      <c r="E256" t="s">
        <v>490</v>
      </c>
      <c r="F256" t="n">
        <v>231.111098914752</v>
      </c>
      <c r="G256" t="n">
        <v>-5392.40152593892</v>
      </c>
      <c r="H256" t="n">
        <v>-637.869269771936</v>
      </c>
      <c r="I256" t="n">
        <v>-23.2972874319065</v>
      </c>
      <c r="J256" t="n">
        <v>-122297.609407113</v>
      </c>
      <c r="K256" t="n">
        <v>1258529.77186957</v>
      </c>
      <c r="L256" t="n">
        <v>943173.188111597</v>
      </c>
      <c r="M256" t="n">
        <v>315356.583757975</v>
      </c>
      <c r="N256" t="n">
        <v>-56890.9104371036</v>
      </c>
      <c r="O256" t="n">
        <v>1942360.7472681</v>
      </c>
    </row>
    <row r="257">
      <c r="B257" s="106" t="s">
        <v>533</v>
      </c>
      <c r="C257" t="s">
        <v>487</v>
      </c>
      <c r="D257" t="s">
        <v>489</v>
      </c>
      <c r="E257" t="s">
        <v>491</v>
      </c>
      <c r="F257" t="n">
        <v>959.213322044411</v>
      </c>
      <c r="G257" t="n">
        <v>-10749.5017003545</v>
      </c>
      <c r="H257" t="n">
        <v>-1281.45745542794</v>
      </c>
      <c r="I257" t="n">
        <v>-46.8239327721296</v>
      </c>
      <c r="J257" t="n">
        <v>-243794.597629143</v>
      </c>
      <c r="K257" t="n">
        <v>3156026.97735544</v>
      </c>
      <c r="L257" t="n">
        <v>1880171.89383335</v>
      </c>
      <c r="M257" t="n">
        <v>1275855.08352209</v>
      </c>
      <c r="N257" t="n">
        <v>-115275.958402101</v>
      </c>
      <c r="O257" t="n">
        <v>4541648.51985579</v>
      </c>
    </row>
    <row r="258">
      <c r="B258" s="106" t="s">
        <v>533</v>
      </c>
      <c r="C258" t="s">
        <v>487</v>
      </c>
      <c r="D258" t="s">
        <v>492</v>
      </c>
      <c r="E258" t="s">
        <v>493</v>
      </c>
      <c r="F258" t="n">
        <v>1542.07053482758</v>
      </c>
      <c r="G258" t="n">
        <v>-49828.9090371526</v>
      </c>
      <c r="H258" t="n">
        <v>-1378.99955049757</v>
      </c>
      <c r="I258" t="n">
        <v>-40.958623838109</v>
      </c>
      <c r="J258" t="n">
        <v>-1130100.64723382</v>
      </c>
      <c r="K258" t="n">
        <v>30329403.7494759</v>
      </c>
      <c r="L258" t="n">
        <v>8170749.17315786</v>
      </c>
      <c r="M258" t="n">
        <v>22158654.576318</v>
      </c>
      <c r="N258" t="n">
        <v>0</v>
      </c>
      <c r="O258" t="n">
        <v>24565183.6198033</v>
      </c>
    </row>
    <row r="259">
      <c r="B259" s="106" t="s">
        <v>533</v>
      </c>
      <c r="C259" t="s">
        <v>487</v>
      </c>
      <c r="D259" t="s">
        <v>492</v>
      </c>
      <c r="E259" t="s">
        <v>494</v>
      </c>
      <c r="F259" t="n">
        <v>278.773669613952</v>
      </c>
      <c r="G259" t="n">
        <v>-31766.534192165</v>
      </c>
      <c r="H259" t="n">
        <v>-879.128947800147</v>
      </c>
      <c r="I259" t="n">
        <v>-26.1116197355876</v>
      </c>
      <c r="J259" t="n">
        <v>-720452.876545507</v>
      </c>
      <c r="K259" t="n">
        <v>6624770.33860783</v>
      </c>
      <c r="L259" t="n">
        <v>5208951.7511049</v>
      </c>
      <c r="M259" t="n">
        <v>1415818.58750293</v>
      </c>
      <c r="N259" t="n">
        <v>0</v>
      </c>
      <c r="O259" t="n">
        <v>5582721.50768901</v>
      </c>
    </row>
    <row r="260">
      <c r="B260" s="106" t="s">
        <v>533</v>
      </c>
      <c r="C260" t="s">
        <v>487</v>
      </c>
      <c r="D260" t="s">
        <v>495</v>
      </c>
      <c r="E260" t="s">
        <v>496</v>
      </c>
      <c r="F260" t="n">
        <v>180104.778961974</v>
      </c>
      <c r="G260" t="n">
        <v>-40447.0025417612</v>
      </c>
      <c r="H260" t="n">
        <v>-11243.2435187863</v>
      </c>
      <c r="I260" t="n">
        <v>-423.532983352681</v>
      </c>
      <c r="J260" t="n">
        <v>-917322.587115674</v>
      </c>
      <c r="K260" t="n">
        <v>124468203.445786</v>
      </c>
      <c r="L260" t="n">
        <v>7424381.6367945</v>
      </c>
      <c r="M260" t="n">
        <v>117043821.808991</v>
      </c>
      <c r="N260" t="n">
        <v>623319.247468766</v>
      </c>
      <c r="O260" t="n">
        <v>121545180.288643</v>
      </c>
    </row>
    <row r="261">
      <c r="B261" s="106" t="s">
        <v>533</v>
      </c>
      <c r="C261" t="s">
        <v>487</v>
      </c>
      <c r="D261" t="s">
        <v>495</v>
      </c>
      <c r="E261" t="s">
        <v>497</v>
      </c>
      <c r="F261" t="n">
        <v>28786.3924315491</v>
      </c>
      <c r="G261" t="n">
        <v>-9019.68614918278</v>
      </c>
      <c r="H261" t="n">
        <v>-2507.2445784723</v>
      </c>
      <c r="I261" t="n">
        <v>-94.4479032710514</v>
      </c>
      <c r="J261" t="n">
        <v>-204563.040853199</v>
      </c>
      <c r="K261" t="n">
        <v>30035106.4907057</v>
      </c>
      <c r="L261" t="n">
        <v>1655637.94613707</v>
      </c>
      <c r="M261" t="n">
        <v>28379468.5445686</v>
      </c>
      <c r="N261" t="n">
        <v>484141.480592812</v>
      </c>
      <c r="O261" t="n">
        <v>28806370.6807343</v>
      </c>
    </row>
    <row r="262">
      <c r="B262" s="106" t="s">
        <v>533</v>
      </c>
      <c r="C262" t="s">
        <v>487</v>
      </c>
      <c r="D262" t="s">
        <v>495</v>
      </c>
      <c r="E262" t="s">
        <v>498</v>
      </c>
      <c r="F262" t="n">
        <v>23792.9217758081</v>
      </c>
      <c r="G262" t="n">
        <v>-19686.7962390809</v>
      </c>
      <c r="H262" t="n">
        <v>-5472.43133758002</v>
      </c>
      <c r="I262" t="n">
        <v>-206.146488486639</v>
      </c>
      <c r="J262" t="n">
        <v>-446489.028189589</v>
      </c>
      <c r="K262" t="n">
        <v>12117627.1634102</v>
      </c>
      <c r="L262" t="n">
        <v>3613674.17360126</v>
      </c>
      <c r="M262" t="n">
        <v>8503952.98980894</v>
      </c>
      <c r="N262" t="n">
        <v>-260582.807121377</v>
      </c>
      <c r="O262" t="n">
        <v>12085297.5891659</v>
      </c>
    </row>
    <row r="263">
      <c r="B263" s="106" t="s">
        <v>533</v>
      </c>
      <c r="C263" t="s">
        <v>487</v>
      </c>
      <c r="D263" t="s">
        <v>495</v>
      </c>
      <c r="E263" t="s">
        <v>499</v>
      </c>
      <c r="F263" t="n">
        <v>33865.561587771</v>
      </c>
      <c r="G263" t="n">
        <v>-54236.2133413538</v>
      </c>
      <c r="H263" t="n">
        <v>-15076.2952954075</v>
      </c>
      <c r="I263" t="n">
        <v>-567.924043777999</v>
      </c>
      <c r="J263" t="n">
        <v>-1230056.62746651</v>
      </c>
      <c r="K263" t="n">
        <v>111439203.397323</v>
      </c>
      <c r="L263" t="n">
        <v>9955505.2556753</v>
      </c>
      <c r="M263" t="n">
        <v>101483698.141648</v>
      </c>
      <c r="N263" t="n">
        <v>18804.8254124662</v>
      </c>
      <c r="O263" t="n">
        <v>107820367.291754</v>
      </c>
    </row>
    <row r="264">
      <c r="B264" s="106" t="s">
        <v>533</v>
      </c>
      <c r="C264" t="s">
        <v>487</v>
      </c>
      <c r="D264" t="s">
        <v>495</v>
      </c>
      <c r="E264" t="s">
        <v>500</v>
      </c>
      <c r="F264" t="n">
        <v>53281.0805491656</v>
      </c>
      <c r="G264" t="n">
        <v>-62305.3333236742</v>
      </c>
      <c r="H264" t="n">
        <v>-17319.3065259643</v>
      </c>
      <c r="I264" t="n">
        <v>-652.418276833077</v>
      </c>
      <c r="J264" t="n">
        <v>-1413061.19029627</v>
      </c>
      <c r="K264" t="n">
        <v>201730706.329782</v>
      </c>
      <c r="L264" t="n">
        <v>11436658.9248496</v>
      </c>
      <c r="M264" t="n">
        <v>190294047.404933</v>
      </c>
      <c r="N264" t="n">
        <v>13180.8741317954</v>
      </c>
      <c r="O264" t="n">
        <v>194380106.430907</v>
      </c>
    </row>
    <row r="265">
      <c r="B265" s="106" t="s">
        <v>533</v>
      </c>
      <c r="C265" t="s">
        <v>487</v>
      </c>
      <c r="D265" t="s">
        <v>495</v>
      </c>
      <c r="E265" t="s">
        <v>501</v>
      </c>
      <c r="F265" t="n">
        <v>147126.067860158</v>
      </c>
      <c r="G265" t="n">
        <v>-165028.318832491</v>
      </c>
      <c r="H265" t="n">
        <v>-45873.697914051</v>
      </c>
      <c r="I265" t="n">
        <v>-1728.0622004223</v>
      </c>
      <c r="J265" t="n">
        <v>-3742779.31281726</v>
      </c>
      <c r="K265" t="n">
        <v>458347510.110506</v>
      </c>
      <c r="L265" t="n">
        <v>30292311.9859369</v>
      </c>
      <c r="M265" t="n">
        <v>428055198.124569</v>
      </c>
      <c r="N265" t="n">
        <v>98068.4226136575</v>
      </c>
      <c r="O265" t="n">
        <v>444244451.25439</v>
      </c>
    </row>
    <row r="266">
      <c r="B266" s="106" t="s">
        <v>533</v>
      </c>
      <c r="C266" t="s">
        <v>502</v>
      </c>
      <c r="D266" t="s">
        <v>503</v>
      </c>
      <c r="E266"/>
      <c r="F266" t="n">
        <v>28529.8295171376</v>
      </c>
      <c r="G266" t="n">
        <v>-188268.907216231</v>
      </c>
      <c r="H266" t="n">
        <v>-52333.9936001266</v>
      </c>
      <c r="I266" t="n">
        <v>-1971.6474080966</v>
      </c>
      <c r="J266" t="n">
        <v>-4269866.99107603</v>
      </c>
      <c r="K266" t="n">
        <v>33021725.2103043</v>
      </c>
      <c r="L266" t="n">
        <v>34558314.0820475</v>
      </c>
      <c r="M266" t="n">
        <v>-1536588.8717432</v>
      </c>
      <c r="N266" t="n">
        <v>0</v>
      </c>
      <c r="O266" t="n">
        <v>17032308.2217311</v>
      </c>
    </row>
    <row r="267">
      <c r="B267" s="106" t="s">
        <v>533</v>
      </c>
      <c r="C267" t="s">
        <v>502</v>
      </c>
      <c r="D267" t="s">
        <v>504</v>
      </c>
      <c r="E267"/>
      <c r="F267" t="n">
        <v>4129.66813600018</v>
      </c>
      <c r="G267" t="n">
        <v>-65224.6770174038</v>
      </c>
      <c r="H267" t="n">
        <v>-18130.810233464</v>
      </c>
      <c r="I267" t="n">
        <v>-683.065872569184</v>
      </c>
      <c r="J267" t="n">
        <v>-1479270.79154044</v>
      </c>
      <c r="K267" t="n">
        <v>6972157.0543326</v>
      </c>
      <c r="L267" t="n">
        <v>11408305.9783539</v>
      </c>
      <c r="M267" t="n">
        <v>-4436148.92402133</v>
      </c>
      <c r="N267" t="n">
        <v>13784927.1733166</v>
      </c>
      <c r="O267" t="n">
        <v>2465411.87719211</v>
      </c>
    </row>
    <row r="268">
      <c r="B268" s="106" t="s">
        <v>533</v>
      </c>
      <c r="C268" t="s">
        <v>502</v>
      </c>
      <c r="D268" t="s">
        <v>505</v>
      </c>
      <c r="E268" t="s">
        <v>506</v>
      </c>
      <c r="F268" t="n">
        <v>9413.19684273848</v>
      </c>
      <c r="G268" t="n">
        <v>-103881.195984363</v>
      </c>
      <c r="H268" t="n">
        <v>-2874.87977031118</v>
      </c>
      <c r="I268" t="n">
        <v>-85.3888016493391</v>
      </c>
      <c r="J268" t="n">
        <v>-2355985.89424907</v>
      </c>
      <c r="K268" t="n">
        <v>11783853.1543492</v>
      </c>
      <c r="L268" t="n">
        <v>17034031.3002442</v>
      </c>
      <c r="M268" t="n">
        <v>-5250178.14589499</v>
      </c>
      <c r="N268" t="n">
        <v>0</v>
      </c>
      <c r="O268" t="n">
        <v>5619678.51511488</v>
      </c>
    </row>
    <row r="269">
      <c r="B269" s="106" t="s">
        <v>533</v>
      </c>
      <c r="C269" t="s">
        <v>502</v>
      </c>
      <c r="D269" t="s">
        <v>505</v>
      </c>
      <c r="E269" t="s">
        <v>507</v>
      </c>
      <c r="F269" t="n">
        <v>1395.44325325694</v>
      </c>
      <c r="G269" t="n">
        <v>-31714.0730475509</v>
      </c>
      <c r="H269" t="n">
        <v>-877.677101949229</v>
      </c>
      <c r="I269" t="n">
        <v>-26.0684974531639</v>
      </c>
      <c r="J269" t="n">
        <v>-719263.077799587</v>
      </c>
      <c r="K269" t="n">
        <v>3442000.21237717</v>
      </c>
      <c r="L269" t="n">
        <v>5200349.37826028</v>
      </c>
      <c r="M269" t="n">
        <v>-1758349.16588311</v>
      </c>
      <c r="N269" t="n">
        <v>0</v>
      </c>
      <c r="O269" t="n">
        <v>833079.622194392</v>
      </c>
    </row>
    <row r="270">
      <c r="B270" s="106" t="s">
        <v>533</v>
      </c>
      <c r="C270" t="s">
        <v>502</v>
      </c>
      <c r="D270" t="s">
        <v>508</v>
      </c>
      <c r="E270" t="s">
        <v>509</v>
      </c>
      <c r="F270" t="n">
        <v>379.728478927016</v>
      </c>
      <c r="G270" t="n">
        <v>-85153.3430894718</v>
      </c>
      <c r="H270" t="n">
        <v>-23670.4752694798</v>
      </c>
      <c r="I270" t="n">
        <v>-891.768963211163</v>
      </c>
      <c r="J270" t="n">
        <v>-1931245.33526883</v>
      </c>
      <c r="K270" t="n">
        <v>9493211.9731754</v>
      </c>
      <c r="L270" t="n">
        <v>15630599.9707242</v>
      </c>
      <c r="M270" t="n">
        <v>-6137387.99754885</v>
      </c>
      <c r="N270" t="n">
        <v>0</v>
      </c>
      <c r="O270" t="n">
        <v>9493211.9731754</v>
      </c>
    </row>
    <row r="271">
      <c r="B271" s="106" t="s">
        <v>533</v>
      </c>
      <c r="C271" t="s">
        <v>502</v>
      </c>
      <c r="D271" t="s">
        <v>508</v>
      </c>
      <c r="E271" t="s">
        <v>510</v>
      </c>
      <c r="F271" t="n">
        <v>272.846132160241</v>
      </c>
      <c r="G271" t="n">
        <v>-37172.5576424559</v>
      </c>
      <c r="H271" t="n">
        <v>-10333.0306768408</v>
      </c>
      <c r="I271" t="n">
        <v>-2872.32113527177</v>
      </c>
      <c r="J271" t="n">
        <v>-843059.426000158</v>
      </c>
      <c r="K271" t="n">
        <v>6821153.30400603</v>
      </c>
      <c r="L271" t="n">
        <v>6501770.97036418</v>
      </c>
      <c r="M271" t="n">
        <v>319382.333641856</v>
      </c>
      <c r="N271" t="n">
        <v>0</v>
      </c>
      <c r="O271" t="n">
        <v>6821153.30400603</v>
      </c>
    </row>
    <row r="272">
      <c r="B272" s="106" t="s">
        <v>533</v>
      </c>
      <c r="C272" t="s">
        <v>502</v>
      </c>
      <c r="D272" t="s">
        <v>508</v>
      </c>
      <c r="E272" t="s">
        <v>511</v>
      </c>
      <c r="F272" t="n">
        <v>747.167471076951</v>
      </c>
      <c r="G272" t="n">
        <v>-26289.7438076293</v>
      </c>
      <c r="H272" t="n">
        <v>-727.560478323665</v>
      </c>
      <c r="I272" t="n">
        <v>-20.1350098156888</v>
      </c>
      <c r="J272" t="n">
        <v>-596241.360019771</v>
      </c>
      <c r="K272" t="n">
        <v>18679186.7769238</v>
      </c>
      <c r="L272" t="n">
        <v>4310889.13302433</v>
      </c>
      <c r="M272" t="n">
        <v>14368297.6438995</v>
      </c>
      <c r="N272" t="n">
        <v>0</v>
      </c>
      <c r="O272" t="n">
        <v>18679186.7769238</v>
      </c>
    </row>
    <row r="273">
      <c r="B273" s="106" t="s">
        <v>533</v>
      </c>
      <c r="C273" t="s">
        <v>502</v>
      </c>
      <c r="D273" t="s">
        <v>512</v>
      </c>
      <c r="E273" t="s">
        <v>513</v>
      </c>
      <c r="F273" t="n">
        <v>588.523015814008</v>
      </c>
      <c r="G273" t="n">
        <v>-9490.72014778301</v>
      </c>
      <c r="H273" t="n">
        <v>-2638.18011597747</v>
      </c>
      <c r="I273" t="n">
        <v>-99.3916311356444</v>
      </c>
      <c r="J273" t="n">
        <v>-215245.912241982</v>
      </c>
      <c r="K273" t="n">
        <v>8827845.23721013</v>
      </c>
      <c r="L273" t="n">
        <v>1742100.12997635</v>
      </c>
      <c r="M273" t="n">
        <v>7085745.10723378</v>
      </c>
      <c r="N273" t="n">
        <v>0</v>
      </c>
      <c r="O273" t="n">
        <v>8827845.23721013</v>
      </c>
    </row>
    <row r="274">
      <c r="B274" s="106" t="s">
        <v>533</v>
      </c>
      <c r="C274" t="s">
        <v>502</v>
      </c>
      <c r="D274" t="s">
        <v>512</v>
      </c>
      <c r="E274" t="s">
        <v>514</v>
      </c>
      <c r="F274" t="n">
        <v>425.613639654532</v>
      </c>
      <c r="G274" t="n">
        <v>-3312.25610437086</v>
      </c>
      <c r="H274" t="n">
        <v>-920.723407445264</v>
      </c>
      <c r="I274" t="n">
        <v>-255.93781588898</v>
      </c>
      <c r="J274" t="n">
        <v>-75120.7048214273</v>
      </c>
      <c r="K274" t="n">
        <v>6384204.59481798</v>
      </c>
      <c r="L274" t="n">
        <v>579339.489979394</v>
      </c>
      <c r="M274" t="n">
        <v>5804865.10483858</v>
      </c>
      <c r="N274" t="n">
        <v>0</v>
      </c>
      <c r="O274" t="n">
        <v>6384204.59481798</v>
      </c>
    </row>
    <row r="275">
      <c r="B275" s="106" t="s">
        <v>533</v>
      </c>
      <c r="C275" t="s">
        <v>502</v>
      </c>
      <c r="D275" t="s">
        <v>512</v>
      </c>
      <c r="E275" t="s">
        <v>515</v>
      </c>
      <c r="F275" t="n">
        <v>3216.57571702223</v>
      </c>
      <c r="G275" t="n">
        <v>-58066.1378034545</v>
      </c>
      <c r="H275" t="n">
        <v>-1606.96229312167</v>
      </c>
      <c r="I275" t="n">
        <v>-44.4721813642171</v>
      </c>
      <c r="J275" t="n">
        <v>-1316917.85315078</v>
      </c>
      <c r="K275" t="n">
        <v>48248635.7553334</v>
      </c>
      <c r="L275" t="n">
        <v>9521457.65608271</v>
      </c>
      <c r="M275" t="n">
        <v>38727178.0992507</v>
      </c>
      <c r="N275" t="n">
        <v>0</v>
      </c>
      <c r="O275" t="n">
        <v>48248635.7553334</v>
      </c>
    </row>
    <row r="276">
      <c r="B276" s="106" t="s">
        <v>533</v>
      </c>
      <c r="C276" t="s">
        <v>516</v>
      </c>
      <c r="D276"/>
      <c r="E276"/>
      <c r="F276" t="n">
        <v>248540.922868819</v>
      </c>
      <c r="G276" t="n">
        <v>-24597.446170839</v>
      </c>
      <c r="H276" t="n">
        <v>-6837.46779815146</v>
      </c>
      <c r="I276" t="n">
        <v>-257.596921900809</v>
      </c>
      <c r="J276" t="n">
        <v>-557860.695228914</v>
      </c>
      <c r="K276" t="n">
        <v>16155159.9864733</v>
      </c>
      <c r="L276" t="n">
        <v>4515064.55822687</v>
      </c>
      <c r="M276" t="n">
        <v>11640095.4282464</v>
      </c>
      <c r="N276" t="n">
        <v>0</v>
      </c>
      <c r="O276" t="n">
        <v>16155159.9864733</v>
      </c>
    </row>
    <row r="277">
      <c r="B277" s="106" t="s">
        <v>533</v>
      </c>
      <c r="C277" t="s">
        <v>517</v>
      </c>
      <c r="D277" t="s">
        <v>518</v>
      </c>
      <c r="E277"/>
      <c r="F277" t="n">
        <v>6192.89980403725</v>
      </c>
      <c r="G277" t="n">
        <v>-346883.188571785</v>
      </c>
      <c r="H277" t="n">
        <v>-96424.7513189349</v>
      </c>
      <c r="I277" t="n">
        <v>-3632.32038218428</v>
      </c>
      <c r="J277" t="n">
        <v>-7867178.38087164</v>
      </c>
      <c r="K277" t="n">
        <v>71976580.9421704</v>
      </c>
      <c r="L277" t="n">
        <v>63673276.4729849</v>
      </c>
      <c r="M277" t="n">
        <v>8303304.46918548</v>
      </c>
      <c r="N277" t="n">
        <v>21174381.5759056</v>
      </c>
      <c r="O277" t="n">
        <v>-14196322.6141729</v>
      </c>
    </row>
    <row r="278">
      <c r="B278" s="106" t="s">
        <v>533</v>
      </c>
      <c r="C278" t="s">
        <v>517</v>
      </c>
      <c r="D278" t="s">
        <v>519</v>
      </c>
      <c r="E278"/>
      <c r="F278" t="n">
        <v>59621.5928833072</v>
      </c>
      <c r="G278" t="n">
        <v>-75601.8725219817</v>
      </c>
      <c r="H278" t="n">
        <v>-2092.2582942134</v>
      </c>
      <c r="I278" t="n">
        <v>-62.1436173883663</v>
      </c>
      <c r="J278" t="n">
        <v>-1714621.62668418</v>
      </c>
      <c r="K278" t="n">
        <v>18498249.9197547</v>
      </c>
      <c r="L278" t="n">
        <v>12396898.6946431</v>
      </c>
      <c r="M278" t="n">
        <v>6101351.22511161</v>
      </c>
      <c r="N278" t="n">
        <v>9971356.85203937</v>
      </c>
      <c r="O278" t="n">
        <v>-16457090.3632482</v>
      </c>
    </row>
    <row r="279">
      <c r="B279" s="106" t="s">
        <v>533</v>
      </c>
      <c r="C279" t="s">
        <v>517</v>
      </c>
      <c r="D279" t="s">
        <v>520</v>
      </c>
      <c r="E279"/>
      <c r="F279" t="n">
        <v>1319364.66571934</v>
      </c>
      <c r="G279" t="n">
        <v>-1709808.0001484</v>
      </c>
      <c r="H279" t="n">
        <v>-475283.371028275</v>
      </c>
      <c r="I279" t="n">
        <v>-17903.9245866351</v>
      </c>
      <c r="J279" t="n">
        <v>-38777793.1516136</v>
      </c>
      <c r="K279" t="n">
        <v>789225155.626153</v>
      </c>
      <c r="L279" t="n">
        <v>313849391.080077</v>
      </c>
      <c r="M279" t="n">
        <v>475375764.546076</v>
      </c>
      <c r="N279" t="n">
        <v>155538615.204625</v>
      </c>
      <c r="O279" t="n">
        <v>-79161879.9431603</v>
      </c>
    </row>
    <row r="280">
      <c r="B280" s="106" t="s">
        <v>533</v>
      </c>
      <c r="C280" t="s">
        <v>521</v>
      </c>
      <c r="D280" t="s">
        <v>522</v>
      </c>
      <c r="E280"/>
      <c r="F280" t="n">
        <v>663.364324759827</v>
      </c>
      <c r="G280" t="n">
        <v>-47568.5855589781</v>
      </c>
      <c r="H280" t="n">
        <v>-13222.863442887</v>
      </c>
      <c r="I280" t="n">
        <v>-498.105265893555</v>
      </c>
      <c r="J280" t="n">
        <v>-1078837.37306223</v>
      </c>
      <c r="K280" t="n">
        <v>26128539.3450934</v>
      </c>
      <c r="L280" t="n">
        <v>8731607.06402713</v>
      </c>
      <c r="M280" t="n">
        <v>17396932.2810663</v>
      </c>
      <c r="N280" t="n">
        <v>6872525.36567331</v>
      </c>
      <c r="O280" t="n">
        <v>-1520666.28930185</v>
      </c>
    </row>
    <row r="281">
      <c r="B281" s="106" t="s">
        <v>533</v>
      </c>
      <c r="C281" t="s">
        <v>521</v>
      </c>
      <c r="D281" t="s">
        <v>523</v>
      </c>
      <c r="E281"/>
      <c r="F281" t="n">
        <v>97236.6568279838</v>
      </c>
      <c r="G281" t="n">
        <v>-163045.632685664</v>
      </c>
      <c r="H281" t="n">
        <v>-45322.5613212445</v>
      </c>
      <c r="I281" t="n">
        <v>-1707.30088497128</v>
      </c>
      <c r="J281" t="n">
        <v>-3697812.74740199</v>
      </c>
      <c r="K281" t="n">
        <v>121424983.379698</v>
      </c>
      <c r="L281" t="n">
        <v>29928373.5555222</v>
      </c>
      <c r="M281" t="n">
        <v>91496609.824176</v>
      </c>
      <c r="N281" t="n">
        <v>18535478.9502799</v>
      </c>
      <c r="O281" t="n">
        <v>-5834199.40967903</v>
      </c>
    </row>
    <row r="282">
      <c r="B282" s="106" t="s">
        <v>533</v>
      </c>
      <c r="C282" t="s">
        <v>524</v>
      </c>
      <c r="D282"/>
      <c r="E282"/>
      <c r="F282" t="n">
        <v>13277.3711184929</v>
      </c>
      <c r="G282" t="n">
        <v>-16163.5932296891</v>
      </c>
      <c r="H282" t="n">
        <v>-77001.6795419931</v>
      </c>
      <c r="I282" t="n">
        <v>-2900.65326834688</v>
      </c>
      <c r="J282" t="n">
        <v>-366584.128038533</v>
      </c>
      <c r="K282" t="n">
        <v>411366193.822075</v>
      </c>
      <c r="L282" t="n">
        <v>0</v>
      </c>
      <c r="M282" t="n">
        <v>411366193.822075</v>
      </c>
      <c r="N282" t="n">
        <v>105017558.446033</v>
      </c>
      <c r="O282" t="n">
        <v>303255156.346377</v>
      </c>
    </row>
    <row r="283">
      <c r="B283" s="106" t="s">
        <v>534</v>
      </c>
      <c r="C283" t="s">
        <v>487</v>
      </c>
      <c r="D283" t="s">
        <v>488</v>
      </c>
      <c r="E283"/>
      <c r="F283" t="n">
        <v>4969.55689700359</v>
      </c>
      <c r="G283" t="n">
        <v>-66123.0618379455</v>
      </c>
      <c r="H283" t="n">
        <v>-18380.5384872892</v>
      </c>
      <c r="I283" t="n">
        <v>-692.474213697228</v>
      </c>
      <c r="J283" t="n">
        <v>-1499645.81653651</v>
      </c>
      <c r="K283" t="n">
        <v>66319493.7553189</v>
      </c>
      <c r="L283" t="n">
        <v>12369503.7809921</v>
      </c>
      <c r="M283" t="n">
        <v>53949989.9743268</v>
      </c>
      <c r="N283" t="n">
        <v>0</v>
      </c>
      <c r="O283" t="n">
        <v>63918440.8092602</v>
      </c>
    </row>
    <row r="284">
      <c r="B284" s="106" t="s">
        <v>534</v>
      </c>
      <c r="C284" t="s">
        <v>487</v>
      </c>
      <c r="D284" t="s">
        <v>489</v>
      </c>
      <c r="E284" t="s">
        <v>490</v>
      </c>
      <c r="F284" t="n">
        <v>231.649657634032</v>
      </c>
      <c r="G284" t="n">
        <v>-5383.47767884216</v>
      </c>
      <c r="H284" t="n">
        <v>-633.388034502121</v>
      </c>
      <c r="I284" t="n">
        <v>-23.1265253640837</v>
      </c>
      <c r="J284" t="n">
        <v>-122095.219959406</v>
      </c>
      <c r="K284" t="n">
        <v>1163682.65209812</v>
      </c>
      <c r="L284" t="n">
        <v>959616.080409158</v>
      </c>
      <c r="M284" t="n">
        <v>204066.571688961</v>
      </c>
      <c r="N284" t="n">
        <v>-113781.820874207</v>
      </c>
      <c r="O284" t="n">
        <v>1849107.16037345</v>
      </c>
    </row>
    <row r="285">
      <c r="B285" s="106" t="s">
        <v>534</v>
      </c>
      <c r="C285" t="s">
        <v>487</v>
      </c>
      <c r="D285" t="s">
        <v>489</v>
      </c>
      <c r="E285" t="s">
        <v>491</v>
      </c>
      <c r="F285" t="n">
        <v>961.448579029742</v>
      </c>
      <c r="G285" t="n">
        <v>-10731.6156906727</v>
      </c>
      <c r="H285" t="n">
        <v>-1272.52051577007</v>
      </c>
      <c r="I285" t="n">
        <v>-46.4834033484651</v>
      </c>
      <c r="J285" t="n">
        <v>-243388.94975307</v>
      </c>
      <c r="K285" t="n">
        <v>2966079.09924822</v>
      </c>
      <c r="L285" t="n">
        <v>1912932.79175546</v>
      </c>
      <c r="M285" t="n">
        <v>1053146.30749275</v>
      </c>
      <c r="N285" t="n">
        <v>-230551.916804203</v>
      </c>
      <c r="O285" t="n">
        <v>4354929.55877955</v>
      </c>
    </row>
    <row r="286">
      <c r="B286" s="106" t="s">
        <v>534</v>
      </c>
      <c r="C286" t="s">
        <v>487</v>
      </c>
      <c r="D286" t="s">
        <v>492</v>
      </c>
      <c r="E286" t="s">
        <v>493</v>
      </c>
      <c r="F286" t="n">
        <v>1530.65462858331</v>
      </c>
      <c r="G286" t="n">
        <v>-49460.0269782746</v>
      </c>
      <c r="H286" t="n">
        <v>-1368.7908543168</v>
      </c>
      <c r="I286" t="n">
        <v>-40.6554082593985</v>
      </c>
      <c r="J286" t="n">
        <v>-1121734.54286698</v>
      </c>
      <c r="K286" t="n">
        <v>30104875.9980995</v>
      </c>
      <c r="L286" t="n">
        <v>8265330.52678675</v>
      </c>
      <c r="M286" t="n">
        <v>21839545.4713128</v>
      </c>
      <c r="N286" t="n">
        <v>0</v>
      </c>
      <c r="O286" t="n">
        <v>24383328.2333321</v>
      </c>
    </row>
    <row r="287">
      <c r="B287" s="106" t="s">
        <v>534</v>
      </c>
      <c r="C287" t="s">
        <v>487</v>
      </c>
      <c r="D287" t="s">
        <v>492</v>
      </c>
      <c r="E287" t="s">
        <v>494</v>
      </c>
      <c r="F287" t="n">
        <v>276.067248475051</v>
      </c>
      <c r="G287" t="n">
        <v>-31458.1348380712</v>
      </c>
      <c r="H287" t="n">
        <v>-870.594091651642</v>
      </c>
      <c r="I287" t="n">
        <v>-25.8581200427321</v>
      </c>
      <c r="J287" t="n">
        <v>-713458.496849015</v>
      </c>
      <c r="K287" t="n">
        <v>6560455.01603952</v>
      </c>
      <c r="L287" t="n">
        <v>5257010.52098282</v>
      </c>
      <c r="M287" t="n">
        <v>1303444.4950567</v>
      </c>
      <c r="N287" t="n">
        <v>0</v>
      </c>
      <c r="O287" t="n">
        <v>5528522.71796138</v>
      </c>
    </row>
    <row r="288">
      <c r="B288" s="106" t="s">
        <v>534</v>
      </c>
      <c r="C288" t="s">
        <v>487</v>
      </c>
      <c r="D288" t="s">
        <v>495</v>
      </c>
      <c r="E288" t="s">
        <v>496</v>
      </c>
      <c r="F288" t="n">
        <v>174779.016176236</v>
      </c>
      <c r="G288" t="n">
        <v>-39261.3715891882</v>
      </c>
      <c r="H288" t="n">
        <v>-10913.6681068772</v>
      </c>
      <c r="I288" t="n">
        <v>-411.117877586066</v>
      </c>
      <c r="J288" t="n">
        <v>-890432.929429528</v>
      </c>
      <c r="K288" t="n">
        <v>121094543.09157</v>
      </c>
      <c r="L288" t="n">
        <v>7344543.20203162</v>
      </c>
      <c r="M288" t="n">
        <v>113749999.889539</v>
      </c>
      <c r="N288" t="n">
        <v>650350.354019482</v>
      </c>
      <c r="O288" t="n">
        <v>118234907.662703</v>
      </c>
    </row>
    <row r="289">
      <c r="B289" s="106" t="s">
        <v>534</v>
      </c>
      <c r="C289" t="s">
        <v>487</v>
      </c>
      <c r="D289" t="s">
        <v>495</v>
      </c>
      <c r="E289" t="s">
        <v>497</v>
      </c>
      <c r="F289" t="n">
        <v>27956.6362130981</v>
      </c>
      <c r="G289" t="n">
        <v>-8878.15716546903</v>
      </c>
      <c r="H289" t="n">
        <v>-2467.90310125857</v>
      </c>
      <c r="I289" t="n">
        <v>-92.9659098244105</v>
      </c>
      <c r="J289" t="n">
        <v>-201353.217495879</v>
      </c>
      <c r="K289" t="n">
        <v>29676966.3050733</v>
      </c>
      <c r="L289" t="n">
        <v>1660818.41303196</v>
      </c>
      <c r="M289" t="n">
        <v>28016147.8920414</v>
      </c>
      <c r="N289" t="n">
        <v>505354.201486218</v>
      </c>
      <c r="O289" t="n">
        <v>28445529.7191791</v>
      </c>
    </row>
    <row r="290">
      <c r="B290" s="106" t="s">
        <v>534</v>
      </c>
      <c r="C290" t="s">
        <v>487</v>
      </c>
      <c r="D290" t="s">
        <v>495</v>
      </c>
      <c r="E290" t="s">
        <v>498</v>
      </c>
      <c r="F290" t="n">
        <v>23100.5550657759</v>
      </c>
      <c r="G290" t="n">
        <v>-18885.5815646638</v>
      </c>
      <c r="H290" t="n">
        <v>-5249.71392641969</v>
      </c>
      <c r="I290" t="n">
        <v>-197.75672360823</v>
      </c>
      <c r="J290" t="n">
        <v>-428317.785037208</v>
      </c>
      <c r="K290" t="n">
        <v>11368158.9425234</v>
      </c>
      <c r="L290" t="n">
        <v>3532886.50097394</v>
      </c>
      <c r="M290" t="n">
        <v>7835272.44154945</v>
      </c>
      <c r="N290" t="n">
        <v>-271916.969304371</v>
      </c>
      <c r="O290" t="n">
        <v>11366807.0049492</v>
      </c>
    </row>
    <row r="291">
      <c r="B291" s="106" t="s">
        <v>534</v>
      </c>
      <c r="C291" t="s">
        <v>487</v>
      </c>
      <c r="D291" t="s">
        <v>495</v>
      </c>
      <c r="E291" t="s">
        <v>499</v>
      </c>
      <c r="F291" t="n">
        <v>33825.8182560019</v>
      </c>
      <c r="G291" t="n">
        <v>-52519.7254705344</v>
      </c>
      <c r="H291" t="n">
        <v>-14599.1550893133</v>
      </c>
      <c r="I291" t="n">
        <v>-549.950172214433</v>
      </c>
      <c r="J291" t="n">
        <v>-1191127.33739645</v>
      </c>
      <c r="K291" t="n">
        <v>109263298.132345</v>
      </c>
      <c r="L291" t="n">
        <v>9824755.91309712</v>
      </c>
      <c r="M291" t="n">
        <v>99438542.2192474</v>
      </c>
      <c r="N291" t="n">
        <v>19640.5607108336</v>
      </c>
      <c r="O291" t="n">
        <v>105777064.553383</v>
      </c>
    </row>
    <row r="292">
      <c r="B292" s="106" t="s">
        <v>534</v>
      </c>
      <c r="C292" t="s">
        <v>487</v>
      </c>
      <c r="D292" t="s">
        <v>495</v>
      </c>
      <c r="E292" t="s">
        <v>500</v>
      </c>
      <c r="F292" t="n">
        <v>51870.720580804</v>
      </c>
      <c r="G292" t="n">
        <v>-60099.1403868727</v>
      </c>
      <c r="H292" t="n">
        <v>-16706.0406995962</v>
      </c>
      <c r="I292" t="n">
        <v>-629.31655315379</v>
      </c>
      <c r="J292" t="n">
        <v>-1363025.57615221</v>
      </c>
      <c r="K292" t="n">
        <v>194587257.074839</v>
      </c>
      <c r="L292" t="n">
        <v>11242621.3122392</v>
      </c>
      <c r="M292" t="n">
        <v>183344635.7626</v>
      </c>
      <c r="N292" t="n">
        <v>13751.5348896207</v>
      </c>
      <c r="O292" t="n">
        <v>187544426.032353</v>
      </c>
    </row>
    <row r="293">
      <c r="B293" s="106" t="s">
        <v>534</v>
      </c>
      <c r="C293" t="s">
        <v>487</v>
      </c>
      <c r="D293" t="s">
        <v>495</v>
      </c>
      <c r="E293" t="s">
        <v>501</v>
      </c>
      <c r="F293" t="n">
        <v>147681.852492075</v>
      </c>
      <c r="G293" t="n">
        <v>-161670.313538826</v>
      </c>
      <c r="H293" t="n">
        <v>-44940.2573898721</v>
      </c>
      <c r="I293" t="n">
        <v>-1692.89949587648</v>
      </c>
      <c r="J293" t="n">
        <v>-3666621.03383597</v>
      </c>
      <c r="K293" t="n">
        <v>450389542.397365</v>
      </c>
      <c r="L293" t="n">
        <v>30243329.619154</v>
      </c>
      <c r="M293" t="n">
        <v>420146212.778211</v>
      </c>
      <c r="N293" t="n">
        <v>102406.329465405</v>
      </c>
      <c r="O293" t="n">
        <v>436841333.019326</v>
      </c>
    </row>
    <row r="294">
      <c r="B294" s="106" t="s">
        <v>534</v>
      </c>
      <c r="C294" t="s">
        <v>502</v>
      </c>
      <c r="D294" t="s">
        <v>503</v>
      </c>
      <c r="E294"/>
      <c r="F294" t="n">
        <v>29443.675079439</v>
      </c>
      <c r="G294" t="n">
        <v>-191785.154352694</v>
      </c>
      <c r="H294" t="n">
        <v>-53311.4213541674</v>
      </c>
      <c r="I294" t="n">
        <v>-2008.47133008851</v>
      </c>
      <c r="J294" t="n">
        <v>-4349614.13468271</v>
      </c>
      <c r="K294" t="n">
        <v>33407396.8411125</v>
      </c>
      <c r="L294" t="n">
        <v>35876850.3146119</v>
      </c>
      <c r="M294" t="n">
        <v>-2469453.47349937</v>
      </c>
      <c r="N294" t="n">
        <v>0</v>
      </c>
      <c r="O294" t="n">
        <v>17577874.0224251</v>
      </c>
    </row>
    <row r="295">
      <c r="B295" s="106" t="s">
        <v>534</v>
      </c>
      <c r="C295" t="s">
        <v>502</v>
      </c>
      <c r="D295" t="s">
        <v>504</v>
      </c>
      <c r="E295"/>
      <c r="F295" t="n">
        <v>4142.99742063008</v>
      </c>
      <c r="G295" t="n">
        <v>-64729.4312347763</v>
      </c>
      <c r="H295" t="n">
        <v>-17993.1444340405</v>
      </c>
      <c r="I295" t="n">
        <v>-677.879407750717</v>
      </c>
      <c r="J295" t="n">
        <v>-1468038.80612671</v>
      </c>
      <c r="K295" t="n">
        <v>6935047.18548525</v>
      </c>
      <c r="L295" t="n">
        <v>11538155.5927598</v>
      </c>
      <c r="M295" t="n">
        <v>-4603108.40727455</v>
      </c>
      <c r="N295" t="n">
        <v>0</v>
      </c>
      <c r="O295" t="n">
        <v>2473369.46011616</v>
      </c>
    </row>
    <row r="296">
      <c r="B296" s="106" t="s">
        <v>534</v>
      </c>
      <c r="C296" t="s">
        <v>502</v>
      </c>
      <c r="D296" t="s">
        <v>505</v>
      </c>
      <c r="E296" t="s">
        <v>506</v>
      </c>
      <c r="F296" t="n">
        <v>9665.75560908916</v>
      </c>
      <c r="G296" t="n">
        <v>-103977.84845636</v>
      </c>
      <c r="H296" t="n">
        <v>-2877.55459739477</v>
      </c>
      <c r="I296" t="n">
        <v>-85.4682485471348</v>
      </c>
      <c r="J296" t="n">
        <v>-2358177.93544105</v>
      </c>
      <c r="K296" t="n">
        <v>11872988.9914682</v>
      </c>
      <c r="L296" t="n">
        <v>17375875.7821433</v>
      </c>
      <c r="M296" t="n">
        <v>-5502886.79067506</v>
      </c>
      <c r="N296" t="n">
        <v>0</v>
      </c>
      <c r="O296" t="n">
        <v>5770456.09862623</v>
      </c>
    </row>
    <row r="297">
      <c r="B297" s="106" t="s">
        <v>534</v>
      </c>
      <c r="C297" t="s">
        <v>502</v>
      </c>
      <c r="D297" t="s">
        <v>505</v>
      </c>
      <c r="E297" t="s">
        <v>507</v>
      </c>
      <c r="F297" t="n">
        <v>1393.76233275638</v>
      </c>
      <c r="G297" t="n">
        <v>-31448.3448597562</v>
      </c>
      <c r="H297" t="n">
        <v>-870.323157048483</v>
      </c>
      <c r="I297" t="n">
        <v>-25.8500728258266</v>
      </c>
      <c r="J297" t="n">
        <v>-713236.463875706</v>
      </c>
      <c r="K297" t="n">
        <v>3414907.49693651</v>
      </c>
      <c r="L297" t="n">
        <v>5255374.50475785</v>
      </c>
      <c r="M297" t="n">
        <v>-1840467.00782134</v>
      </c>
      <c r="N297" t="n">
        <v>0</v>
      </c>
      <c r="O297" t="n">
        <v>832076.112655557</v>
      </c>
    </row>
    <row r="298">
      <c r="B298" s="106" t="s">
        <v>534</v>
      </c>
      <c r="C298" t="s">
        <v>502</v>
      </c>
      <c r="D298" t="s">
        <v>508</v>
      </c>
      <c r="E298" t="s">
        <v>509</v>
      </c>
      <c r="F298" t="n">
        <v>391.891649588042</v>
      </c>
      <c r="G298" t="n">
        <v>-87880.9095002945</v>
      </c>
      <c r="H298" t="n">
        <v>-24428.6697329128</v>
      </c>
      <c r="I298" t="n">
        <v>-920.33342095316</v>
      </c>
      <c r="J298" t="n">
        <v>-1993105.5008997</v>
      </c>
      <c r="K298" t="n">
        <v>9797291.23970104</v>
      </c>
      <c r="L298" t="n">
        <v>16439699.1325817</v>
      </c>
      <c r="M298" t="n">
        <v>-6642407.89288061</v>
      </c>
      <c r="N298" t="n">
        <v>0</v>
      </c>
      <c r="O298" t="n">
        <v>9797291.23970104</v>
      </c>
    </row>
    <row r="299">
      <c r="B299" s="106" t="s">
        <v>534</v>
      </c>
      <c r="C299" t="s">
        <v>502</v>
      </c>
      <c r="D299" t="s">
        <v>508</v>
      </c>
      <c r="E299" t="s">
        <v>510</v>
      </c>
      <c r="F299" t="n">
        <v>270.117670838639</v>
      </c>
      <c r="G299" t="n">
        <v>-36800.8320660313</v>
      </c>
      <c r="H299" t="n">
        <v>-10229.7003700724</v>
      </c>
      <c r="I299" t="n">
        <v>-2843.59792391905</v>
      </c>
      <c r="J299" t="n">
        <v>-834628.831740157</v>
      </c>
      <c r="K299" t="n">
        <v>6752941.77096597</v>
      </c>
      <c r="L299" t="n">
        <v>6559824.76936653</v>
      </c>
      <c r="M299" t="n">
        <v>193117.001599443</v>
      </c>
      <c r="N299" t="n">
        <v>0</v>
      </c>
      <c r="O299" t="n">
        <v>6752941.77096597</v>
      </c>
    </row>
    <row r="300">
      <c r="B300" s="106" t="s">
        <v>534</v>
      </c>
      <c r="C300" t="s">
        <v>502</v>
      </c>
      <c r="D300" t="s">
        <v>508</v>
      </c>
      <c r="E300" t="s">
        <v>511</v>
      </c>
      <c r="F300" t="n">
        <v>741.636210602193</v>
      </c>
      <c r="G300" t="n">
        <v>-26095.1215489742</v>
      </c>
      <c r="H300" t="n">
        <v>-722.174367883194</v>
      </c>
      <c r="I300" t="n">
        <v>-19.9859508854441</v>
      </c>
      <c r="J300" t="n">
        <v>-591827.401441863</v>
      </c>
      <c r="K300" t="n">
        <v>18540905.2650548</v>
      </c>
      <c r="L300" t="n">
        <v>4360790.27683682</v>
      </c>
      <c r="M300" t="n">
        <v>14180114.988218</v>
      </c>
      <c r="N300" t="n">
        <v>0</v>
      </c>
      <c r="O300" t="n">
        <v>18540905.2650548</v>
      </c>
    </row>
    <row r="301">
      <c r="B301" s="106" t="s">
        <v>534</v>
      </c>
      <c r="C301" t="s">
        <v>502</v>
      </c>
      <c r="D301" t="s">
        <v>512</v>
      </c>
      <c r="E301" t="s">
        <v>513</v>
      </c>
      <c r="F301" t="n">
        <v>607.118113517876</v>
      </c>
      <c r="G301" t="n">
        <v>-9790.5909492401</v>
      </c>
      <c r="H301" t="n">
        <v>-2721.53661300274</v>
      </c>
      <c r="I301" t="n">
        <v>-102.53203013832</v>
      </c>
      <c r="J301" t="n">
        <v>-222046.867618318</v>
      </c>
      <c r="K301" t="n">
        <v>9106771.70276814</v>
      </c>
      <c r="L301" t="n">
        <v>1831505.50501693</v>
      </c>
      <c r="M301" t="n">
        <v>7275266.1977512</v>
      </c>
      <c r="N301" t="n">
        <v>0</v>
      </c>
      <c r="O301" t="n">
        <v>9106771.70276814</v>
      </c>
    </row>
    <row r="302">
      <c r="B302" s="106" t="s">
        <v>534</v>
      </c>
      <c r="C302" t="s">
        <v>502</v>
      </c>
      <c r="D302" t="s">
        <v>512</v>
      </c>
      <c r="E302" t="s">
        <v>514</v>
      </c>
      <c r="F302" t="n">
        <v>430.484191583982</v>
      </c>
      <c r="G302" t="n">
        <v>-3350.16023585751</v>
      </c>
      <c r="H302" t="n">
        <v>-931.259797144293</v>
      </c>
      <c r="I302" t="n">
        <v>-258.866665688082</v>
      </c>
      <c r="J302" t="n">
        <v>-75980.3560631183</v>
      </c>
      <c r="K302" t="n">
        <v>6457262.87375973</v>
      </c>
      <c r="L302" t="n">
        <v>597173.021987459</v>
      </c>
      <c r="M302" t="n">
        <v>5860089.85177227</v>
      </c>
      <c r="N302" t="n">
        <v>0</v>
      </c>
      <c r="O302" t="n">
        <v>6457262.87375973</v>
      </c>
    </row>
    <row r="303">
      <c r="B303" s="106" t="s">
        <v>534</v>
      </c>
      <c r="C303" t="s">
        <v>502</v>
      </c>
      <c r="D303" t="s">
        <v>512</v>
      </c>
      <c r="E303" t="s">
        <v>515</v>
      </c>
      <c r="F303" t="n">
        <v>3328.83287680471</v>
      </c>
      <c r="G303" t="n">
        <v>-60092.6219539314</v>
      </c>
      <c r="H303" t="n">
        <v>-1663.04461133005</v>
      </c>
      <c r="I303" t="n">
        <v>-46.0242420674236</v>
      </c>
      <c r="J303" t="n">
        <v>-1362877.74057989</v>
      </c>
      <c r="K303" t="n">
        <v>49932493.1520707</v>
      </c>
      <c r="L303" t="n">
        <v>10042157.5364011</v>
      </c>
      <c r="M303" t="n">
        <v>39890335.6156695</v>
      </c>
      <c r="N303" t="n">
        <v>0</v>
      </c>
      <c r="O303" t="n">
        <v>49932493.1520707</v>
      </c>
    </row>
    <row r="304">
      <c r="B304" s="106" t="s">
        <v>534</v>
      </c>
      <c r="C304" t="s">
        <v>516</v>
      </c>
      <c r="D304"/>
      <c r="E304"/>
      <c r="F304" t="n">
        <v>246718.748413327</v>
      </c>
      <c r="G304" t="n">
        <v>-24417.1103228607</v>
      </c>
      <c r="H304" t="n">
        <v>-6787.33899433825</v>
      </c>
      <c r="I304" t="n">
        <v>-255.708353509402</v>
      </c>
      <c r="J304" t="n">
        <v>-553770.746994893</v>
      </c>
      <c r="K304" t="n">
        <v>16036718.6468662</v>
      </c>
      <c r="L304" t="n">
        <v>4567658.09181275</v>
      </c>
      <c r="M304" t="n">
        <v>11469060.5550535</v>
      </c>
      <c r="N304" t="n">
        <v>0</v>
      </c>
      <c r="O304" t="n">
        <v>16036718.6468662</v>
      </c>
    </row>
    <row r="305">
      <c r="B305" s="106" t="s">
        <v>534</v>
      </c>
      <c r="C305" t="s">
        <v>517</v>
      </c>
      <c r="D305" t="s">
        <v>518</v>
      </c>
      <c r="E305"/>
      <c r="F305" t="n">
        <v>6579.95604178958</v>
      </c>
      <c r="G305" t="n">
        <v>-357155.848820806</v>
      </c>
      <c r="H305" t="n">
        <v>-99280.2910006763</v>
      </c>
      <c r="I305" t="n">
        <v>-3739.88856199548</v>
      </c>
      <c r="J305" t="n">
        <v>-8100158.39629954</v>
      </c>
      <c r="K305" t="n">
        <v>73279637.0763923</v>
      </c>
      <c r="L305" t="n">
        <v>66812402.5051901</v>
      </c>
      <c r="M305" t="n">
        <v>6467234.57120223</v>
      </c>
      <c r="N305" t="n">
        <v>22131398.3944191</v>
      </c>
      <c r="O305" t="n">
        <v>-14644872.6265816</v>
      </c>
    </row>
    <row r="306">
      <c r="B306" s="106" t="s">
        <v>534</v>
      </c>
      <c r="C306" t="s">
        <v>517</v>
      </c>
      <c r="D306" t="s">
        <v>519</v>
      </c>
      <c r="E306"/>
      <c r="F306" t="n">
        <v>63347.9424385139</v>
      </c>
      <c r="G306" t="n">
        <v>-76543.5154629685</v>
      </c>
      <c r="H306" t="n">
        <v>-2118.31796955932</v>
      </c>
      <c r="I306" t="n">
        <v>-62.9176339132099</v>
      </c>
      <c r="J306" t="n">
        <v>-1735977.72934898</v>
      </c>
      <c r="K306" t="n">
        <v>18672149.9707727</v>
      </c>
      <c r="L306" t="n">
        <v>12791288.1095181</v>
      </c>
      <c r="M306" t="n">
        <v>5880861.86125466</v>
      </c>
      <c r="N306" t="n">
        <v>7297754.67113097</v>
      </c>
      <c r="O306" t="n">
        <v>-16852026.4110785</v>
      </c>
    </row>
    <row r="307">
      <c r="B307" s="106" t="s">
        <v>534</v>
      </c>
      <c r="C307" t="s">
        <v>517</v>
      </c>
      <c r="D307" t="s">
        <v>520</v>
      </c>
      <c r="E307"/>
      <c r="F307" t="n">
        <v>1321073.56836405</v>
      </c>
      <c r="G307" t="n">
        <v>-1708191.58409846</v>
      </c>
      <c r="H307" t="n">
        <v>-474834.04825687</v>
      </c>
      <c r="I307" t="n">
        <v>-17886.9985978363</v>
      </c>
      <c r="J307" t="n">
        <v>-38741133.4522638</v>
      </c>
      <c r="K307" t="n">
        <v>773904763.006867</v>
      </c>
      <c r="L307" t="n">
        <v>319547850.188017</v>
      </c>
      <c r="M307" t="n">
        <v>454356912.81885</v>
      </c>
      <c r="N307" t="n">
        <v>162222892.707342</v>
      </c>
      <c r="O307" t="n">
        <v>-79264414.1018433</v>
      </c>
    </row>
    <row r="308">
      <c r="B308" s="106" t="s">
        <v>534</v>
      </c>
      <c r="C308" t="s">
        <v>521</v>
      </c>
      <c r="D308" t="s">
        <v>522</v>
      </c>
      <c r="E308"/>
      <c r="F308" t="n">
        <v>704.824595057316</v>
      </c>
      <c r="G308" t="n">
        <v>-49071.5726509622</v>
      </c>
      <c r="H308" t="n">
        <v>-13640.6558333941</v>
      </c>
      <c r="I308" t="n">
        <v>-513.843505243957</v>
      </c>
      <c r="J308" t="n">
        <v>-1112924.54691886</v>
      </c>
      <c r="K308" t="n">
        <v>26634911.0385555</v>
      </c>
      <c r="L308" t="n">
        <v>9179717.13005243</v>
      </c>
      <c r="M308" t="n">
        <v>17455193.908503</v>
      </c>
      <c r="N308" t="n">
        <v>7325752.0864144</v>
      </c>
      <c r="O308" t="n">
        <v>-1568713.5830605</v>
      </c>
    </row>
    <row r="309">
      <c r="B309" s="106" t="s">
        <v>534</v>
      </c>
      <c r="C309" t="s">
        <v>521</v>
      </c>
      <c r="D309" t="s">
        <v>523</v>
      </c>
      <c r="E309"/>
      <c r="F309" t="n">
        <v>96516.4982285666</v>
      </c>
      <c r="G309" t="n">
        <v>-161838.076622895</v>
      </c>
      <c r="H309" t="n">
        <v>-44986.8912833405</v>
      </c>
      <c r="I309" t="n">
        <v>-1694.65619464344</v>
      </c>
      <c r="J309" t="n">
        <v>-3670425.83658103</v>
      </c>
      <c r="K309" t="n">
        <v>119206654.051476</v>
      </c>
      <c r="L309" t="n">
        <v>30274712.710696</v>
      </c>
      <c r="M309" t="n">
        <v>88931941.3407803</v>
      </c>
      <c r="N309" t="n">
        <v>19599602.5271508</v>
      </c>
      <c r="O309" t="n">
        <v>-5790989.89371399</v>
      </c>
    </row>
    <row r="310">
      <c r="B310" s="106" t="s">
        <v>534</v>
      </c>
      <c r="C310" t="s">
        <v>524</v>
      </c>
      <c r="D310"/>
      <c r="E310"/>
      <c r="F310" t="n">
        <v>14544.4336807982</v>
      </c>
      <c r="G310" t="n">
        <v>-16655.2093755441</v>
      </c>
      <c r="H310" t="n">
        <v>-79357.2184612067</v>
      </c>
      <c r="I310" t="n">
        <v>-2989.38641943366</v>
      </c>
      <c r="J310" t="n">
        <v>-377733.794674963</v>
      </c>
      <c r="K310" t="n">
        <v>450622889.195268</v>
      </c>
      <c r="L310" t="n">
        <v>0</v>
      </c>
      <c r="M310" t="n">
        <v>450622889.195268</v>
      </c>
      <c r="N310" t="n">
        <v>105520015.764301</v>
      </c>
      <c r="O310" t="n">
        <v>332194865.269431</v>
      </c>
    </row>
    <row r="311">
      <c r="B311" s="106" t="s">
        <v>535</v>
      </c>
      <c r="C311" t="s">
        <v>487</v>
      </c>
      <c r="D311" t="s">
        <v>488</v>
      </c>
      <c r="E311"/>
      <c r="F311" t="n">
        <v>4931.6413793364</v>
      </c>
      <c r="G311" t="n">
        <v>-65618.5721678831</v>
      </c>
      <c r="H311" t="n">
        <v>-18240.3031209998</v>
      </c>
      <c r="I311" t="n">
        <v>-687.190942204886</v>
      </c>
      <c r="J311" t="n">
        <v>-1488204.18328231</v>
      </c>
      <c r="K311" t="n">
        <v>65813505.3967441</v>
      </c>
      <c r="L311" t="n">
        <v>12255965.3283764</v>
      </c>
      <c r="M311" t="n">
        <v>53557540.0683677</v>
      </c>
      <c r="N311" t="n">
        <v>15223976.9380115</v>
      </c>
      <c r="O311" t="n">
        <v>63430771.4210248</v>
      </c>
    </row>
    <row r="312">
      <c r="B312" s="106" t="s">
        <v>535</v>
      </c>
      <c r="C312" t="s">
        <v>487</v>
      </c>
      <c r="D312" t="s">
        <v>489</v>
      </c>
      <c r="E312" t="s">
        <v>490</v>
      </c>
      <c r="F312" t="n">
        <v>232.204743490409</v>
      </c>
      <c r="G312" t="n">
        <v>-5374.98910199507</v>
      </c>
      <c r="H312" t="n">
        <v>-628.966202209786</v>
      </c>
      <c r="I312" t="n">
        <v>-22.9579492910631</v>
      </c>
      <c r="J312" t="n">
        <v>-121902.702274906</v>
      </c>
      <c r="K312" t="n">
        <v>1069151.44578589</v>
      </c>
      <c r="L312" t="n">
        <v>956607.130087806</v>
      </c>
      <c r="M312" t="n">
        <v>112544.315698085</v>
      </c>
      <c r="N312" t="n">
        <v>-85336.3656556554</v>
      </c>
      <c r="O312" t="n">
        <v>1756218.38882259</v>
      </c>
    </row>
    <row r="313">
      <c r="B313" s="106" t="s">
        <v>535</v>
      </c>
      <c r="C313" t="s">
        <v>487</v>
      </c>
      <c r="D313" t="s">
        <v>489</v>
      </c>
      <c r="E313" t="s">
        <v>491</v>
      </c>
      <c r="F313" t="n">
        <v>963.752430946918</v>
      </c>
      <c r="G313" t="n">
        <v>-10714.5975954947</v>
      </c>
      <c r="H313" t="n">
        <v>-1263.70276283958</v>
      </c>
      <c r="I313" t="n">
        <v>-46.1472612528177</v>
      </c>
      <c r="J313" t="n">
        <v>-243002.985846837</v>
      </c>
      <c r="K313" t="n">
        <v>2776812.76789926</v>
      </c>
      <c r="L313" t="n">
        <v>1906917.43952885</v>
      </c>
      <c r="M313" t="n">
        <v>869895.32837041</v>
      </c>
      <c r="N313" t="n">
        <v>-172913.937603152</v>
      </c>
      <c r="O313" t="n">
        <v>4168991.23255084</v>
      </c>
    </row>
    <row r="314">
      <c r="B314" s="106" t="s">
        <v>535</v>
      </c>
      <c r="C314" t="s">
        <v>487</v>
      </c>
      <c r="D314" t="s">
        <v>492</v>
      </c>
      <c r="E314" t="s">
        <v>493</v>
      </c>
      <c r="F314" t="n">
        <v>1519.35288140148</v>
      </c>
      <c r="G314" t="n">
        <v>-49094.8337399854</v>
      </c>
      <c r="H314" t="n">
        <v>-1358.68424509784</v>
      </c>
      <c r="I314" t="n">
        <v>-40.3552248364752</v>
      </c>
      <c r="J314" t="n">
        <v>-1113452.0995438</v>
      </c>
      <c r="K314" t="n">
        <v>29882593.5242369</v>
      </c>
      <c r="L314" t="n">
        <v>8191493.58636258</v>
      </c>
      <c r="M314" t="n">
        <v>21691099.9378744</v>
      </c>
      <c r="N314" t="n">
        <v>36286704.8665117</v>
      </c>
      <c r="O314" t="n">
        <v>24203291.4007257</v>
      </c>
    </row>
    <row r="315">
      <c r="B315" s="106" t="s">
        <v>535</v>
      </c>
      <c r="C315" t="s">
        <v>487</v>
      </c>
      <c r="D315" t="s">
        <v>492</v>
      </c>
      <c r="E315" t="s">
        <v>494</v>
      </c>
      <c r="F315" t="n">
        <v>273.38789154754</v>
      </c>
      <c r="G315" t="n">
        <v>-31152.8194775184</v>
      </c>
      <c r="H315" t="n">
        <v>-862.144584064622</v>
      </c>
      <c r="I315" t="n">
        <v>-25.6071553468052</v>
      </c>
      <c r="J315" t="n">
        <v>-706534.060949487</v>
      </c>
      <c r="K315" t="n">
        <v>6496782.8466969</v>
      </c>
      <c r="L315" t="n">
        <v>5197860.98673279</v>
      </c>
      <c r="M315" t="n">
        <v>1298921.8599641</v>
      </c>
      <c r="N315" t="n">
        <v>6529323.01382989</v>
      </c>
      <c r="O315" t="n">
        <v>5474865.91613103</v>
      </c>
    </row>
    <row r="316">
      <c r="B316" s="106" t="s">
        <v>535</v>
      </c>
      <c r="C316" t="s">
        <v>487</v>
      </c>
      <c r="D316" t="s">
        <v>495</v>
      </c>
      <c r="E316" t="s">
        <v>496</v>
      </c>
      <c r="F316" t="n">
        <v>169640.462730761</v>
      </c>
      <c r="G316" t="n">
        <v>-38108.3482139495</v>
      </c>
      <c r="H316" t="n">
        <v>-10593.1567765932</v>
      </c>
      <c r="I316" t="n">
        <v>-399.044215774265</v>
      </c>
      <c r="J316" t="n">
        <v>-864282.79915753</v>
      </c>
      <c r="K316" t="n">
        <v>117841258.197153</v>
      </c>
      <c r="L316" t="n">
        <v>7117719.55715394</v>
      </c>
      <c r="M316" t="n">
        <v>110723538.639999</v>
      </c>
      <c r="N316" t="n">
        <v>14500291.7368965</v>
      </c>
      <c r="O316" t="n">
        <v>115042648.214728</v>
      </c>
    </row>
    <row r="317">
      <c r="B317" s="106" t="s">
        <v>535</v>
      </c>
      <c r="C317" t="s">
        <v>487</v>
      </c>
      <c r="D317" t="s">
        <v>495</v>
      </c>
      <c r="E317" t="s">
        <v>497</v>
      </c>
      <c r="F317" t="n">
        <v>27157.4697031361</v>
      </c>
      <c r="G317" t="n">
        <v>-8738.23060653676</v>
      </c>
      <c r="H317" t="n">
        <v>-2429.00705759756</v>
      </c>
      <c r="I317" t="n">
        <v>-91.5006958597003</v>
      </c>
      <c r="J317" t="n">
        <v>-198179.736521277</v>
      </c>
      <c r="K317" t="n">
        <v>29334170.3766737</v>
      </c>
      <c r="L317" t="n">
        <v>1632090.54703402</v>
      </c>
      <c r="M317" t="n">
        <v>27702079.8296397</v>
      </c>
      <c r="N317" t="n">
        <v>5248293.0661129</v>
      </c>
      <c r="O317" t="n">
        <v>28099971.7971822</v>
      </c>
    </row>
    <row r="318">
      <c r="B318" s="106" t="s">
        <v>535</v>
      </c>
      <c r="C318" t="s">
        <v>487</v>
      </c>
      <c r="D318" t="s">
        <v>495</v>
      </c>
      <c r="E318" t="s">
        <v>498</v>
      </c>
      <c r="F318" t="n">
        <v>22426.358322236</v>
      </c>
      <c r="G318" t="n">
        <v>-18105.6567004267</v>
      </c>
      <c r="H318" t="n">
        <v>-5032.91454392106</v>
      </c>
      <c r="I318" t="n">
        <v>-189.589890869506</v>
      </c>
      <c r="J318" t="n">
        <v>-410629.386657646</v>
      </c>
      <c r="K318" t="n">
        <v>10639390.1452572</v>
      </c>
      <c r="L318" t="n">
        <v>3381699.62309123</v>
      </c>
      <c r="M318" t="n">
        <v>7257690.52216593</v>
      </c>
      <c r="N318" t="n">
        <v>1230605.85916545</v>
      </c>
      <c r="O318" t="n">
        <v>10668132.1641765</v>
      </c>
    </row>
    <row r="319">
      <c r="B319" s="106" t="s">
        <v>535</v>
      </c>
      <c r="C319" t="s">
        <v>487</v>
      </c>
      <c r="D319" t="s">
        <v>495</v>
      </c>
      <c r="E319" t="s">
        <v>499</v>
      </c>
      <c r="F319" t="n">
        <v>33790.0758237328</v>
      </c>
      <c r="G319" t="n">
        <v>-50846.4781262925</v>
      </c>
      <c r="H319" t="n">
        <v>-14134.0346557521</v>
      </c>
      <c r="I319" t="n">
        <v>-532.429085482183</v>
      </c>
      <c r="J319" t="n">
        <v>-1153178.72597291</v>
      </c>
      <c r="K319" t="n">
        <v>107147964.52832</v>
      </c>
      <c r="L319" t="n">
        <v>9496894.74180451</v>
      </c>
      <c r="M319" t="n">
        <v>97651069.786516</v>
      </c>
      <c r="N319" t="n">
        <v>21346093.6684466</v>
      </c>
      <c r="O319" t="n">
        <v>103790930.650505</v>
      </c>
    </row>
    <row r="320">
      <c r="B320" s="106" t="s">
        <v>535</v>
      </c>
      <c r="C320" t="s">
        <v>487</v>
      </c>
      <c r="D320" t="s">
        <v>495</v>
      </c>
      <c r="E320" t="s">
        <v>500</v>
      </c>
      <c r="F320" t="n">
        <v>50502.8071842983</v>
      </c>
      <c r="G320" t="n">
        <v>-57949.8039120295</v>
      </c>
      <c r="H320" t="n">
        <v>-16108.5795313546</v>
      </c>
      <c r="I320" t="n">
        <v>-606.81019094613</v>
      </c>
      <c r="J320" t="n">
        <v>-1314279.44487464</v>
      </c>
      <c r="K320" t="n">
        <v>187662057.616189</v>
      </c>
      <c r="L320" t="n">
        <v>10823624.5329286</v>
      </c>
      <c r="M320" t="n">
        <v>176838433.083261</v>
      </c>
      <c r="N320" t="n">
        <v>43021313.7561542</v>
      </c>
      <c r="O320" t="n">
        <v>180917528.218608</v>
      </c>
    </row>
    <row r="321">
      <c r="B321" s="106" t="s">
        <v>535</v>
      </c>
      <c r="C321" t="s">
        <v>487</v>
      </c>
      <c r="D321" t="s">
        <v>495</v>
      </c>
      <c r="E321" t="s">
        <v>501</v>
      </c>
      <c r="F321" t="n">
        <v>148249.086072654</v>
      </c>
      <c r="G321" t="n">
        <v>-158380.930627556</v>
      </c>
      <c r="H321" t="n">
        <v>-44025.8921520585</v>
      </c>
      <c r="I321" t="n">
        <v>-1658.45535736804</v>
      </c>
      <c r="J321" t="n">
        <v>-3592019.08430793</v>
      </c>
      <c r="K321" t="n">
        <v>442718476.649154</v>
      </c>
      <c r="L321" t="n">
        <v>29581734.7180465</v>
      </c>
      <c r="M321" t="n">
        <v>413136741.931108</v>
      </c>
      <c r="N321" t="n">
        <v>82590086.5373266</v>
      </c>
      <c r="O321" t="n">
        <v>429708251.362654</v>
      </c>
    </row>
    <row r="322">
      <c r="B322" s="106" t="s">
        <v>535</v>
      </c>
      <c r="C322" t="s">
        <v>502</v>
      </c>
      <c r="D322" t="s">
        <v>503</v>
      </c>
      <c r="E322"/>
      <c r="F322" t="n">
        <v>30358.3938693064</v>
      </c>
      <c r="G322" t="n">
        <v>-195311.314876323</v>
      </c>
      <c r="H322" t="n">
        <v>-54291.6047790634</v>
      </c>
      <c r="I322" t="n">
        <v>-2045.39907009478</v>
      </c>
      <c r="J322" t="n">
        <v>-4429586.11012837</v>
      </c>
      <c r="K322" t="n">
        <v>33795188.7304765</v>
      </c>
      <c r="L322" t="n">
        <v>36479439.0411229</v>
      </c>
      <c r="M322" t="n">
        <v>-2684250.31064642</v>
      </c>
      <c r="N322" t="n">
        <v>54307772.2443763</v>
      </c>
      <c r="O322" t="n">
        <v>18123961.1399759</v>
      </c>
    </row>
    <row r="323">
      <c r="B323" s="106" t="s">
        <v>535</v>
      </c>
      <c r="C323" t="s">
        <v>502</v>
      </c>
      <c r="D323" t="s">
        <v>504</v>
      </c>
      <c r="E323"/>
      <c r="F323" t="n">
        <v>4156.61346240343</v>
      </c>
      <c r="G323" t="n">
        <v>-64240.3451794853</v>
      </c>
      <c r="H323" t="n">
        <v>-17857.190882995</v>
      </c>
      <c r="I323" t="n">
        <v>-672.757450718571</v>
      </c>
      <c r="J323" t="n">
        <v>-1456946.52097904</v>
      </c>
      <c r="K323" t="n">
        <v>6898559.18517025</v>
      </c>
      <c r="L323" t="n">
        <v>11433097.0857574</v>
      </c>
      <c r="M323" t="n">
        <v>-4534537.90058714</v>
      </c>
      <c r="N323" t="n">
        <v>0</v>
      </c>
      <c r="O323" t="n">
        <v>2481498.23705485</v>
      </c>
    </row>
    <row r="324">
      <c r="B324" s="106" t="s">
        <v>535</v>
      </c>
      <c r="C324" t="s">
        <v>502</v>
      </c>
      <c r="D324" t="s">
        <v>505</v>
      </c>
      <c r="E324" t="s">
        <v>506</v>
      </c>
      <c r="F324" t="n">
        <v>9918.65101855948</v>
      </c>
      <c r="G324" t="n">
        <v>-104082.90864103</v>
      </c>
      <c r="H324" t="n">
        <v>-2880.46210531007</v>
      </c>
      <c r="I324" t="n">
        <v>-85.5546064599899</v>
      </c>
      <c r="J324" t="n">
        <v>-2360560.66034892</v>
      </c>
      <c r="K324" t="n">
        <v>11962942.2219936</v>
      </c>
      <c r="L324" t="n">
        <v>17366276.9304495</v>
      </c>
      <c r="M324" t="n">
        <v>-5403334.7084559</v>
      </c>
      <c r="N324" t="n">
        <v>20936510.2318201</v>
      </c>
      <c r="O324" t="n">
        <v>5921434.65808001</v>
      </c>
    </row>
    <row r="325">
      <c r="B325" s="106" t="s">
        <v>535</v>
      </c>
      <c r="C325" t="s">
        <v>502</v>
      </c>
      <c r="D325" t="s">
        <v>505</v>
      </c>
      <c r="E325" t="s">
        <v>507</v>
      </c>
      <c r="F325" t="n">
        <v>1392.2000760063</v>
      </c>
      <c r="G325" t="n">
        <v>-31185.7006125784</v>
      </c>
      <c r="H325" t="n">
        <v>-863.054559244568</v>
      </c>
      <c r="I325" t="n">
        <v>-25.634183151915</v>
      </c>
      <c r="J325" t="n">
        <v>-707279.792548494</v>
      </c>
      <c r="K325" t="n">
        <v>3388146.5158139</v>
      </c>
      <c r="L325" t="n">
        <v>5203347.21789884</v>
      </c>
      <c r="M325" t="n">
        <v>-1815200.70208494</v>
      </c>
      <c r="N325" t="n">
        <v>10063549.6916836</v>
      </c>
      <c r="O325" t="n">
        <v>831143.445375762</v>
      </c>
    </row>
    <row r="326">
      <c r="B326" s="106" t="s">
        <v>535</v>
      </c>
      <c r="C326" t="s">
        <v>502</v>
      </c>
      <c r="D326" t="s">
        <v>508</v>
      </c>
      <c r="E326" t="s">
        <v>509</v>
      </c>
      <c r="F326" t="n">
        <v>404.066442799254</v>
      </c>
      <c r="G326" t="n">
        <v>-90611.0822444805</v>
      </c>
      <c r="H326" t="n">
        <v>-25187.5886910888</v>
      </c>
      <c r="I326" t="n">
        <v>-948.925173538987</v>
      </c>
      <c r="J326" t="n">
        <v>-2055024.77717694</v>
      </c>
      <c r="K326" t="n">
        <v>10101661.0699814</v>
      </c>
      <c r="L326" t="n">
        <v>16923962.9218656</v>
      </c>
      <c r="M326" t="n">
        <v>-6822301.85188422</v>
      </c>
      <c r="N326" t="n">
        <v>0</v>
      </c>
      <c r="O326" t="n">
        <v>10101661.0699814</v>
      </c>
    </row>
    <row r="327">
      <c r="B327" s="106" t="s">
        <v>535</v>
      </c>
      <c r="C327" t="s">
        <v>502</v>
      </c>
      <c r="D327" t="s">
        <v>508</v>
      </c>
      <c r="E327" t="s">
        <v>510</v>
      </c>
      <c r="F327" t="n">
        <v>267.416494130252</v>
      </c>
      <c r="G327" t="n">
        <v>-36432.823745371</v>
      </c>
      <c r="H327" t="n">
        <v>-10127.4033663717</v>
      </c>
      <c r="I327" t="n">
        <v>-2815.16194467986</v>
      </c>
      <c r="J327" t="n">
        <v>-826282.543422755</v>
      </c>
      <c r="K327" t="n">
        <v>6685412.35325631</v>
      </c>
      <c r="L327" t="n">
        <v>6484087.37258984</v>
      </c>
      <c r="M327" t="n">
        <v>201324.980666475</v>
      </c>
      <c r="N327" t="n">
        <v>0</v>
      </c>
      <c r="O327" t="n">
        <v>6685412.35325631</v>
      </c>
    </row>
    <row r="328">
      <c r="B328" s="106" t="s">
        <v>535</v>
      </c>
      <c r="C328" t="s">
        <v>502</v>
      </c>
      <c r="D328" t="s">
        <v>508</v>
      </c>
      <c r="E328" t="s">
        <v>511</v>
      </c>
      <c r="F328" t="n">
        <v>736.160262732182</v>
      </c>
      <c r="G328" t="n">
        <v>-25902.4455129055</v>
      </c>
      <c r="H328" t="n">
        <v>-716.842118547127</v>
      </c>
      <c r="I328" t="n">
        <v>-19.8383825445018</v>
      </c>
      <c r="J328" t="n">
        <v>-587457.582449734</v>
      </c>
      <c r="K328" t="n">
        <v>18404006.5683045</v>
      </c>
      <c r="L328" t="n">
        <v>4321833.89017695</v>
      </c>
      <c r="M328" t="n">
        <v>14082172.6781276</v>
      </c>
      <c r="N328" t="n">
        <v>0</v>
      </c>
      <c r="O328" t="n">
        <v>18404006.5683045</v>
      </c>
    </row>
    <row r="329">
      <c r="B329" s="106" t="s">
        <v>535</v>
      </c>
      <c r="C329" t="s">
        <v>502</v>
      </c>
      <c r="D329" t="s">
        <v>512</v>
      </c>
      <c r="E329" t="s">
        <v>513</v>
      </c>
      <c r="F329" t="n">
        <v>625.731647137394</v>
      </c>
      <c r="G329" t="n">
        <v>-10090.7590544753</v>
      </c>
      <c r="H329" t="n">
        <v>-2804.97575295748</v>
      </c>
      <c r="I329" t="n">
        <v>-105.675542656829</v>
      </c>
      <c r="J329" t="n">
        <v>-228854.565730921</v>
      </c>
      <c r="K329" t="n">
        <v>9385974.70706091</v>
      </c>
      <c r="L329" t="n">
        <v>1884710.21271597</v>
      </c>
      <c r="M329" t="n">
        <v>7501264.49434494</v>
      </c>
      <c r="N329" t="n">
        <v>0</v>
      </c>
      <c r="O329" t="n">
        <v>9385974.70706091</v>
      </c>
    </row>
    <row r="330">
      <c r="B330" s="106" t="s">
        <v>535</v>
      </c>
      <c r="C330" t="s">
        <v>502</v>
      </c>
      <c r="D330" t="s">
        <v>512</v>
      </c>
      <c r="E330" t="s">
        <v>514</v>
      </c>
      <c r="F330" t="n">
        <v>435.376218269547</v>
      </c>
      <c r="G330" t="n">
        <v>-3388.2314904939</v>
      </c>
      <c r="H330" t="n">
        <v>-941.842642851266</v>
      </c>
      <c r="I330" t="n">
        <v>-261.808429082203</v>
      </c>
      <c r="J330" t="n">
        <v>-76843.797594088</v>
      </c>
      <c r="K330" t="n">
        <v>6530643.27404321</v>
      </c>
      <c r="L330" t="n">
        <v>603016.367231599</v>
      </c>
      <c r="M330" t="n">
        <v>5927626.90681161</v>
      </c>
      <c r="N330" t="n">
        <v>0</v>
      </c>
      <c r="O330" t="n">
        <v>6530643.27404321</v>
      </c>
    </row>
    <row r="331">
      <c r="B331" s="106" t="s">
        <v>535</v>
      </c>
      <c r="C331" t="s">
        <v>502</v>
      </c>
      <c r="D331" t="s">
        <v>512</v>
      </c>
      <c r="E331" t="s">
        <v>515</v>
      </c>
      <c r="F331" t="n">
        <v>3441.17605687431</v>
      </c>
      <c r="G331" t="n">
        <v>-62120.6589563491</v>
      </c>
      <c r="H331" t="n">
        <v>-1719.16990423263</v>
      </c>
      <c r="I331" t="n">
        <v>-47.5774920819183</v>
      </c>
      <c r="J331" t="n">
        <v>-1408872.84609861</v>
      </c>
      <c r="K331" t="n">
        <v>51617640.8531146</v>
      </c>
      <c r="L331" t="n">
        <v>10364857.9831549</v>
      </c>
      <c r="M331" t="n">
        <v>41252782.8699597</v>
      </c>
      <c r="N331" t="n">
        <v>0</v>
      </c>
      <c r="O331" t="n">
        <v>51617640.8531146</v>
      </c>
    </row>
    <row r="332">
      <c r="B332" s="106" t="s">
        <v>535</v>
      </c>
      <c r="C332" t="s">
        <v>516</v>
      </c>
      <c r="D332"/>
      <c r="E332"/>
      <c r="F332" t="n">
        <v>244962.367860629</v>
      </c>
      <c r="G332" t="n">
        <v>-24243.2859256475</v>
      </c>
      <c r="H332" t="n">
        <v>-6739.0202091187</v>
      </c>
      <c r="I332" t="n">
        <v>-253.887976330309</v>
      </c>
      <c r="J332" t="n">
        <v>-549828.475980105</v>
      </c>
      <c r="K332" t="n">
        <v>15922553.9109409</v>
      </c>
      <c r="L332" t="n">
        <v>4528060.6074522</v>
      </c>
      <c r="M332" t="n">
        <v>11394493.3034887</v>
      </c>
      <c r="N332" t="n">
        <v>0</v>
      </c>
      <c r="O332" t="n">
        <v>15922553.9109409</v>
      </c>
    </row>
    <row r="333">
      <c r="B333" s="106" t="s">
        <v>535</v>
      </c>
      <c r="C333" t="s">
        <v>517</v>
      </c>
      <c r="D333" t="s">
        <v>518</v>
      </c>
      <c r="E333"/>
      <c r="F333" t="n">
        <v>6967.01227954191</v>
      </c>
      <c r="G333" t="n">
        <v>-367440.51054182</v>
      </c>
      <c r="H333" t="n">
        <v>-102139.166788031</v>
      </c>
      <c r="I333" t="n">
        <v>-3847.58241290512</v>
      </c>
      <c r="J333" t="n">
        <v>-8333410.6005337</v>
      </c>
      <c r="K333" t="n">
        <v>74617242.8962587</v>
      </c>
      <c r="L333" t="n">
        <v>68629017.8018474</v>
      </c>
      <c r="M333" t="n">
        <v>5988225.09441129</v>
      </c>
      <c r="N333" t="n">
        <v>35086534.0551583</v>
      </c>
      <c r="O333" t="n">
        <v>-15093867.3492212</v>
      </c>
    </row>
    <row r="334">
      <c r="B334" s="106" t="s">
        <v>535</v>
      </c>
      <c r="C334" t="s">
        <v>517</v>
      </c>
      <c r="D334" t="s">
        <v>519</v>
      </c>
      <c r="E334"/>
      <c r="F334" t="n">
        <v>67074.2919937206</v>
      </c>
      <c r="G334" t="n">
        <v>-77489.5235617848</v>
      </c>
      <c r="H334" t="n">
        <v>-2144.49844928972</v>
      </c>
      <c r="I334" t="n">
        <v>-63.6952385330167</v>
      </c>
      <c r="J334" t="n">
        <v>-1757432.83212804</v>
      </c>
      <c r="K334" t="n">
        <v>18846848.7961505</v>
      </c>
      <c r="L334" t="n">
        <v>12929159.484039</v>
      </c>
      <c r="M334" t="n">
        <v>5917689.31211147</v>
      </c>
      <c r="N334" t="n">
        <v>7297754.67113097</v>
      </c>
      <c r="O334" t="n">
        <v>-17247634.129733</v>
      </c>
    </row>
    <row r="335">
      <c r="B335" s="106" t="s">
        <v>535</v>
      </c>
      <c r="C335" t="s">
        <v>517</v>
      </c>
      <c r="D335" t="s">
        <v>520</v>
      </c>
      <c r="E335"/>
      <c r="F335" t="n">
        <v>1322527.22823774</v>
      </c>
      <c r="G335" t="n">
        <v>-1706376.90047467</v>
      </c>
      <c r="H335" t="n">
        <v>-474329.612115506</v>
      </c>
      <c r="I335" t="n">
        <v>-17867.9964883911</v>
      </c>
      <c r="J335" t="n">
        <v>-38699977.1199779</v>
      </c>
      <c r="K335" t="n">
        <v>759283283.713275</v>
      </c>
      <c r="L335" t="n">
        <v>318710015.144094</v>
      </c>
      <c r="M335" t="n">
        <v>440573268.56918</v>
      </c>
      <c r="N335" t="n">
        <v>337713780.465617</v>
      </c>
      <c r="O335" t="n">
        <v>-79351633.6942643</v>
      </c>
    </row>
    <row r="336">
      <c r="B336" s="106" t="s">
        <v>535</v>
      </c>
      <c r="C336" t="s">
        <v>521</v>
      </c>
      <c r="D336" t="s">
        <v>522</v>
      </c>
      <c r="E336"/>
      <c r="F336" t="n">
        <v>746.284865354806</v>
      </c>
      <c r="G336" t="n">
        <v>-50576.0498638208</v>
      </c>
      <c r="H336" t="n">
        <v>-14058.8624398088</v>
      </c>
      <c r="I336" t="n">
        <v>-529.597348107596</v>
      </c>
      <c r="J336" t="n">
        <v>-1147045.51614843</v>
      </c>
      <c r="K336" t="n">
        <v>27157321.2485224</v>
      </c>
      <c r="L336" t="n">
        <v>9446385.27018439</v>
      </c>
      <c r="M336" t="n">
        <v>17710935.978338</v>
      </c>
      <c r="N336" t="n">
        <v>13461081.7260684</v>
      </c>
      <c r="O336" t="n">
        <v>-1616808.51280737</v>
      </c>
    </row>
    <row r="337">
      <c r="B337" s="106" t="s">
        <v>535</v>
      </c>
      <c r="C337" t="s">
        <v>521</v>
      </c>
      <c r="D337" t="s">
        <v>523</v>
      </c>
      <c r="E337"/>
      <c r="F337" t="n">
        <v>95823.6091730101</v>
      </c>
      <c r="G337" t="n">
        <v>-160676.245908744</v>
      </c>
      <c r="H337" t="n">
        <v>-44663.931735638</v>
      </c>
      <c r="I337" t="n">
        <v>-1682.49030848148</v>
      </c>
      <c r="J337" t="n">
        <v>-3644075.95922249</v>
      </c>
      <c r="K337" t="n">
        <v>117082710.143252</v>
      </c>
      <c r="L337" t="n">
        <v>30010444.2064511</v>
      </c>
      <c r="M337" t="n">
        <v>87072265.9368011</v>
      </c>
      <c r="N337" t="n">
        <v>51559392.5363707</v>
      </c>
      <c r="O337" t="n">
        <v>-5749416.55038061</v>
      </c>
    </row>
    <row r="338">
      <c r="B338" s="106" t="s">
        <v>535</v>
      </c>
      <c r="C338" t="s">
        <v>524</v>
      </c>
      <c r="D338"/>
      <c r="E338"/>
      <c r="F338" t="n">
        <v>15790.8867677627</v>
      </c>
      <c r="G338" t="n">
        <v>-17047.3526871459</v>
      </c>
      <c r="H338" t="n">
        <v>-81238.7691493505</v>
      </c>
      <c r="I338" t="n">
        <v>-3060.26443385603</v>
      </c>
      <c r="J338" t="n">
        <v>-386627.455379418</v>
      </c>
      <c r="K338" t="n">
        <v>489241051.619533</v>
      </c>
      <c r="L338" t="n">
        <v>0</v>
      </c>
      <c r="M338" t="n">
        <v>489241051.619533</v>
      </c>
      <c r="N338" t="n">
        <v>104607584.950172</v>
      </c>
      <c r="O338" t="n">
        <v>360663853.775701</v>
      </c>
    </row>
    <row r="339">
      <c r="B339" s="106" t="s">
        <v>536</v>
      </c>
      <c r="C339" t="s">
        <v>487</v>
      </c>
      <c r="D339" t="s">
        <v>488</v>
      </c>
      <c r="E339"/>
      <c r="F339" t="n">
        <v>4894.10501684588</v>
      </c>
      <c r="G339" t="n">
        <v>-65119.1273945214</v>
      </c>
      <c r="H339" t="n">
        <v>-18101.4701083733</v>
      </c>
      <c r="I339" t="n">
        <v>-681.960503427467</v>
      </c>
      <c r="J339" t="n">
        <v>-1476876.96636064</v>
      </c>
      <c r="K339" t="n">
        <v>65312576.921755</v>
      </c>
      <c r="L339" t="n">
        <v>12155373.6505404</v>
      </c>
      <c r="M339" t="n">
        <v>53157203.2712147</v>
      </c>
      <c r="N339" t="n">
        <v>0</v>
      </c>
      <c r="O339" t="n">
        <v>62947978.7266717</v>
      </c>
    </row>
    <row r="340">
      <c r="B340" s="106" t="s">
        <v>536</v>
      </c>
      <c r="C340" t="s">
        <v>487</v>
      </c>
      <c r="D340" t="s">
        <v>489</v>
      </c>
      <c r="E340" t="s">
        <v>490</v>
      </c>
      <c r="F340" t="n">
        <v>232.776191212512</v>
      </c>
      <c r="G340" t="n">
        <v>-5366.93144269515</v>
      </c>
      <c r="H340" t="n">
        <v>-624.603178865157</v>
      </c>
      <c r="I340" t="n">
        <v>-22.7915373528968</v>
      </c>
      <c r="J340" t="n">
        <v>-121719.957635981</v>
      </c>
      <c r="K340" t="n">
        <v>974932.993798295</v>
      </c>
      <c r="L340" t="n">
        <v>954599.201270589</v>
      </c>
      <c r="M340" t="n">
        <v>20333.7925277059</v>
      </c>
      <c r="N340" t="n">
        <v>-85336.3656556554</v>
      </c>
      <c r="O340" t="n">
        <v>1663690.78446209</v>
      </c>
    </row>
    <row r="341">
      <c r="B341" s="106" t="s">
        <v>536</v>
      </c>
      <c r="C341" t="s">
        <v>487</v>
      </c>
      <c r="D341" t="s">
        <v>489</v>
      </c>
      <c r="E341" t="s">
        <v>491</v>
      </c>
      <c r="F341" t="n">
        <v>966.124191846619</v>
      </c>
      <c r="G341" t="n">
        <v>-10698.4387356756</v>
      </c>
      <c r="H341" t="n">
        <v>-1255.00300476921</v>
      </c>
      <c r="I341" t="n">
        <v>-45.8154626119072</v>
      </c>
      <c r="J341" t="n">
        <v>-242636.509070744</v>
      </c>
      <c r="K341" t="n">
        <v>2588221.16784098</v>
      </c>
      <c r="L341" t="n">
        <v>1902897.62054229</v>
      </c>
      <c r="M341" t="n">
        <v>685323.547298686</v>
      </c>
      <c r="N341" t="n">
        <v>-172913.937603152</v>
      </c>
      <c r="O341" t="n">
        <v>3983825.73482117</v>
      </c>
    </row>
    <row r="342">
      <c r="B342" s="106" t="s">
        <v>536</v>
      </c>
      <c r="C342" t="s">
        <v>487</v>
      </c>
      <c r="D342" t="s">
        <v>492</v>
      </c>
      <c r="E342" t="s">
        <v>493</v>
      </c>
      <c r="F342" t="n">
        <v>1508.16415169148</v>
      </c>
      <c r="G342" t="n">
        <v>-48733.2924340791</v>
      </c>
      <c r="H342" t="n">
        <v>-1348.67870197107</v>
      </c>
      <c r="I342" t="n">
        <v>-40.0580432477811</v>
      </c>
      <c r="J342" t="n">
        <v>-1105252.48065385</v>
      </c>
      <c r="K342" t="n">
        <v>29662533.875113</v>
      </c>
      <c r="L342" t="n">
        <v>8126284.98639861</v>
      </c>
      <c r="M342" t="n">
        <v>21536248.8887144</v>
      </c>
      <c r="N342" t="n">
        <v>0</v>
      </c>
      <c r="O342" t="n">
        <v>24025054.9364452</v>
      </c>
    </row>
    <row r="343">
      <c r="B343" s="106" t="s">
        <v>536</v>
      </c>
      <c r="C343" t="s">
        <v>487</v>
      </c>
      <c r="D343" t="s">
        <v>492</v>
      </c>
      <c r="E343" t="s">
        <v>494</v>
      </c>
      <c r="F343" t="n">
        <v>270.735328189303</v>
      </c>
      <c r="G343" t="n">
        <v>-30850.5572705711</v>
      </c>
      <c r="H343" t="n">
        <v>-853.779571553473</v>
      </c>
      <c r="I343" t="n">
        <v>-25.3587002978375</v>
      </c>
      <c r="J343" t="n">
        <v>-699678.869408954</v>
      </c>
      <c r="K343" t="n">
        <v>6433747.3990477</v>
      </c>
      <c r="L343" t="n">
        <v>5144335.78870116</v>
      </c>
      <c r="M343" t="n">
        <v>1289411.61034654</v>
      </c>
      <c r="N343" t="n">
        <v>0</v>
      </c>
      <c r="O343" t="n">
        <v>5421745.68231898</v>
      </c>
    </row>
    <row r="344">
      <c r="B344" s="106" t="s">
        <v>536</v>
      </c>
      <c r="C344" t="s">
        <v>487</v>
      </c>
      <c r="D344" t="s">
        <v>495</v>
      </c>
      <c r="E344" t="s">
        <v>496</v>
      </c>
      <c r="F344" t="n">
        <v>164689.419572531</v>
      </c>
      <c r="G344" t="n">
        <v>-36988.8642062734</v>
      </c>
      <c r="H344" t="n">
        <v>-10281.9685420462</v>
      </c>
      <c r="I344" t="n">
        <v>-387.321754978879</v>
      </c>
      <c r="J344" t="n">
        <v>-838893.328946585</v>
      </c>
      <c r="K344" t="n">
        <v>114709511.335683</v>
      </c>
      <c r="L344" t="n">
        <v>6904476.20116878</v>
      </c>
      <c r="M344" t="n">
        <v>107805035.134514</v>
      </c>
      <c r="N344" t="n">
        <v>650139.390895269</v>
      </c>
      <c r="O344" t="n">
        <v>111969487.949185</v>
      </c>
    </row>
    <row r="345">
      <c r="B345" s="106" t="s">
        <v>536</v>
      </c>
      <c r="C345" t="s">
        <v>487</v>
      </c>
      <c r="D345" t="s">
        <v>495</v>
      </c>
      <c r="E345" t="s">
        <v>497</v>
      </c>
      <c r="F345" t="n">
        <v>26393.112047016</v>
      </c>
      <c r="G345" t="n">
        <v>-8599.67593323052</v>
      </c>
      <c r="H345" t="n">
        <v>-2390.492363436</v>
      </c>
      <c r="I345" t="n">
        <v>-90.0498473306342</v>
      </c>
      <c r="J345" t="n">
        <v>-195037.3693893</v>
      </c>
      <c r="K345" t="n">
        <v>29011147.8522618</v>
      </c>
      <c r="L345" t="n">
        <v>1605246.85179935</v>
      </c>
      <c r="M345" t="n">
        <v>27405901.0004625</v>
      </c>
      <c r="N345" t="n">
        <v>505239.349530835</v>
      </c>
      <c r="O345" t="n">
        <v>27773943.9428471</v>
      </c>
    </row>
    <row r="346">
      <c r="B346" s="106" t="s">
        <v>536</v>
      </c>
      <c r="C346" t="s">
        <v>487</v>
      </c>
      <c r="D346" t="s">
        <v>495</v>
      </c>
      <c r="E346" t="s">
        <v>498</v>
      </c>
      <c r="F346" t="n">
        <v>21769.3820521441</v>
      </c>
      <c r="G346" t="n">
        <v>-17346.2512848448</v>
      </c>
      <c r="H346" t="n">
        <v>-4821.81904906811</v>
      </c>
      <c r="I346" t="n">
        <v>-181.637923578396</v>
      </c>
      <c r="J346" t="n">
        <v>-393406.361545416</v>
      </c>
      <c r="K346" t="n">
        <v>9928305.90622134</v>
      </c>
      <c r="L346" t="n">
        <v>3237914.48441912</v>
      </c>
      <c r="M346" t="n">
        <v>6690391.42180222</v>
      </c>
      <c r="N346" t="n">
        <v>-271836.359919463</v>
      </c>
      <c r="O346" t="n">
        <v>9986448.72986209</v>
      </c>
    </row>
    <row r="347">
      <c r="B347" s="106" t="s">
        <v>536</v>
      </c>
      <c r="C347" t="s">
        <v>487</v>
      </c>
      <c r="D347" t="s">
        <v>495</v>
      </c>
      <c r="E347" t="s">
        <v>499</v>
      </c>
      <c r="F347" t="n">
        <v>33757.7762916624</v>
      </c>
      <c r="G347" t="n">
        <v>-49214.8838768682</v>
      </c>
      <c r="H347" t="n">
        <v>-13680.4927288519</v>
      </c>
      <c r="I347" t="n">
        <v>-515.344161095852</v>
      </c>
      <c r="J347" t="n">
        <v>-1116174.79084917</v>
      </c>
      <c r="K347" t="n">
        <v>105075819.098609</v>
      </c>
      <c r="L347" t="n">
        <v>9186629.59144041</v>
      </c>
      <c r="M347" t="n">
        <v>95889189.5071688</v>
      </c>
      <c r="N347" t="n">
        <v>19638.7613267822</v>
      </c>
      <c r="O347" t="n">
        <v>101845617.500395</v>
      </c>
    </row>
    <row r="348">
      <c r="B348" s="106" t="s">
        <v>536</v>
      </c>
      <c r="C348" t="s">
        <v>487</v>
      </c>
      <c r="D348" t="s">
        <v>495</v>
      </c>
      <c r="E348" t="s">
        <v>500</v>
      </c>
      <c r="F348" t="n">
        <v>49177.6043377244</v>
      </c>
      <c r="G348" t="n">
        <v>-55855.4335080694</v>
      </c>
      <c r="H348" t="n">
        <v>-15526.3975403418</v>
      </c>
      <c r="I348" t="n">
        <v>-584.879395344677</v>
      </c>
      <c r="J348" t="n">
        <v>-1266779.92311513</v>
      </c>
      <c r="K348" t="n">
        <v>180944428.73869</v>
      </c>
      <c r="L348" t="n">
        <v>10426178.7875342</v>
      </c>
      <c r="M348" t="n">
        <v>170518249.951156</v>
      </c>
      <c r="N348" t="n">
        <v>13746.860371752</v>
      </c>
      <c r="O348" t="n">
        <v>174489430.330744</v>
      </c>
    </row>
    <row r="349">
      <c r="B349" s="106" t="s">
        <v>536</v>
      </c>
      <c r="C349" t="s">
        <v>487</v>
      </c>
      <c r="D349" t="s">
        <v>495</v>
      </c>
      <c r="E349" t="s">
        <v>501</v>
      </c>
      <c r="F349" t="n">
        <v>148826.253037291</v>
      </c>
      <c r="G349" t="n">
        <v>-155148.132596761</v>
      </c>
      <c r="H349" t="n">
        <v>-43127.2560795894</v>
      </c>
      <c r="I349" t="n">
        <v>-1624.60373651813</v>
      </c>
      <c r="J349" t="n">
        <v>-3518700.45828196</v>
      </c>
      <c r="K349" t="n">
        <v>435247780.397928</v>
      </c>
      <c r="L349" t="n">
        <v>28960515.8784096</v>
      </c>
      <c r="M349" t="n">
        <v>406287264.519518</v>
      </c>
      <c r="N349" t="n">
        <v>102392.319348651</v>
      </c>
      <c r="O349" t="n">
        <v>422763953.693897</v>
      </c>
    </row>
    <row r="350">
      <c r="B350" s="106" t="s">
        <v>536</v>
      </c>
      <c r="C350" t="s">
        <v>502</v>
      </c>
      <c r="D350" t="s">
        <v>503</v>
      </c>
      <c r="E350"/>
      <c r="F350" t="n">
        <v>31273.977154464</v>
      </c>
      <c r="G350" t="n">
        <v>-198847.289653247</v>
      </c>
      <c r="H350" t="n">
        <v>-55274.5163181059</v>
      </c>
      <c r="I350" t="n">
        <v>-2082.42958993527</v>
      </c>
      <c r="J350" t="n">
        <v>-4509780.66909464</v>
      </c>
      <c r="K350" t="n">
        <v>34185079.6758106</v>
      </c>
      <c r="L350" t="n">
        <v>37117559.7991167</v>
      </c>
      <c r="M350" t="n">
        <v>-2932480.1233061</v>
      </c>
      <c r="N350" t="n">
        <v>0</v>
      </c>
      <c r="O350" t="n">
        <v>18670564.361215</v>
      </c>
    </row>
    <row r="351">
      <c r="B351" s="106" t="s">
        <v>536</v>
      </c>
      <c r="C351" t="s">
        <v>502</v>
      </c>
      <c r="D351" t="s">
        <v>504</v>
      </c>
      <c r="E351"/>
      <c r="F351" t="n">
        <v>4170.51339374878</v>
      </c>
      <c r="G351" t="n">
        <v>-63757.3572542576</v>
      </c>
      <c r="H351" t="n">
        <v>-17722.9324578436</v>
      </c>
      <c r="I351" t="n">
        <v>-667.699356394884</v>
      </c>
      <c r="J351" t="n">
        <v>-1445992.53909477</v>
      </c>
      <c r="K351" t="n">
        <v>6862686.83470227</v>
      </c>
      <c r="L351" t="n">
        <v>11340320.4344779</v>
      </c>
      <c r="M351" t="n">
        <v>-4477633.59977564</v>
      </c>
      <c r="N351" t="n">
        <v>13375501.051342</v>
      </c>
      <c r="O351" t="n">
        <v>2489796.49606802</v>
      </c>
    </row>
    <row r="352">
      <c r="B352" s="106" t="s">
        <v>536</v>
      </c>
      <c r="C352" t="s">
        <v>502</v>
      </c>
      <c r="D352" t="s">
        <v>505</v>
      </c>
      <c r="E352" t="s">
        <v>506</v>
      </c>
      <c r="F352" t="n">
        <v>10171.8797047183</v>
      </c>
      <c r="G352" t="n">
        <v>-104196.292461248</v>
      </c>
      <c r="H352" t="n">
        <v>-2883.59996724875</v>
      </c>
      <c r="I352" t="n">
        <v>-85.6478062777535</v>
      </c>
      <c r="J352" t="n">
        <v>-2363132.16213553</v>
      </c>
      <c r="K352" t="n">
        <v>12053704.6719912</v>
      </c>
      <c r="L352" t="n">
        <v>17374749.8840059</v>
      </c>
      <c r="M352" t="n">
        <v>-5321045.21201461</v>
      </c>
      <c r="N352" t="n">
        <v>0</v>
      </c>
      <c r="O352" t="n">
        <v>6072612.1837168</v>
      </c>
    </row>
    <row r="353">
      <c r="B353" s="106" t="s">
        <v>536</v>
      </c>
      <c r="C353" t="s">
        <v>502</v>
      </c>
      <c r="D353" t="s">
        <v>505</v>
      </c>
      <c r="E353" t="s">
        <v>507</v>
      </c>
      <c r="F353" t="n">
        <v>1390.75529636921</v>
      </c>
      <c r="G353" t="n">
        <v>-30926.1094666114</v>
      </c>
      <c r="H353" t="n">
        <v>-855.870455066514</v>
      </c>
      <c r="I353" t="n">
        <v>-25.420803081895</v>
      </c>
      <c r="J353" t="n">
        <v>-701392.364391984</v>
      </c>
      <c r="K353" t="n">
        <v>3361713.95166618</v>
      </c>
      <c r="L353" t="n">
        <v>5156934.13052676</v>
      </c>
      <c r="M353" t="n">
        <v>-1795220.17886059</v>
      </c>
      <c r="N353" t="n">
        <v>0</v>
      </c>
      <c r="O353" t="n">
        <v>830280.911932416</v>
      </c>
    </row>
    <row r="354">
      <c r="B354" s="106" t="s">
        <v>536</v>
      </c>
      <c r="C354" t="s">
        <v>502</v>
      </c>
      <c r="D354" t="s">
        <v>508</v>
      </c>
      <c r="E354" t="s">
        <v>509</v>
      </c>
      <c r="F354" t="n">
        <v>416.252742335152</v>
      </c>
      <c r="G354" t="n">
        <v>-93343.8352586963</v>
      </c>
      <c r="H354" t="n">
        <v>-25947.2248990604</v>
      </c>
      <c r="I354" t="n">
        <v>-977.543948020204</v>
      </c>
      <c r="J354" t="n">
        <v>-2117002.57299408</v>
      </c>
      <c r="K354" t="n">
        <v>10406318.5583788</v>
      </c>
      <c r="L354" t="n">
        <v>17423900.4873305</v>
      </c>
      <c r="M354" t="n">
        <v>-7017581.92895169</v>
      </c>
      <c r="N354" t="n">
        <v>0</v>
      </c>
      <c r="O354" t="n">
        <v>10406318.5583788</v>
      </c>
    </row>
    <row r="355">
      <c r="B355" s="106" t="s">
        <v>536</v>
      </c>
      <c r="C355" t="s">
        <v>502</v>
      </c>
      <c r="D355" t="s">
        <v>508</v>
      </c>
      <c r="E355" t="s">
        <v>510</v>
      </c>
      <c r="F355" t="n">
        <v>264.74232918895</v>
      </c>
      <c r="G355" t="n">
        <v>-36068.4955079173</v>
      </c>
      <c r="H355" t="n">
        <v>-10026.129332708</v>
      </c>
      <c r="I355" t="n">
        <v>-2787.01032523306</v>
      </c>
      <c r="J355" t="n">
        <v>-818019.717988527</v>
      </c>
      <c r="K355" t="n">
        <v>6618558.22972375</v>
      </c>
      <c r="L355" t="n">
        <v>6415389.7567954</v>
      </c>
      <c r="M355" t="n">
        <v>203168.47292835</v>
      </c>
      <c r="N355" t="n">
        <v>0</v>
      </c>
      <c r="O355" t="n">
        <v>6618558.22972375</v>
      </c>
    </row>
    <row r="356">
      <c r="B356" s="106" t="s">
        <v>536</v>
      </c>
      <c r="C356" t="s">
        <v>502</v>
      </c>
      <c r="D356" t="s">
        <v>508</v>
      </c>
      <c r="E356" t="s">
        <v>511</v>
      </c>
      <c r="F356" t="n">
        <v>730.739074340871</v>
      </c>
      <c r="G356" t="n">
        <v>-25711.6962371976</v>
      </c>
      <c r="H356" t="n">
        <v>-711.563191704421</v>
      </c>
      <c r="I356" t="n">
        <v>-19.6922898869689</v>
      </c>
      <c r="J356" t="n">
        <v>-583131.461647527</v>
      </c>
      <c r="K356" t="n">
        <v>18268476.8585218</v>
      </c>
      <c r="L356" t="n">
        <v>4287429.81791784</v>
      </c>
      <c r="M356" t="n">
        <v>13981047.0406039</v>
      </c>
      <c r="N356" t="n">
        <v>0</v>
      </c>
      <c r="O356" t="n">
        <v>18268476.8585218</v>
      </c>
    </row>
    <row r="357">
      <c r="B357" s="106" t="s">
        <v>536</v>
      </c>
      <c r="C357" t="s">
        <v>502</v>
      </c>
      <c r="D357" t="s">
        <v>512</v>
      </c>
      <c r="E357" t="s">
        <v>513</v>
      </c>
      <c r="F357" t="n">
        <v>644.363432313407</v>
      </c>
      <c r="G357" t="n">
        <v>-10391.2214904509</v>
      </c>
      <c r="H357" t="n">
        <v>-2888.4967094124</v>
      </c>
      <c r="I357" t="n">
        <v>-108.822137556014</v>
      </c>
      <c r="J357" t="n">
        <v>-235668.939152427</v>
      </c>
      <c r="K357" t="n">
        <v>9665451.48470111</v>
      </c>
      <c r="L357" t="n">
        <v>1939663.27491946</v>
      </c>
      <c r="M357" t="n">
        <v>7725788.20978165</v>
      </c>
      <c r="N357" t="n">
        <v>0</v>
      </c>
      <c r="O357" t="n">
        <v>9665451.48470111</v>
      </c>
    </row>
    <row r="358">
      <c r="B358" s="106" t="s">
        <v>536</v>
      </c>
      <c r="C358" t="s">
        <v>502</v>
      </c>
      <c r="D358" t="s">
        <v>512</v>
      </c>
      <c r="E358" t="s">
        <v>514</v>
      </c>
      <c r="F358" t="n">
        <v>440.289504963667</v>
      </c>
      <c r="G358" t="n">
        <v>-3426.46819704854</v>
      </c>
      <c r="H358" t="n">
        <v>-952.471480006103</v>
      </c>
      <c r="I358" t="n">
        <v>-264.762976935392</v>
      </c>
      <c r="J358" t="n">
        <v>-77710.9915114437</v>
      </c>
      <c r="K358" t="n">
        <v>6604342.57445501</v>
      </c>
      <c r="L358" t="n">
        <v>609455.112107606</v>
      </c>
      <c r="M358" t="n">
        <v>5994887.46234741</v>
      </c>
      <c r="N358" t="n">
        <v>0</v>
      </c>
      <c r="O358" t="n">
        <v>6604342.57445501</v>
      </c>
    </row>
    <row r="359">
      <c r="B359" s="106" t="s">
        <v>536</v>
      </c>
      <c r="C359" t="s">
        <v>502</v>
      </c>
      <c r="D359" t="s">
        <v>512</v>
      </c>
      <c r="E359" t="s">
        <v>515</v>
      </c>
      <c r="F359" t="n">
        <v>3553.60439702814</v>
      </c>
      <c r="G359" t="n">
        <v>-64150.2332821884</v>
      </c>
      <c r="H359" t="n">
        <v>-1775.33774208249</v>
      </c>
      <c r="I359" t="n">
        <v>-49.1319195145882</v>
      </c>
      <c r="J359" t="n">
        <v>-1454902.81752603</v>
      </c>
      <c r="K359" t="n">
        <v>53304065.9554222</v>
      </c>
      <c r="L359" t="n">
        <v>10697062.5532879</v>
      </c>
      <c r="M359" t="n">
        <v>42607003.4021343</v>
      </c>
      <c r="N359" t="n">
        <v>0</v>
      </c>
      <c r="O359" t="n">
        <v>53304065.9554222</v>
      </c>
    </row>
    <row r="360">
      <c r="B360" s="106" t="s">
        <v>536</v>
      </c>
      <c r="C360" t="s">
        <v>516</v>
      </c>
      <c r="D360"/>
      <c r="E360"/>
      <c r="F360" t="n">
        <v>243303.792177661</v>
      </c>
      <c r="G360" t="n">
        <v>-24079.141021013</v>
      </c>
      <c r="H360" t="n">
        <v>-6693.39207797558</v>
      </c>
      <c r="I360" t="n">
        <v>-252.168967702914</v>
      </c>
      <c r="J360" t="n">
        <v>-546105.732164276</v>
      </c>
      <c r="K360" t="n">
        <v>15814746.491548</v>
      </c>
      <c r="L360" t="n">
        <v>4494700.22104584</v>
      </c>
      <c r="M360" t="n">
        <v>11320046.2705021</v>
      </c>
      <c r="N360" t="n">
        <v>0</v>
      </c>
      <c r="O360" t="n">
        <v>15814746.491548</v>
      </c>
    </row>
    <row r="361">
      <c r="B361" s="106" t="s">
        <v>536</v>
      </c>
      <c r="C361" t="s">
        <v>517</v>
      </c>
      <c r="D361" t="s">
        <v>518</v>
      </c>
      <c r="E361"/>
      <c r="F361" t="n">
        <v>7354.06851729423</v>
      </c>
      <c r="G361" t="n">
        <v>-377737.053720107</v>
      </c>
      <c r="H361" t="n">
        <v>-105001.345319942</v>
      </c>
      <c r="I361" t="n">
        <v>-3955.40067820221</v>
      </c>
      <c r="J361" t="n">
        <v>-8566932.27168604</v>
      </c>
      <c r="K361" t="n">
        <v>75957535.3609782</v>
      </c>
      <c r="L361" t="n">
        <v>70509775.1357221</v>
      </c>
      <c r="M361" t="n">
        <v>5447760.22525608</v>
      </c>
      <c r="N361" t="n">
        <v>23178135.5396681</v>
      </c>
      <c r="O361" t="n">
        <v>-15543302.3349894</v>
      </c>
    </row>
    <row r="362">
      <c r="B362" s="106" t="s">
        <v>536</v>
      </c>
      <c r="C362" t="s">
        <v>517</v>
      </c>
      <c r="D362" t="s">
        <v>519</v>
      </c>
      <c r="E362"/>
      <c r="F362" t="n">
        <v>70800.6415489273</v>
      </c>
      <c r="G362" t="n">
        <v>-78439.8531668524</v>
      </c>
      <c r="H362" t="n">
        <v>-2170.79852536073</v>
      </c>
      <c r="I362" t="n">
        <v>-64.476395366837</v>
      </c>
      <c r="J362" t="n">
        <v>-1778985.94502023</v>
      </c>
      <c r="K362" t="n">
        <v>19022338.4081444</v>
      </c>
      <c r="L362" t="n">
        <v>13079859.153521</v>
      </c>
      <c r="M362" t="n">
        <v>5942479.25462344</v>
      </c>
      <c r="N362" t="n">
        <v>7332299.52850872</v>
      </c>
      <c r="O362" t="n">
        <v>-17643906.8025036</v>
      </c>
    </row>
    <row r="363">
      <c r="B363" s="106" t="s">
        <v>536</v>
      </c>
      <c r="C363" t="s">
        <v>517</v>
      </c>
      <c r="D363" t="s">
        <v>520</v>
      </c>
      <c r="E363"/>
      <c r="F363" t="n">
        <v>1324137.77454275</v>
      </c>
      <c r="G363" t="n">
        <v>-1704899.14705028</v>
      </c>
      <c r="H363" t="n">
        <v>-473918.834046256</v>
      </c>
      <c r="I363" t="n">
        <v>-17852.5224785225</v>
      </c>
      <c r="J363" t="n">
        <v>-38666462.2360758</v>
      </c>
      <c r="K363" t="n">
        <v>745332491.937118</v>
      </c>
      <c r="L363" t="n">
        <v>318242688.409048</v>
      </c>
      <c r="M363" t="n">
        <v>427089803.52807</v>
      </c>
      <c r="N363" t="n">
        <v>167084161.332202</v>
      </c>
      <c r="O363" t="n">
        <v>-79448266.472565</v>
      </c>
    </row>
    <row r="364">
      <c r="B364" s="106" t="s">
        <v>536</v>
      </c>
      <c r="C364" t="s">
        <v>521</v>
      </c>
      <c r="D364" t="s">
        <v>522</v>
      </c>
      <c r="E364"/>
      <c r="F364" t="n">
        <v>787.745135652295</v>
      </c>
      <c r="G364" t="n">
        <v>-52082.0022963451</v>
      </c>
      <c r="H364" t="n">
        <v>-14477.4791199719</v>
      </c>
      <c r="I364" t="n">
        <v>-545.36663844934</v>
      </c>
      <c r="J364" t="n">
        <v>-1181199.94279723</v>
      </c>
      <c r="K364" t="n">
        <v>27680683.4225903</v>
      </c>
      <c r="L364" t="n">
        <v>9721816.36502762</v>
      </c>
      <c r="M364" t="n">
        <v>17958867.0575627</v>
      </c>
      <c r="N364" t="n">
        <v>7821468.81222497</v>
      </c>
      <c r="O364" t="n">
        <v>-1664950.60218256</v>
      </c>
    </row>
    <row r="365">
      <c r="B365" s="106" t="s">
        <v>536</v>
      </c>
      <c r="C365" t="s">
        <v>521</v>
      </c>
      <c r="D365" t="s">
        <v>523</v>
      </c>
      <c r="E365"/>
      <c r="F365" t="n">
        <v>95163.1858382676</v>
      </c>
      <c r="G365" t="n">
        <v>-159568.853450322</v>
      </c>
      <c r="H365" t="n">
        <v>-44356.1046459037</v>
      </c>
      <c r="I365" t="n">
        <v>-1670.89446201119</v>
      </c>
      <c r="J365" t="n">
        <v>-3618960.7207357</v>
      </c>
      <c r="K365" t="n">
        <v>115018704.872463</v>
      </c>
      <c r="L365" t="n">
        <v>29785703.7445523</v>
      </c>
      <c r="M365" t="n">
        <v>85233001.1279103</v>
      </c>
      <c r="N365" t="n">
        <v>20512450.9104056</v>
      </c>
      <c r="O365" t="n">
        <v>-5709791.15029605</v>
      </c>
    </row>
    <row r="366">
      <c r="B366" s="106" t="s">
        <v>536</v>
      </c>
      <c r="C366" t="s">
        <v>524</v>
      </c>
      <c r="D366"/>
      <c r="E366"/>
      <c r="F366" t="n">
        <v>17031.5636855996</v>
      </c>
      <c r="G366" t="n">
        <v>-17392.0303587331</v>
      </c>
      <c r="H366" t="n">
        <v>-82893.3049107682</v>
      </c>
      <c r="I366" t="n">
        <v>-3122.59079598864</v>
      </c>
      <c r="J366" t="n">
        <v>-394444.613476484</v>
      </c>
      <c r="K366" t="n">
        <v>527680253.980594</v>
      </c>
      <c r="L366" t="n">
        <v>0</v>
      </c>
      <c r="M366" t="n">
        <v>527680253.980594</v>
      </c>
      <c r="N366" t="n">
        <v>104570498.851819</v>
      </c>
      <c r="O366" t="n">
        <v>389000914.579094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482</v>
      </c>
      <c r="D2" t="s">
        <v>483</v>
      </c>
      <c r="E2" t="s">
        <v>484</v>
      </c>
      <c r="F2" t="s">
        <v>485</v>
      </c>
    </row>
    <row r="3">
      <c r="B3" t="s">
        <v>486</v>
      </c>
      <c r="C3" t="s">
        <v>487</v>
      </c>
      <c r="D3" t="s">
        <v>488</v>
      </c>
      <c r="E3"/>
      <c r="F3" t="n">
        <v>0</v>
      </c>
    </row>
    <row r="4">
      <c r="B4" t="s">
        <v>486</v>
      </c>
      <c r="C4" t="s">
        <v>487</v>
      </c>
      <c r="D4" t="s">
        <v>489</v>
      </c>
      <c r="E4" t="s">
        <v>490</v>
      </c>
      <c r="F4" t="n">
        <v>4.38254485793769</v>
      </c>
    </row>
    <row r="5">
      <c r="B5" t="s">
        <v>486</v>
      </c>
      <c r="C5" t="s">
        <v>487</v>
      </c>
      <c r="D5" t="s">
        <v>489</v>
      </c>
      <c r="E5" t="s">
        <v>491</v>
      </c>
      <c r="F5" t="n">
        <v>18.1895003395821</v>
      </c>
    </row>
    <row r="6">
      <c r="B6" t="s">
        <v>486</v>
      </c>
      <c r="C6" t="s">
        <v>487</v>
      </c>
      <c r="D6" t="s">
        <v>492</v>
      </c>
      <c r="E6" t="s">
        <v>493</v>
      </c>
      <c r="F6" t="n">
        <v>0</v>
      </c>
    </row>
    <row r="7">
      <c r="B7" t="s">
        <v>486</v>
      </c>
      <c r="C7" t="s">
        <v>487</v>
      </c>
      <c r="D7" t="s">
        <v>492</v>
      </c>
      <c r="E7" t="s">
        <v>494</v>
      </c>
      <c r="F7" t="n">
        <v>0</v>
      </c>
    </row>
    <row r="8">
      <c r="B8" t="s">
        <v>486</v>
      </c>
      <c r="C8" t="s">
        <v>487</v>
      </c>
      <c r="D8" t="s">
        <v>495</v>
      </c>
      <c r="E8" t="s">
        <v>496</v>
      </c>
      <c r="F8" t="n">
        <v>3852.72083793317</v>
      </c>
    </row>
    <row r="9">
      <c r="B9" t="s">
        <v>486</v>
      </c>
      <c r="C9" t="s">
        <v>487</v>
      </c>
      <c r="D9" t="s">
        <v>495</v>
      </c>
      <c r="E9" t="s">
        <v>497</v>
      </c>
      <c r="F9" t="n">
        <v>730.482008505713</v>
      </c>
    </row>
    <row r="10">
      <c r="B10" t="s">
        <v>486</v>
      </c>
      <c r="C10" t="s">
        <v>487</v>
      </c>
      <c r="D10" t="s">
        <v>495</v>
      </c>
      <c r="E10" t="s">
        <v>498</v>
      </c>
      <c r="F10" t="n">
        <v>273.413973188405</v>
      </c>
    </row>
    <row r="11">
      <c r="B11" t="s">
        <v>486</v>
      </c>
      <c r="C11" t="s">
        <v>487</v>
      </c>
      <c r="D11" t="s">
        <v>495</v>
      </c>
      <c r="E11" t="s">
        <v>499</v>
      </c>
      <c r="F11" t="n">
        <v>1312.09914342134</v>
      </c>
    </row>
    <row r="12">
      <c r="B12" t="s">
        <v>486</v>
      </c>
      <c r="C12" t="s">
        <v>487</v>
      </c>
      <c r="D12" t="s">
        <v>495</v>
      </c>
      <c r="E12" t="s">
        <v>500</v>
      </c>
      <c r="F12" t="n">
        <v>942.913031358263</v>
      </c>
    </row>
    <row r="13">
      <c r="B13" t="s">
        <v>486</v>
      </c>
      <c r="C13" t="s">
        <v>487</v>
      </c>
      <c r="D13" t="s">
        <v>495</v>
      </c>
      <c r="E13" t="s">
        <v>501</v>
      </c>
      <c r="F13" t="n">
        <v>6874.16005912171</v>
      </c>
    </row>
    <row r="14">
      <c r="B14" t="s">
        <v>486</v>
      </c>
      <c r="C14" t="s">
        <v>502</v>
      </c>
      <c r="D14" t="s">
        <v>503</v>
      </c>
      <c r="E14"/>
      <c r="F14" t="n">
        <v>2002.33663779669</v>
      </c>
    </row>
    <row r="15">
      <c r="B15" t="s">
        <v>486</v>
      </c>
      <c r="C15" t="s">
        <v>502</v>
      </c>
      <c r="D15" t="s">
        <v>504</v>
      </c>
      <c r="E15"/>
      <c r="F15" t="n">
        <v>84.009997948506</v>
      </c>
    </row>
    <row r="16">
      <c r="B16" t="s">
        <v>486</v>
      </c>
      <c r="C16" t="s">
        <v>502</v>
      </c>
      <c r="D16" t="s">
        <v>505</v>
      </c>
      <c r="E16" t="s">
        <v>506</v>
      </c>
      <c r="F16" t="n">
        <v>572.446156631481</v>
      </c>
    </row>
    <row r="17">
      <c r="B17" t="s">
        <v>486</v>
      </c>
      <c r="C17" t="s">
        <v>502</v>
      </c>
      <c r="D17" t="s">
        <v>505</v>
      </c>
      <c r="E17" t="s">
        <v>507</v>
      </c>
      <c r="F17" t="n">
        <v>20.37090909589</v>
      </c>
    </row>
    <row r="18">
      <c r="B18" t="s">
        <v>486</v>
      </c>
      <c r="C18" t="s">
        <v>502</v>
      </c>
      <c r="D18" t="s">
        <v>508</v>
      </c>
      <c r="E18" t="s">
        <v>509</v>
      </c>
      <c r="F18" t="n">
        <v>26.6508513594041</v>
      </c>
    </row>
    <row r="19">
      <c r="B19" t="s">
        <v>486</v>
      </c>
      <c r="C19" t="s">
        <v>502</v>
      </c>
      <c r="D19" t="s">
        <v>508</v>
      </c>
      <c r="E19" t="s">
        <v>510</v>
      </c>
      <c r="F19" t="n">
        <v>0</v>
      </c>
    </row>
    <row r="20">
      <c r="B20" t="s">
        <v>486</v>
      </c>
      <c r="C20" t="s">
        <v>502</v>
      </c>
      <c r="D20" t="s">
        <v>508</v>
      </c>
      <c r="E20" t="s">
        <v>511</v>
      </c>
      <c r="F20" t="n">
        <v>0</v>
      </c>
    </row>
    <row r="21">
      <c r="B21" t="s">
        <v>486</v>
      </c>
      <c r="C21" t="s">
        <v>502</v>
      </c>
      <c r="D21" t="s">
        <v>512</v>
      </c>
      <c r="E21" t="s">
        <v>513</v>
      </c>
      <c r="F21" t="n">
        <v>40.8773785379502</v>
      </c>
    </row>
    <row r="22">
      <c r="B22" t="s">
        <v>486</v>
      </c>
      <c r="C22" t="s">
        <v>502</v>
      </c>
      <c r="D22" t="s">
        <v>512</v>
      </c>
      <c r="E22" t="s">
        <v>514</v>
      </c>
      <c r="F22" t="n">
        <v>14.0360550820325</v>
      </c>
    </row>
    <row r="23">
      <c r="B23" t="s">
        <v>486</v>
      </c>
      <c r="C23" t="s">
        <v>502</v>
      </c>
      <c r="D23" t="s">
        <v>512</v>
      </c>
      <c r="E23" t="s">
        <v>515</v>
      </c>
      <c r="F23" t="n">
        <v>241.718376986907</v>
      </c>
    </row>
    <row r="24">
      <c r="B24" t="s">
        <v>486</v>
      </c>
      <c r="C24" t="s">
        <v>516</v>
      </c>
      <c r="D24"/>
      <c r="E24"/>
      <c r="F24" t="n">
        <v>6802.85288216341</v>
      </c>
    </row>
    <row r="25">
      <c r="B25" t="s">
        <v>486</v>
      </c>
      <c r="C25" t="s">
        <v>517</v>
      </c>
      <c r="D25" t="s">
        <v>518</v>
      </c>
      <c r="E25"/>
      <c r="F25" t="n">
        <v>774.112475504656</v>
      </c>
    </row>
    <row r="26">
      <c r="B26" t="s">
        <v>486</v>
      </c>
      <c r="C26" t="s">
        <v>517</v>
      </c>
      <c r="D26" t="s">
        <v>519</v>
      </c>
      <c r="E26"/>
      <c r="F26" t="n">
        <v>7452.6991104134</v>
      </c>
    </row>
    <row r="27">
      <c r="B27" t="s">
        <v>486</v>
      </c>
      <c r="C27" t="s">
        <v>517</v>
      </c>
      <c r="D27" t="s">
        <v>520</v>
      </c>
      <c r="E27"/>
      <c r="F27" t="n">
        <v>65047.5242600472</v>
      </c>
    </row>
    <row r="28">
      <c r="B28" t="s">
        <v>486</v>
      </c>
      <c r="C28" t="s">
        <v>521</v>
      </c>
      <c r="D28" t="s">
        <v>522</v>
      </c>
      <c r="E28"/>
      <c r="F28" t="n">
        <v>82.9205405949784</v>
      </c>
    </row>
    <row r="29">
      <c r="B29" t="s">
        <v>486</v>
      </c>
      <c r="C29" t="s">
        <v>521</v>
      </c>
      <c r="D29" t="s">
        <v>523</v>
      </c>
      <c r="E29"/>
      <c r="F29" t="n">
        <v>3404.21893223523</v>
      </c>
    </row>
    <row r="30">
      <c r="B30" t="s">
        <v>486</v>
      </c>
      <c r="C30" t="s">
        <v>524</v>
      </c>
      <c r="D30"/>
      <c r="E30"/>
      <c r="F30" t="n">
        <v>2068.92915531995</v>
      </c>
    </row>
    <row r="31">
      <c r="B31" t="s">
        <v>525</v>
      </c>
      <c r="C31" t="s">
        <v>487</v>
      </c>
      <c r="D31" t="s">
        <v>488</v>
      </c>
      <c r="E31"/>
      <c r="F31" t="n">
        <v>0</v>
      </c>
    </row>
    <row r="32">
      <c r="B32" t="s">
        <v>525</v>
      </c>
      <c r="C32" t="s">
        <v>487</v>
      </c>
      <c r="D32" t="s">
        <v>489</v>
      </c>
      <c r="E32" t="s">
        <v>490</v>
      </c>
      <c r="F32" t="n">
        <v>6.57381728690653</v>
      </c>
    </row>
    <row r="33">
      <c r="B33" t="s">
        <v>525</v>
      </c>
      <c r="C33" t="s">
        <v>487</v>
      </c>
      <c r="D33" t="s">
        <v>489</v>
      </c>
      <c r="E33" t="s">
        <v>491</v>
      </c>
      <c r="F33" t="n">
        <v>27.2842505093731</v>
      </c>
    </row>
    <row r="34">
      <c r="B34" t="s">
        <v>525</v>
      </c>
      <c r="C34" t="s">
        <v>487</v>
      </c>
      <c r="D34" t="s">
        <v>492</v>
      </c>
      <c r="E34" t="s">
        <v>493</v>
      </c>
      <c r="F34" t="n">
        <v>0</v>
      </c>
    </row>
    <row r="35">
      <c r="B35" t="s">
        <v>525</v>
      </c>
      <c r="C35" t="s">
        <v>487</v>
      </c>
      <c r="D35" t="s">
        <v>492</v>
      </c>
      <c r="E35" t="s">
        <v>494</v>
      </c>
      <c r="F35" t="n">
        <v>0</v>
      </c>
    </row>
    <row r="36">
      <c r="B36" t="s">
        <v>525</v>
      </c>
      <c r="C36" t="s">
        <v>487</v>
      </c>
      <c r="D36" t="s">
        <v>495</v>
      </c>
      <c r="E36" t="s">
        <v>496</v>
      </c>
      <c r="F36" t="n">
        <v>6029.963212807</v>
      </c>
    </row>
    <row r="37">
      <c r="B37" t="s">
        <v>525</v>
      </c>
      <c r="C37" t="s">
        <v>487</v>
      </c>
      <c r="D37" t="s">
        <v>495</v>
      </c>
      <c r="E37" t="s">
        <v>497</v>
      </c>
      <c r="F37" t="n">
        <v>1143.29063126977</v>
      </c>
    </row>
    <row r="38">
      <c r="B38" t="s">
        <v>525</v>
      </c>
      <c r="C38" t="s">
        <v>487</v>
      </c>
      <c r="D38" t="s">
        <v>495</v>
      </c>
      <c r="E38" t="s">
        <v>498</v>
      </c>
      <c r="F38" t="n">
        <v>427.925164979752</v>
      </c>
    </row>
    <row r="39">
      <c r="B39" t="s">
        <v>525</v>
      </c>
      <c r="C39" t="s">
        <v>487</v>
      </c>
      <c r="D39" t="s">
        <v>495</v>
      </c>
      <c r="E39" t="s">
        <v>499</v>
      </c>
      <c r="F39" t="n">
        <v>2053.59015075452</v>
      </c>
    </row>
    <row r="40">
      <c r="B40" t="s">
        <v>525</v>
      </c>
      <c r="C40" t="s">
        <v>487</v>
      </c>
      <c r="D40" t="s">
        <v>495</v>
      </c>
      <c r="E40" t="s">
        <v>500</v>
      </c>
      <c r="F40" t="n">
        <v>1475.77027538201</v>
      </c>
    </row>
    <row r="41">
      <c r="B41" t="s">
        <v>525</v>
      </c>
      <c r="C41" t="s">
        <v>487</v>
      </c>
      <c r="D41" t="s">
        <v>495</v>
      </c>
      <c r="E41" t="s">
        <v>501</v>
      </c>
      <c r="F41" t="n">
        <v>10758.8725005282</v>
      </c>
    </row>
    <row r="42">
      <c r="B42" t="s">
        <v>525</v>
      </c>
      <c r="C42" t="s">
        <v>502</v>
      </c>
      <c r="D42" t="s">
        <v>503</v>
      </c>
      <c r="E42"/>
      <c r="F42" t="n">
        <v>3003.50495669504</v>
      </c>
    </row>
    <row r="43">
      <c r="B43" t="s">
        <v>525</v>
      </c>
      <c r="C43" t="s">
        <v>502</v>
      </c>
      <c r="D43" t="s">
        <v>504</v>
      </c>
      <c r="E43"/>
      <c r="F43" t="n">
        <v>126.014996922759</v>
      </c>
    </row>
    <row r="44">
      <c r="B44" t="s">
        <v>525</v>
      </c>
      <c r="C44" t="s">
        <v>502</v>
      </c>
      <c r="D44" t="s">
        <v>505</v>
      </c>
      <c r="E44" t="s">
        <v>506</v>
      </c>
      <c r="F44" t="n">
        <v>858.669234947221</v>
      </c>
    </row>
    <row r="45">
      <c r="B45" t="s">
        <v>525</v>
      </c>
      <c r="C45" t="s">
        <v>502</v>
      </c>
      <c r="D45" t="s">
        <v>505</v>
      </c>
      <c r="E45" t="s">
        <v>507</v>
      </c>
      <c r="F45" t="n">
        <v>30.5563636438351</v>
      </c>
    </row>
    <row r="46">
      <c r="B46" t="s">
        <v>525</v>
      </c>
      <c r="C46" t="s">
        <v>502</v>
      </c>
      <c r="D46" t="s">
        <v>508</v>
      </c>
      <c r="E46" t="s">
        <v>509</v>
      </c>
      <c r="F46" t="n">
        <v>39.9762770391062</v>
      </c>
    </row>
    <row r="47">
      <c r="B47" t="s">
        <v>525</v>
      </c>
      <c r="C47" t="s">
        <v>502</v>
      </c>
      <c r="D47" t="s">
        <v>508</v>
      </c>
      <c r="E47" t="s">
        <v>510</v>
      </c>
      <c r="F47" t="n">
        <v>0</v>
      </c>
    </row>
    <row r="48">
      <c r="B48" t="s">
        <v>525</v>
      </c>
      <c r="C48" t="s">
        <v>502</v>
      </c>
      <c r="D48" t="s">
        <v>508</v>
      </c>
      <c r="E48" t="s">
        <v>511</v>
      </c>
      <c r="F48" t="n">
        <v>0</v>
      </c>
    </row>
    <row r="49">
      <c r="B49" t="s">
        <v>525</v>
      </c>
      <c r="C49" t="s">
        <v>502</v>
      </c>
      <c r="D49" t="s">
        <v>512</v>
      </c>
      <c r="E49" t="s">
        <v>513</v>
      </c>
      <c r="F49" t="n">
        <v>61.3160678069253</v>
      </c>
    </row>
    <row r="50">
      <c r="B50" t="s">
        <v>525</v>
      </c>
      <c r="C50" t="s">
        <v>502</v>
      </c>
      <c r="D50" t="s">
        <v>512</v>
      </c>
      <c r="E50" t="s">
        <v>514</v>
      </c>
      <c r="F50" t="n">
        <v>21.0540826230487</v>
      </c>
    </row>
    <row r="51">
      <c r="B51" t="s">
        <v>525</v>
      </c>
      <c r="C51" t="s">
        <v>502</v>
      </c>
      <c r="D51" t="s">
        <v>512</v>
      </c>
      <c r="E51" t="s">
        <v>515</v>
      </c>
      <c r="F51" t="n">
        <v>362.577565480361</v>
      </c>
    </row>
    <row r="52">
      <c r="B52" t="s">
        <v>525</v>
      </c>
      <c r="C52" t="s">
        <v>516</v>
      </c>
      <c r="D52"/>
      <c r="E52"/>
      <c r="F52" t="n">
        <v>10647.2683454505</v>
      </c>
    </row>
    <row r="53">
      <c r="B53" t="s">
        <v>525</v>
      </c>
      <c r="C53" t="s">
        <v>517</v>
      </c>
      <c r="D53" t="s">
        <v>518</v>
      </c>
      <c r="E53"/>
      <c r="F53" t="n">
        <v>1161.16871325698</v>
      </c>
    </row>
    <row r="54">
      <c r="B54" t="s">
        <v>525</v>
      </c>
      <c r="C54" t="s">
        <v>517</v>
      </c>
      <c r="D54" t="s">
        <v>519</v>
      </c>
      <c r="E54"/>
      <c r="F54" t="n">
        <v>11179.0486656201</v>
      </c>
    </row>
    <row r="55">
      <c r="B55" t="s">
        <v>525</v>
      </c>
      <c r="C55" t="s">
        <v>517</v>
      </c>
      <c r="D55" t="s">
        <v>520</v>
      </c>
      <c r="E55"/>
      <c r="F55" t="n">
        <v>101706.401366135</v>
      </c>
    </row>
    <row r="56">
      <c r="B56" t="s">
        <v>525</v>
      </c>
      <c r="C56" t="s">
        <v>521</v>
      </c>
      <c r="D56" t="s">
        <v>522</v>
      </c>
      <c r="E56"/>
      <c r="F56" t="n">
        <v>124.380810892468</v>
      </c>
    </row>
    <row r="57">
      <c r="B57" t="s">
        <v>525</v>
      </c>
      <c r="C57" t="s">
        <v>521</v>
      </c>
      <c r="D57" t="s">
        <v>523</v>
      </c>
      <c r="E57"/>
      <c r="F57" t="n">
        <v>5326.98970407603</v>
      </c>
    </row>
    <row r="58">
      <c r="B58" t="s">
        <v>525</v>
      </c>
      <c r="C58" t="s">
        <v>524</v>
      </c>
      <c r="D58"/>
      <c r="E58"/>
      <c r="F58" t="n">
        <v>3230.95758996248</v>
      </c>
    </row>
    <row r="59">
      <c r="B59" t="s">
        <v>526</v>
      </c>
      <c r="C59" t="s">
        <v>487</v>
      </c>
      <c r="D59" t="s">
        <v>488</v>
      </c>
      <c r="E59"/>
      <c r="F59" t="n">
        <v>0</v>
      </c>
    </row>
    <row r="60">
      <c r="B60" t="s">
        <v>526</v>
      </c>
      <c r="C60" t="s">
        <v>487</v>
      </c>
      <c r="D60" t="s">
        <v>489</v>
      </c>
      <c r="E60" t="s">
        <v>490</v>
      </c>
      <c r="F60" t="n">
        <v>8.76508971587537</v>
      </c>
    </row>
    <row r="61">
      <c r="B61" t="s">
        <v>526</v>
      </c>
      <c r="C61" t="s">
        <v>487</v>
      </c>
      <c r="D61" t="s">
        <v>489</v>
      </c>
      <c r="E61" t="s">
        <v>491</v>
      </c>
      <c r="F61" t="n">
        <v>36.3790006791642</v>
      </c>
    </row>
    <row r="62">
      <c r="B62" t="s">
        <v>526</v>
      </c>
      <c r="C62" t="s">
        <v>487</v>
      </c>
      <c r="D62" t="s">
        <v>492</v>
      </c>
      <c r="E62" t="s">
        <v>493</v>
      </c>
      <c r="F62" t="n">
        <v>0</v>
      </c>
    </row>
    <row r="63">
      <c r="B63" t="s">
        <v>526</v>
      </c>
      <c r="C63" t="s">
        <v>487</v>
      </c>
      <c r="D63" t="s">
        <v>492</v>
      </c>
      <c r="E63" t="s">
        <v>494</v>
      </c>
      <c r="F63" t="n">
        <v>0</v>
      </c>
    </row>
    <row r="64">
      <c r="B64" t="s">
        <v>526</v>
      </c>
      <c r="C64" t="s">
        <v>487</v>
      </c>
      <c r="D64" t="s">
        <v>495</v>
      </c>
      <c r="E64" t="s">
        <v>496</v>
      </c>
      <c r="F64" t="n">
        <v>8402.9534742933</v>
      </c>
    </row>
    <row r="65">
      <c r="B65" t="s">
        <v>526</v>
      </c>
      <c r="C65" t="s">
        <v>487</v>
      </c>
      <c r="D65" t="s">
        <v>495</v>
      </c>
      <c r="E65" t="s">
        <v>497</v>
      </c>
      <c r="F65" t="n">
        <v>1593.2133651746</v>
      </c>
    </row>
    <row r="66">
      <c r="B66" t="s">
        <v>526</v>
      </c>
      <c r="C66" t="s">
        <v>487</v>
      </c>
      <c r="D66" t="s">
        <v>495</v>
      </c>
      <c r="E66" t="s">
        <v>498</v>
      </c>
      <c r="F66" t="n">
        <v>596.327892045339</v>
      </c>
    </row>
    <row r="67">
      <c r="B67" t="s">
        <v>526</v>
      </c>
      <c r="C67" t="s">
        <v>487</v>
      </c>
      <c r="D67" t="s">
        <v>495</v>
      </c>
      <c r="E67" t="s">
        <v>499</v>
      </c>
      <c r="F67" t="n">
        <v>2861.74589845039</v>
      </c>
    </row>
    <row r="68">
      <c r="B68" t="s">
        <v>526</v>
      </c>
      <c r="C68" t="s">
        <v>487</v>
      </c>
      <c r="D68" t="s">
        <v>495</v>
      </c>
      <c r="E68" t="s">
        <v>500</v>
      </c>
      <c r="F68" t="n">
        <v>2056.53476234184</v>
      </c>
    </row>
    <row r="69">
      <c r="B69" t="s">
        <v>526</v>
      </c>
      <c r="C69" t="s">
        <v>487</v>
      </c>
      <c r="D69" t="s">
        <v>495</v>
      </c>
      <c r="E69" t="s">
        <v>501</v>
      </c>
      <c r="F69" t="n">
        <v>14992.8452077085</v>
      </c>
    </row>
    <row r="70">
      <c r="B70" t="s">
        <v>526</v>
      </c>
      <c r="C70" t="s">
        <v>502</v>
      </c>
      <c r="D70" t="s">
        <v>503</v>
      </c>
      <c r="E70"/>
      <c r="F70" t="n">
        <v>4004.67327559339</v>
      </c>
    </row>
    <row r="71">
      <c r="B71" t="s">
        <v>526</v>
      </c>
      <c r="C71" t="s">
        <v>502</v>
      </c>
      <c r="D71" t="s">
        <v>504</v>
      </c>
      <c r="E71"/>
      <c r="F71" t="n">
        <v>168.019995897012</v>
      </c>
    </row>
    <row r="72">
      <c r="B72" t="s">
        <v>526</v>
      </c>
      <c r="C72" t="s">
        <v>502</v>
      </c>
      <c r="D72" t="s">
        <v>505</v>
      </c>
      <c r="E72" t="s">
        <v>506</v>
      </c>
      <c r="F72" t="n">
        <v>1144.89231326296</v>
      </c>
    </row>
    <row r="73">
      <c r="B73" t="s">
        <v>526</v>
      </c>
      <c r="C73" t="s">
        <v>502</v>
      </c>
      <c r="D73" t="s">
        <v>505</v>
      </c>
      <c r="E73" t="s">
        <v>507</v>
      </c>
      <c r="F73" t="n">
        <v>40.7418181917801</v>
      </c>
    </row>
    <row r="74">
      <c r="B74" t="s">
        <v>526</v>
      </c>
      <c r="C74" t="s">
        <v>502</v>
      </c>
      <c r="D74" t="s">
        <v>508</v>
      </c>
      <c r="E74" t="s">
        <v>509</v>
      </c>
      <c r="F74" t="n">
        <v>53.3017027188082</v>
      </c>
    </row>
    <row r="75">
      <c r="B75" t="s">
        <v>526</v>
      </c>
      <c r="C75" t="s">
        <v>502</v>
      </c>
      <c r="D75" t="s">
        <v>508</v>
      </c>
      <c r="E75" t="s">
        <v>510</v>
      </c>
      <c r="F75" t="n">
        <v>0</v>
      </c>
    </row>
    <row r="76">
      <c r="B76" t="s">
        <v>526</v>
      </c>
      <c r="C76" t="s">
        <v>502</v>
      </c>
      <c r="D76" t="s">
        <v>508</v>
      </c>
      <c r="E76" t="s">
        <v>511</v>
      </c>
      <c r="F76" t="n">
        <v>0</v>
      </c>
    </row>
    <row r="77">
      <c r="B77" t="s">
        <v>526</v>
      </c>
      <c r="C77" t="s">
        <v>502</v>
      </c>
      <c r="D77" t="s">
        <v>512</v>
      </c>
      <c r="E77" t="s">
        <v>513</v>
      </c>
      <c r="F77" t="n">
        <v>81.7547570759003</v>
      </c>
    </row>
    <row r="78">
      <c r="B78" t="s">
        <v>526</v>
      </c>
      <c r="C78" t="s">
        <v>502</v>
      </c>
      <c r="D78" t="s">
        <v>512</v>
      </c>
      <c r="E78" t="s">
        <v>514</v>
      </c>
      <c r="F78" t="n">
        <v>28.072110164065</v>
      </c>
    </row>
    <row r="79">
      <c r="B79" t="s">
        <v>526</v>
      </c>
      <c r="C79" t="s">
        <v>502</v>
      </c>
      <c r="D79" t="s">
        <v>512</v>
      </c>
      <c r="E79" t="s">
        <v>515</v>
      </c>
      <c r="F79" t="n">
        <v>483.436753973815</v>
      </c>
    </row>
    <row r="80">
      <c r="B80" t="s">
        <v>526</v>
      </c>
      <c r="C80" t="s">
        <v>516</v>
      </c>
      <c r="D80"/>
      <c r="E80"/>
      <c r="F80" t="n">
        <v>14837.3211208179</v>
      </c>
    </row>
    <row r="81">
      <c r="B81" t="s">
        <v>526</v>
      </c>
      <c r="C81" t="s">
        <v>517</v>
      </c>
      <c r="D81" t="s">
        <v>518</v>
      </c>
      <c r="E81"/>
      <c r="F81" t="n">
        <v>1548.22495100931</v>
      </c>
    </row>
    <row r="82">
      <c r="B82" t="s">
        <v>526</v>
      </c>
      <c r="C82" t="s">
        <v>517</v>
      </c>
      <c r="D82" t="s">
        <v>519</v>
      </c>
      <c r="E82"/>
      <c r="F82" t="n">
        <v>14905.3982208268</v>
      </c>
    </row>
    <row r="83">
      <c r="B83" t="s">
        <v>526</v>
      </c>
      <c r="C83" t="s">
        <v>517</v>
      </c>
      <c r="D83" t="s">
        <v>520</v>
      </c>
      <c r="E83"/>
      <c r="F83" t="n">
        <v>141602.83625327</v>
      </c>
    </row>
    <row r="84">
      <c r="B84" t="s">
        <v>526</v>
      </c>
      <c r="C84" t="s">
        <v>521</v>
      </c>
      <c r="D84" t="s">
        <v>522</v>
      </c>
      <c r="E84"/>
      <c r="F84" t="n">
        <v>165.841081189957</v>
      </c>
    </row>
    <row r="85">
      <c r="B85" t="s">
        <v>526</v>
      </c>
      <c r="C85" t="s">
        <v>521</v>
      </c>
      <c r="D85" t="s">
        <v>523</v>
      </c>
      <c r="E85"/>
      <c r="F85" t="n">
        <v>7422.06945544474</v>
      </c>
    </row>
    <row r="86">
      <c r="B86" t="s">
        <v>526</v>
      </c>
      <c r="C86" t="s">
        <v>524</v>
      </c>
      <c r="D86"/>
      <c r="E86"/>
      <c r="F86" t="n">
        <v>4494.42750122454</v>
      </c>
    </row>
    <row r="87">
      <c r="B87" t="s">
        <v>527</v>
      </c>
      <c r="C87" t="s">
        <v>487</v>
      </c>
      <c r="D87" t="s">
        <v>488</v>
      </c>
      <c r="E87"/>
      <c r="F87" t="n">
        <v>5245.90849696717</v>
      </c>
    </row>
    <row r="88">
      <c r="B88" t="s">
        <v>527</v>
      </c>
      <c r="C88" t="s">
        <v>487</v>
      </c>
      <c r="D88" t="s">
        <v>489</v>
      </c>
      <c r="E88" t="s">
        <v>490</v>
      </c>
      <c r="F88" t="n">
        <v>228.236284159331</v>
      </c>
    </row>
    <row r="89">
      <c r="B89" t="s">
        <v>527</v>
      </c>
      <c r="C89" t="s">
        <v>487</v>
      </c>
      <c r="D89" t="s">
        <v>489</v>
      </c>
      <c r="E89" t="s">
        <v>491</v>
      </c>
      <c r="F89" t="n">
        <v>947.28156876749</v>
      </c>
    </row>
    <row r="90">
      <c r="B90" t="s">
        <v>527</v>
      </c>
      <c r="C90" t="s">
        <v>487</v>
      </c>
      <c r="D90" t="s">
        <v>492</v>
      </c>
      <c r="E90" t="s">
        <v>493</v>
      </c>
      <c r="F90" t="n">
        <v>1613.02870938833</v>
      </c>
    </row>
    <row r="91">
      <c r="B91" t="s">
        <v>527</v>
      </c>
      <c r="C91" t="s">
        <v>487</v>
      </c>
      <c r="D91" t="s">
        <v>492</v>
      </c>
      <c r="E91" t="s">
        <v>494</v>
      </c>
      <c r="F91" t="n">
        <v>295.596048801364</v>
      </c>
    </row>
    <row r="92">
      <c r="B92" t="s">
        <v>527</v>
      </c>
      <c r="C92" t="s">
        <v>487</v>
      </c>
      <c r="D92" t="s">
        <v>495</v>
      </c>
      <c r="E92" t="s">
        <v>496</v>
      </c>
      <c r="F92" t="n">
        <v>216999.154395943</v>
      </c>
    </row>
    <row r="93">
      <c r="B93" t="s">
        <v>527</v>
      </c>
      <c r="C93" t="s">
        <v>487</v>
      </c>
      <c r="D93" t="s">
        <v>495</v>
      </c>
      <c r="E93" t="s">
        <v>497</v>
      </c>
      <c r="F93" t="n">
        <v>34582.6072564483</v>
      </c>
    </row>
    <row r="94">
      <c r="B94" t="s">
        <v>527</v>
      </c>
      <c r="C94" t="s">
        <v>487</v>
      </c>
      <c r="D94" t="s">
        <v>495</v>
      </c>
      <c r="E94" t="s">
        <v>498</v>
      </c>
      <c r="F94" t="n">
        <v>28361.1139100458</v>
      </c>
    </row>
    <row r="95">
      <c r="B95" t="s">
        <v>527</v>
      </c>
      <c r="C95" t="s">
        <v>487</v>
      </c>
      <c r="D95" t="s">
        <v>495</v>
      </c>
      <c r="E95" t="s">
        <v>499</v>
      </c>
      <c r="F95" t="n">
        <v>34458.2207370282</v>
      </c>
    </row>
    <row r="96">
      <c r="B96" t="s">
        <v>527</v>
      </c>
      <c r="C96" t="s">
        <v>487</v>
      </c>
      <c r="D96" t="s">
        <v>495</v>
      </c>
      <c r="E96" t="s">
        <v>500</v>
      </c>
      <c r="F96" t="n">
        <v>62818.1592028378</v>
      </c>
    </row>
    <row r="97">
      <c r="B97" t="s">
        <v>527</v>
      </c>
      <c r="C97" t="s">
        <v>487</v>
      </c>
      <c r="D97" t="s">
        <v>495</v>
      </c>
      <c r="E97" t="s">
        <v>501</v>
      </c>
      <c r="F97" t="n">
        <v>145569.275315297</v>
      </c>
    </row>
    <row r="98">
      <c r="B98" t="s">
        <v>527</v>
      </c>
      <c r="C98" t="s">
        <v>502</v>
      </c>
      <c r="D98" t="s">
        <v>503</v>
      </c>
      <c r="E98"/>
      <c r="F98" t="n">
        <v>23065.5941564767</v>
      </c>
    </row>
    <row r="99">
      <c r="B99" t="s">
        <v>527</v>
      </c>
      <c r="C99" t="s">
        <v>502</v>
      </c>
      <c r="D99" t="s">
        <v>504</v>
      </c>
      <c r="E99"/>
      <c r="F99" t="n">
        <v>4055.87859898413</v>
      </c>
    </row>
    <row r="100">
      <c r="B100" t="s">
        <v>527</v>
      </c>
      <c r="C100" t="s">
        <v>502</v>
      </c>
      <c r="D100" t="s">
        <v>505</v>
      </c>
      <c r="E100" t="s">
        <v>506</v>
      </c>
      <c r="F100" t="n">
        <v>7905.10659841388</v>
      </c>
    </row>
    <row r="101">
      <c r="B101" t="s">
        <v>527</v>
      </c>
      <c r="C101" t="s">
        <v>502</v>
      </c>
      <c r="D101" t="s">
        <v>505</v>
      </c>
      <c r="E101" t="s">
        <v>507</v>
      </c>
      <c r="F101" t="n">
        <v>1408.08869234506</v>
      </c>
    </row>
    <row r="102">
      <c r="B102" t="s">
        <v>527</v>
      </c>
      <c r="C102" t="s">
        <v>502</v>
      </c>
      <c r="D102" t="s">
        <v>508</v>
      </c>
      <c r="E102" t="s">
        <v>509</v>
      </c>
      <c r="F102" t="n">
        <v>307.000186570534</v>
      </c>
    </row>
    <row r="103">
      <c r="B103" t="s">
        <v>527</v>
      </c>
      <c r="C103" t="s">
        <v>502</v>
      </c>
      <c r="D103" t="s">
        <v>508</v>
      </c>
      <c r="E103" t="s">
        <v>510</v>
      </c>
      <c r="F103" t="n">
        <v>289.805507140894</v>
      </c>
    </row>
    <row r="104">
      <c r="B104" t="s">
        <v>527</v>
      </c>
      <c r="C104" t="s">
        <v>502</v>
      </c>
      <c r="D104" t="s">
        <v>508</v>
      </c>
      <c r="E104" t="s">
        <v>511</v>
      </c>
      <c r="F104" t="n">
        <v>781.548284821454</v>
      </c>
    </row>
    <row r="105">
      <c r="B105" t="s">
        <v>527</v>
      </c>
      <c r="C105" t="s">
        <v>502</v>
      </c>
      <c r="D105" t="s">
        <v>512</v>
      </c>
      <c r="E105" t="s">
        <v>513</v>
      </c>
      <c r="F105" t="n">
        <v>477.350144957287</v>
      </c>
    </row>
    <row r="106">
      <c r="B106" t="s">
        <v>527</v>
      </c>
      <c r="C106" t="s">
        <v>502</v>
      </c>
      <c r="D106" t="s">
        <v>512</v>
      </c>
      <c r="E106" t="s">
        <v>514</v>
      </c>
      <c r="F106" t="n">
        <v>396.853599914194</v>
      </c>
    </row>
    <row r="107">
      <c r="B107" t="s">
        <v>527</v>
      </c>
      <c r="C107" t="s">
        <v>502</v>
      </c>
      <c r="D107" t="s">
        <v>512</v>
      </c>
      <c r="E107" t="s">
        <v>515</v>
      </c>
      <c r="F107" t="n">
        <v>2544.88846165446</v>
      </c>
    </row>
    <row r="108">
      <c r="B108" t="s">
        <v>527</v>
      </c>
      <c r="C108" t="s">
        <v>516</v>
      </c>
      <c r="D108"/>
      <c r="E108"/>
      <c r="F108" t="n">
        <v>262041.579431754</v>
      </c>
    </row>
    <row r="109">
      <c r="B109" t="s">
        <v>527</v>
      </c>
      <c r="C109" t="s">
        <v>517</v>
      </c>
      <c r="D109" t="s">
        <v>518</v>
      </c>
      <c r="E109"/>
      <c r="F109" t="n">
        <v>3870.56237752328</v>
      </c>
    </row>
    <row r="110">
      <c r="B110" t="s">
        <v>527</v>
      </c>
      <c r="C110" t="s">
        <v>517</v>
      </c>
      <c r="D110" t="s">
        <v>519</v>
      </c>
      <c r="E110"/>
      <c r="F110" t="n">
        <v>37263.495552067</v>
      </c>
    </row>
    <row r="111">
      <c r="B111" t="s">
        <v>527</v>
      </c>
      <c r="C111" t="s">
        <v>517</v>
      </c>
      <c r="D111" t="s">
        <v>520</v>
      </c>
      <c r="E111"/>
      <c r="F111" t="n">
        <v>1307863.96114823</v>
      </c>
    </row>
    <row r="112">
      <c r="B112" t="s">
        <v>527</v>
      </c>
      <c r="C112" t="s">
        <v>521</v>
      </c>
      <c r="D112" t="s">
        <v>522</v>
      </c>
      <c r="E112"/>
      <c r="F112" t="n">
        <v>414.602702974892</v>
      </c>
    </row>
    <row r="113">
      <c r="B113" t="s">
        <v>527</v>
      </c>
      <c r="C113" t="s">
        <v>521</v>
      </c>
      <c r="D113" t="s">
        <v>523</v>
      </c>
      <c r="E113"/>
      <c r="F113" t="n">
        <v>102780.948563408</v>
      </c>
    </row>
    <row r="114">
      <c r="B114" t="s">
        <v>527</v>
      </c>
      <c r="C114" t="s">
        <v>524</v>
      </c>
      <c r="D114"/>
      <c r="E114"/>
      <c r="F114" t="n">
        <v>5767.09379954105</v>
      </c>
    </row>
    <row r="115">
      <c r="B115" t="s">
        <v>528</v>
      </c>
      <c r="C115" t="s">
        <v>487</v>
      </c>
      <c r="D115" t="s">
        <v>488</v>
      </c>
      <c r="E115"/>
      <c r="F115" t="n">
        <v>5205.22946330034</v>
      </c>
    </row>
    <row r="116">
      <c r="B116" t="s">
        <v>528</v>
      </c>
      <c r="C116" t="s">
        <v>487</v>
      </c>
      <c r="D116" t="s">
        <v>489</v>
      </c>
      <c r="E116" t="s">
        <v>490</v>
      </c>
      <c r="F116" t="n">
        <v>228.672114680428</v>
      </c>
    </row>
    <row r="117">
      <c r="B117" t="s">
        <v>528</v>
      </c>
      <c r="C117" t="s">
        <v>487</v>
      </c>
      <c r="D117" t="s">
        <v>489</v>
      </c>
      <c r="E117" t="s">
        <v>491</v>
      </c>
      <c r="F117" t="n">
        <v>949.090458275403</v>
      </c>
    </row>
    <row r="118">
      <c r="B118" t="s">
        <v>528</v>
      </c>
      <c r="C118" t="s">
        <v>487</v>
      </c>
      <c r="D118" t="s">
        <v>492</v>
      </c>
      <c r="E118" t="s">
        <v>493</v>
      </c>
      <c r="F118" t="n">
        <v>1600.90322139845</v>
      </c>
    </row>
    <row r="119">
      <c r="B119" t="s">
        <v>528</v>
      </c>
      <c r="C119" t="s">
        <v>487</v>
      </c>
      <c r="D119" t="s">
        <v>492</v>
      </c>
      <c r="E119" t="s">
        <v>494</v>
      </c>
      <c r="F119" t="n">
        <v>292.721403870589</v>
      </c>
    </row>
    <row r="120">
      <c r="B120" t="s">
        <v>528</v>
      </c>
      <c r="C120" t="s">
        <v>487</v>
      </c>
      <c r="D120" t="s">
        <v>495</v>
      </c>
      <c r="E120" t="s">
        <v>496</v>
      </c>
      <c r="F120" t="n">
        <v>210232.056985137</v>
      </c>
    </row>
    <row r="121">
      <c r="B121" t="s">
        <v>528</v>
      </c>
      <c r="C121" t="s">
        <v>487</v>
      </c>
      <c r="D121" t="s">
        <v>495</v>
      </c>
      <c r="E121" t="s">
        <v>497</v>
      </c>
      <c r="F121" t="n">
        <v>33511.6945210374</v>
      </c>
    </row>
    <row r="122">
      <c r="B122" t="s">
        <v>528</v>
      </c>
      <c r="C122" t="s">
        <v>487</v>
      </c>
      <c r="D122" t="s">
        <v>495</v>
      </c>
      <c r="E122" t="s">
        <v>498</v>
      </c>
      <c r="F122" t="n">
        <v>27552.5870770005</v>
      </c>
    </row>
    <row r="123">
      <c r="B123" t="s">
        <v>528</v>
      </c>
      <c r="C123" t="s">
        <v>487</v>
      </c>
      <c r="D123" t="s">
        <v>495</v>
      </c>
      <c r="E123" t="s">
        <v>499</v>
      </c>
      <c r="F123" t="n">
        <v>34312.8810173624</v>
      </c>
    </row>
    <row r="124">
      <c r="B124" t="s">
        <v>528</v>
      </c>
      <c r="C124" t="s">
        <v>487</v>
      </c>
      <c r="D124" t="s">
        <v>495</v>
      </c>
      <c r="E124" t="s">
        <v>500</v>
      </c>
      <c r="F124" t="n">
        <v>61098.4638026811</v>
      </c>
    </row>
    <row r="125">
      <c r="B125" t="s">
        <v>528</v>
      </c>
      <c r="C125" t="s">
        <v>487</v>
      </c>
      <c r="D125" t="s">
        <v>495</v>
      </c>
      <c r="E125" t="s">
        <v>501</v>
      </c>
      <c r="F125" t="n">
        <v>145579.666342333</v>
      </c>
    </row>
    <row r="126">
      <c r="B126" t="s">
        <v>528</v>
      </c>
      <c r="C126" t="s">
        <v>502</v>
      </c>
      <c r="D126" t="s">
        <v>503</v>
      </c>
      <c r="E126"/>
      <c r="F126" t="n">
        <v>23974.0119732508</v>
      </c>
    </row>
    <row r="127">
      <c r="B127" t="s">
        <v>528</v>
      </c>
      <c r="C127" t="s">
        <v>502</v>
      </c>
      <c r="D127" t="s">
        <v>504</v>
      </c>
      <c r="E127"/>
      <c r="F127" t="n">
        <v>4067.42547904574</v>
      </c>
    </row>
    <row r="128">
      <c r="B128" t="s">
        <v>528</v>
      </c>
      <c r="C128" t="s">
        <v>502</v>
      </c>
      <c r="D128" t="s">
        <v>505</v>
      </c>
      <c r="E128" t="s">
        <v>506</v>
      </c>
      <c r="F128" t="n">
        <v>8155.57288250885</v>
      </c>
    </row>
    <row r="129">
      <c r="B129" t="s">
        <v>528</v>
      </c>
      <c r="C129" t="s">
        <v>502</v>
      </c>
      <c r="D129" t="s">
        <v>505</v>
      </c>
      <c r="E129" t="s">
        <v>507</v>
      </c>
      <c r="F129" t="n">
        <v>1405.67019018074</v>
      </c>
    </row>
    <row r="130">
      <c r="B130" t="s">
        <v>528</v>
      </c>
      <c r="C130" t="s">
        <v>502</v>
      </c>
      <c r="D130" t="s">
        <v>508</v>
      </c>
      <c r="E130" t="s">
        <v>509</v>
      </c>
      <c r="F130" t="n">
        <v>319.091114614342</v>
      </c>
    </row>
    <row r="131">
      <c r="B131" t="s">
        <v>528</v>
      </c>
      <c r="C131" t="s">
        <v>502</v>
      </c>
      <c r="D131" t="s">
        <v>508</v>
      </c>
      <c r="E131" t="s">
        <v>510</v>
      </c>
      <c r="F131" t="n">
        <v>286.907452069485</v>
      </c>
    </row>
    <row r="132">
      <c r="B132" t="s">
        <v>528</v>
      </c>
      <c r="C132" t="s">
        <v>502</v>
      </c>
      <c r="D132" t="s">
        <v>508</v>
      </c>
      <c r="E132" t="s">
        <v>511</v>
      </c>
      <c r="F132" t="n">
        <v>775.67321620925</v>
      </c>
    </row>
    <row r="133">
      <c r="B133" t="s">
        <v>528</v>
      </c>
      <c r="C133" t="s">
        <v>502</v>
      </c>
      <c r="D133" t="s">
        <v>512</v>
      </c>
      <c r="E133" t="s">
        <v>513</v>
      </c>
      <c r="F133" t="n">
        <v>495.830650013583</v>
      </c>
    </row>
    <row r="134">
      <c r="B134" t="s">
        <v>528</v>
      </c>
      <c r="C134" t="s">
        <v>502</v>
      </c>
      <c r="D134" t="s">
        <v>512</v>
      </c>
      <c r="E134" t="s">
        <v>514</v>
      </c>
      <c r="F134" t="n">
        <v>401.590670588586</v>
      </c>
    </row>
    <row r="135">
      <c r="B135" t="s">
        <v>528</v>
      </c>
      <c r="C135" t="s">
        <v>502</v>
      </c>
      <c r="D135" t="s">
        <v>512</v>
      </c>
      <c r="E135" t="s">
        <v>515</v>
      </c>
      <c r="F135" t="n">
        <v>2656.61094268101</v>
      </c>
    </row>
    <row r="136">
      <c r="B136" t="s">
        <v>528</v>
      </c>
      <c r="C136" t="s">
        <v>516</v>
      </c>
      <c r="D136"/>
      <c r="E136"/>
      <c r="F136" t="n">
        <v>259482.74391989</v>
      </c>
    </row>
    <row r="137">
      <c r="B137" t="s">
        <v>528</v>
      </c>
      <c r="C137" t="s">
        <v>517</v>
      </c>
      <c r="D137" t="s">
        <v>518</v>
      </c>
      <c r="E137"/>
      <c r="F137" t="n">
        <v>4257.61861527561</v>
      </c>
    </row>
    <row r="138">
      <c r="B138" t="s">
        <v>528</v>
      </c>
      <c r="C138" t="s">
        <v>517</v>
      </c>
      <c r="D138" t="s">
        <v>519</v>
      </c>
      <c r="E138"/>
      <c r="F138" t="n">
        <v>40989.8451072737</v>
      </c>
    </row>
    <row r="139">
      <c r="B139" t="s">
        <v>528</v>
      </c>
      <c r="C139" t="s">
        <v>517</v>
      </c>
      <c r="D139" t="s">
        <v>520</v>
      </c>
      <c r="E139"/>
      <c r="F139" t="n">
        <v>1309158.06089255</v>
      </c>
    </row>
    <row r="140">
      <c r="B140" t="s">
        <v>528</v>
      </c>
      <c r="C140" t="s">
        <v>521</v>
      </c>
      <c r="D140" t="s">
        <v>522</v>
      </c>
      <c r="E140"/>
      <c r="F140" t="n">
        <v>456.062973272381</v>
      </c>
    </row>
    <row r="141">
      <c r="B141" t="s">
        <v>528</v>
      </c>
      <c r="C141" t="s">
        <v>521</v>
      </c>
      <c r="D141" t="s">
        <v>523</v>
      </c>
      <c r="E141"/>
      <c r="F141" t="n">
        <v>101690.098879379</v>
      </c>
    </row>
    <row r="142">
      <c r="B142" t="s">
        <v>528</v>
      </c>
      <c r="C142" t="s">
        <v>524</v>
      </c>
      <c r="D142"/>
      <c r="E142"/>
      <c r="F142" t="n">
        <v>7028.60373741531</v>
      </c>
    </row>
    <row r="143">
      <c r="B143" t="s">
        <v>529</v>
      </c>
      <c r="C143" t="s">
        <v>487</v>
      </c>
      <c r="D143" t="s">
        <v>488</v>
      </c>
      <c r="E143"/>
      <c r="F143" t="n">
        <v>5164.95721997018</v>
      </c>
    </row>
    <row r="144">
      <c r="B144" t="s">
        <v>529</v>
      </c>
      <c r="C144" t="s">
        <v>487</v>
      </c>
      <c r="D144" t="s">
        <v>489</v>
      </c>
      <c r="E144" t="s">
        <v>490</v>
      </c>
      <c r="F144" t="n">
        <v>229.125499620603</v>
      </c>
    </row>
    <row r="145">
      <c r="B145" t="s">
        <v>529</v>
      </c>
      <c r="C145" t="s">
        <v>487</v>
      </c>
      <c r="D145" t="s">
        <v>489</v>
      </c>
      <c r="E145" t="s">
        <v>491</v>
      </c>
      <c r="F145" t="n">
        <v>950.972206389935</v>
      </c>
    </row>
    <row r="146">
      <c r="B146" t="s">
        <v>529</v>
      </c>
      <c r="C146" t="s">
        <v>487</v>
      </c>
      <c r="D146" t="s">
        <v>492</v>
      </c>
      <c r="E146" t="s">
        <v>493</v>
      </c>
      <c r="F146" t="n">
        <v>1588.89898828848</v>
      </c>
    </row>
    <row r="147">
      <c r="B147" t="s">
        <v>529</v>
      </c>
      <c r="C147" t="s">
        <v>487</v>
      </c>
      <c r="D147" t="s">
        <v>492</v>
      </c>
      <c r="E147" t="s">
        <v>494</v>
      </c>
      <c r="F147" t="n">
        <v>289.875505389122</v>
      </c>
    </row>
    <row r="148">
      <c r="B148" t="s">
        <v>529</v>
      </c>
      <c r="C148" t="s">
        <v>487</v>
      </c>
      <c r="D148" t="s">
        <v>495</v>
      </c>
      <c r="E148" t="s">
        <v>496</v>
      </c>
      <c r="F148" t="n">
        <v>203747.714585561</v>
      </c>
    </row>
    <row r="149">
      <c r="B149" t="s">
        <v>529</v>
      </c>
      <c r="C149" t="s">
        <v>487</v>
      </c>
      <c r="D149" t="s">
        <v>495</v>
      </c>
      <c r="E149" t="s">
        <v>497</v>
      </c>
      <c r="F149" t="n">
        <v>32489.5953837401</v>
      </c>
    </row>
    <row r="150">
      <c r="B150" t="s">
        <v>529</v>
      </c>
      <c r="C150" t="s">
        <v>487</v>
      </c>
      <c r="D150" t="s">
        <v>495</v>
      </c>
      <c r="E150" t="s">
        <v>498</v>
      </c>
      <c r="F150" t="n">
        <v>26764.0107318014</v>
      </c>
    </row>
    <row r="151">
      <c r="B151" t="s">
        <v>529</v>
      </c>
      <c r="C151" t="s">
        <v>487</v>
      </c>
      <c r="D151" t="s">
        <v>495</v>
      </c>
      <c r="E151" t="s">
        <v>499</v>
      </c>
      <c r="F151" t="n">
        <v>34195.0980116946</v>
      </c>
    </row>
    <row r="152">
      <c r="B152" t="s">
        <v>529</v>
      </c>
      <c r="C152" t="s">
        <v>487</v>
      </c>
      <c r="D152" t="s">
        <v>495</v>
      </c>
      <c r="E152" t="s">
        <v>500</v>
      </c>
      <c r="F152" t="n">
        <v>59437.4594311832</v>
      </c>
    </row>
    <row r="153">
      <c r="B153" t="s">
        <v>529</v>
      </c>
      <c r="C153" t="s">
        <v>487</v>
      </c>
      <c r="D153" t="s">
        <v>495</v>
      </c>
      <c r="E153" t="s">
        <v>501</v>
      </c>
      <c r="F153" t="n">
        <v>145741.147988226</v>
      </c>
    </row>
    <row r="154">
      <c r="B154" t="s">
        <v>529</v>
      </c>
      <c r="C154" t="s">
        <v>502</v>
      </c>
      <c r="D154" t="s">
        <v>503</v>
      </c>
      <c r="E154"/>
      <c r="F154" t="n">
        <v>24883.3572950462</v>
      </c>
    </row>
    <row r="155">
      <c r="B155" t="s">
        <v>529</v>
      </c>
      <c r="C155" t="s">
        <v>502</v>
      </c>
      <c r="D155" t="s">
        <v>504</v>
      </c>
      <c r="E155"/>
      <c r="F155" t="n">
        <v>4079.27694029647</v>
      </c>
    </row>
    <row r="156">
      <c r="B156" t="s">
        <v>529</v>
      </c>
      <c r="C156" t="s">
        <v>502</v>
      </c>
      <c r="D156" t="s">
        <v>505</v>
      </c>
      <c r="E156" t="s">
        <v>506</v>
      </c>
      <c r="F156" t="n">
        <v>8406.39673454604</v>
      </c>
    </row>
    <row r="157">
      <c r="B157" t="s">
        <v>529</v>
      </c>
      <c r="C157" t="s">
        <v>502</v>
      </c>
      <c r="D157" t="s">
        <v>505</v>
      </c>
      <c r="E157" t="s">
        <v>507</v>
      </c>
      <c r="F157" t="n">
        <v>1403.37772758354</v>
      </c>
    </row>
    <row r="158">
      <c r="B158" t="s">
        <v>529</v>
      </c>
      <c r="C158" t="s">
        <v>502</v>
      </c>
      <c r="D158" t="s">
        <v>508</v>
      </c>
      <c r="E158" t="s">
        <v>509</v>
      </c>
      <c r="F158" t="n">
        <v>331.19438763451</v>
      </c>
    </row>
    <row r="159">
      <c r="B159" t="s">
        <v>529</v>
      </c>
      <c r="C159" t="s">
        <v>502</v>
      </c>
      <c r="D159" t="s">
        <v>508</v>
      </c>
      <c r="E159" t="s">
        <v>510</v>
      </c>
      <c r="F159" t="n">
        <v>284.03837754879</v>
      </c>
    </row>
    <row r="160">
      <c r="B160" t="s">
        <v>529</v>
      </c>
      <c r="C160" t="s">
        <v>502</v>
      </c>
      <c r="D160" t="s">
        <v>508</v>
      </c>
      <c r="E160" t="s">
        <v>511</v>
      </c>
      <c r="F160" t="n">
        <v>769.856898283169</v>
      </c>
    </row>
    <row r="161">
      <c r="B161" t="s">
        <v>529</v>
      </c>
      <c r="C161" t="s">
        <v>502</v>
      </c>
      <c r="D161" t="s">
        <v>512</v>
      </c>
      <c r="E161" t="s">
        <v>513</v>
      </c>
      <c r="F161" t="n">
        <v>514.330736912006</v>
      </c>
    </row>
    <row r="162">
      <c r="B162" t="s">
        <v>529</v>
      </c>
      <c r="C162" t="s">
        <v>502</v>
      </c>
      <c r="D162" t="s">
        <v>512</v>
      </c>
      <c r="E162" t="s">
        <v>514</v>
      </c>
      <c r="F162" t="n">
        <v>406.350550831645</v>
      </c>
    </row>
    <row r="163">
      <c r="B163" t="s">
        <v>529</v>
      </c>
      <c r="C163" t="s">
        <v>502</v>
      </c>
      <c r="D163" t="s">
        <v>512</v>
      </c>
      <c r="E163" t="s">
        <v>515</v>
      </c>
      <c r="F163" t="n">
        <v>2768.42479078224</v>
      </c>
    </row>
    <row r="164">
      <c r="B164" t="s">
        <v>529</v>
      </c>
      <c r="C164" t="s">
        <v>516</v>
      </c>
      <c r="D164"/>
      <c r="E164"/>
      <c r="F164" t="n">
        <v>257086.553350905</v>
      </c>
    </row>
    <row r="165">
      <c r="B165" t="s">
        <v>529</v>
      </c>
      <c r="C165" t="s">
        <v>517</v>
      </c>
      <c r="D165" t="s">
        <v>518</v>
      </c>
      <c r="E165"/>
      <c r="F165" t="n">
        <v>4644.67485302794</v>
      </c>
    </row>
    <row r="166">
      <c r="B166" t="s">
        <v>529</v>
      </c>
      <c r="C166" t="s">
        <v>517</v>
      </c>
      <c r="D166" t="s">
        <v>519</v>
      </c>
      <c r="E166"/>
      <c r="F166" t="n">
        <v>44716.1946624804</v>
      </c>
    </row>
    <row r="167">
      <c r="B167" t="s">
        <v>529</v>
      </c>
      <c r="C167" t="s">
        <v>517</v>
      </c>
      <c r="D167" t="s">
        <v>520</v>
      </c>
      <c r="E167"/>
      <c r="F167" t="n">
        <v>1312387.18379639</v>
      </c>
    </row>
    <row r="168">
      <c r="B168" t="s">
        <v>529</v>
      </c>
      <c r="C168" t="s">
        <v>521</v>
      </c>
      <c r="D168" t="s">
        <v>522</v>
      </c>
      <c r="E168"/>
      <c r="F168" t="n">
        <v>497.52324356987</v>
      </c>
    </row>
    <row r="169">
      <c r="B169" t="s">
        <v>529</v>
      </c>
      <c r="C169" t="s">
        <v>521</v>
      </c>
      <c r="D169" t="s">
        <v>523</v>
      </c>
      <c r="E169"/>
      <c r="F169" t="n">
        <v>100703.472232786</v>
      </c>
    </row>
    <row r="170">
      <c r="B170" t="s">
        <v>529</v>
      </c>
      <c r="C170" t="s">
        <v>524</v>
      </c>
      <c r="D170"/>
      <c r="E170"/>
      <c r="F170" t="n">
        <v>8307.58563896456</v>
      </c>
    </row>
    <row r="171">
      <c r="B171" t="s">
        <v>530</v>
      </c>
      <c r="C171" t="s">
        <v>487</v>
      </c>
      <c r="D171" t="s">
        <v>488</v>
      </c>
      <c r="E171"/>
      <c r="F171" t="n">
        <v>5125.08769907333</v>
      </c>
    </row>
    <row r="172">
      <c r="B172" t="s">
        <v>530</v>
      </c>
      <c r="C172" t="s">
        <v>487</v>
      </c>
      <c r="D172" t="s">
        <v>489</v>
      </c>
      <c r="E172" t="s">
        <v>490</v>
      </c>
      <c r="F172" t="n">
        <v>229.596263435665</v>
      </c>
    </row>
    <row r="173">
      <c r="B173" t="s">
        <v>530</v>
      </c>
      <c r="C173" t="s">
        <v>487</v>
      </c>
      <c r="D173" t="s">
        <v>489</v>
      </c>
      <c r="E173" t="s">
        <v>491</v>
      </c>
      <c r="F173" t="n">
        <v>952.926084525018</v>
      </c>
    </row>
    <row r="174">
      <c r="B174" t="s">
        <v>530</v>
      </c>
      <c r="C174" t="s">
        <v>487</v>
      </c>
      <c r="D174" t="s">
        <v>492</v>
      </c>
      <c r="E174" t="s">
        <v>493</v>
      </c>
      <c r="F174" t="n">
        <v>1577.0147975096</v>
      </c>
    </row>
    <row r="175">
      <c r="B175" t="s">
        <v>530</v>
      </c>
      <c r="C175" t="s">
        <v>487</v>
      </c>
      <c r="D175" t="s">
        <v>492</v>
      </c>
      <c r="E175" t="s">
        <v>494</v>
      </c>
      <c r="F175" t="n">
        <v>287.05806589247</v>
      </c>
    </row>
    <row r="176">
      <c r="B176" t="s">
        <v>530</v>
      </c>
      <c r="C176" t="s">
        <v>487</v>
      </c>
      <c r="D176" t="s">
        <v>495</v>
      </c>
      <c r="E176" t="s">
        <v>496</v>
      </c>
      <c r="F176" t="n">
        <v>197502.606539297</v>
      </c>
    </row>
    <row r="177">
      <c r="B177" t="s">
        <v>530</v>
      </c>
      <c r="C177" t="s">
        <v>487</v>
      </c>
      <c r="D177" t="s">
        <v>495</v>
      </c>
      <c r="E177" t="s">
        <v>497</v>
      </c>
      <c r="F177" t="n">
        <v>31508.0645536037</v>
      </c>
    </row>
    <row r="178">
      <c r="B178" t="s">
        <v>530</v>
      </c>
      <c r="C178" t="s">
        <v>487</v>
      </c>
      <c r="D178" t="s">
        <v>495</v>
      </c>
      <c r="E178" t="s">
        <v>498</v>
      </c>
      <c r="F178" t="n">
        <v>25993.4301938136</v>
      </c>
    </row>
    <row r="179">
      <c r="B179" t="s">
        <v>530</v>
      </c>
      <c r="C179" t="s">
        <v>487</v>
      </c>
      <c r="D179" t="s">
        <v>495</v>
      </c>
      <c r="E179" t="s">
        <v>499</v>
      </c>
      <c r="F179" t="n">
        <v>34093.7046712682</v>
      </c>
    </row>
    <row r="180">
      <c r="B180" t="s">
        <v>530</v>
      </c>
      <c r="C180" t="s">
        <v>487</v>
      </c>
      <c r="D180" t="s">
        <v>495</v>
      </c>
      <c r="E180" t="s">
        <v>500</v>
      </c>
      <c r="F180" t="n">
        <v>57826.3379205971</v>
      </c>
    </row>
    <row r="181">
      <c r="B181" t="s">
        <v>530</v>
      </c>
      <c r="C181" t="s">
        <v>487</v>
      </c>
      <c r="D181" t="s">
        <v>495</v>
      </c>
      <c r="E181" t="s">
        <v>501</v>
      </c>
      <c r="F181" t="n">
        <v>145991.479853985</v>
      </c>
    </row>
    <row r="182">
      <c r="B182" t="s">
        <v>530</v>
      </c>
      <c r="C182" t="s">
        <v>502</v>
      </c>
      <c r="D182" t="s">
        <v>503</v>
      </c>
      <c r="E182"/>
      <c r="F182" t="n">
        <v>25793.6208468126</v>
      </c>
    </row>
    <row r="183">
      <c r="B183" t="s">
        <v>530</v>
      </c>
      <c r="C183" t="s">
        <v>502</v>
      </c>
      <c r="D183" t="s">
        <v>504</v>
      </c>
      <c r="E183"/>
      <c r="F183" t="n">
        <v>4091.42993692444</v>
      </c>
    </row>
    <row r="184">
      <c r="B184" t="s">
        <v>530</v>
      </c>
      <c r="C184" t="s">
        <v>502</v>
      </c>
      <c r="D184" t="s">
        <v>505</v>
      </c>
      <c r="E184" t="s">
        <v>506</v>
      </c>
      <c r="F184" t="n">
        <v>8657.574578846</v>
      </c>
    </row>
    <row r="185">
      <c r="B185" t="s">
        <v>530</v>
      </c>
      <c r="C185" t="s">
        <v>502</v>
      </c>
      <c r="D185" t="s">
        <v>505</v>
      </c>
      <c r="E185" t="s">
        <v>507</v>
      </c>
      <c r="F185" t="n">
        <v>1401.2100441578</v>
      </c>
    </row>
    <row r="186">
      <c r="B186" t="s">
        <v>530</v>
      </c>
      <c r="C186" t="s">
        <v>502</v>
      </c>
      <c r="D186" t="s">
        <v>508</v>
      </c>
      <c r="E186" t="s">
        <v>509</v>
      </c>
      <c r="F186" t="n">
        <v>343.309882181273</v>
      </c>
    </row>
    <row r="187">
      <c r="B187" t="s">
        <v>530</v>
      </c>
      <c r="C187" t="s">
        <v>502</v>
      </c>
      <c r="D187" t="s">
        <v>508</v>
      </c>
      <c r="E187" t="s">
        <v>510</v>
      </c>
      <c r="F187" t="n">
        <v>281.197993773302</v>
      </c>
    </row>
    <row r="188">
      <c r="B188" t="s">
        <v>530</v>
      </c>
      <c r="C188" t="s">
        <v>502</v>
      </c>
      <c r="D188" t="s">
        <v>508</v>
      </c>
      <c r="E188" t="s">
        <v>511</v>
      </c>
      <c r="F188" t="n">
        <v>764.098743536348</v>
      </c>
    </row>
    <row r="189">
      <c r="B189" t="s">
        <v>530</v>
      </c>
      <c r="C189" t="s">
        <v>502</v>
      </c>
      <c r="D189" t="s">
        <v>512</v>
      </c>
      <c r="E189" t="s">
        <v>513</v>
      </c>
      <c r="F189" t="n">
        <v>532.850209834135</v>
      </c>
    </row>
    <row r="190">
      <c r="B190" t="s">
        <v>530</v>
      </c>
      <c r="C190" t="s">
        <v>502</v>
      </c>
      <c r="D190" t="s">
        <v>512</v>
      </c>
      <c r="E190" t="s">
        <v>514</v>
      </c>
      <c r="F190" t="n">
        <v>411.133012547683</v>
      </c>
    </row>
    <row r="191">
      <c r="B191" t="s">
        <v>530</v>
      </c>
      <c r="C191" t="s">
        <v>502</v>
      </c>
      <c r="D191" t="s">
        <v>512</v>
      </c>
      <c r="E191" t="s">
        <v>515</v>
      </c>
      <c r="F191" t="n">
        <v>2880.32909228739</v>
      </c>
    </row>
    <row r="192">
      <c r="B192" t="s">
        <v>530</v>
      </c>
      <c r="C192" t="s">
        <v>516</v>
      </c>
      <c r="D192"/>
      <c r="E192"/>
      <c r="F192" t="n">
        <v>254801.061832546</v>
      </c>
    </row>
    <row r="193">
      <c r="B193" t="s">
        <v>530</v>
      </c>
      <c r="C193" t="s">
        <v>517</v>
      </c>
      <c r="D193" t="s">
        <v>518</v>
      </c>
      <c r="E193"/>
      <c r="F193" t="n">
        <v>5031.73109078027</v>
      </c>
    </row>
    <row r="194">
      <c r="B194" t="s">
        <v>530</v>
      </c>
      <c r="C194" t="s">
        <v>517</v>
      </c>
      <c r="D194" t="s">
        <v>519</v>
      </c>
      <c r="E194"/>
      <c r="F194" t="n">
        <v>48442.5442176871</v>
      </c>
    </row>
    <row r="195">
      <c r="B195" t="s">
        <v>530</v>
      </c>
      <c r="C195" t="s">
        <v>517</v>
      </c>
      <c r="D195" t="s">
        <v>520</v>
      </c>
      <c r="E195"/>
      <c r="F195" t="n">
        <v>1314968.98250504</v>
      </c>
    </row>
    <row r="196">
      <c r="B196" t="s">
        <v>530</v>
      </c>
      <c r="C196" t="s">
        <v>521</v>
      </c>
      <c r="D196" t="s">
        <v>522</v>
      </c>
      <c r="E196"/>
      <c r="F196" t="n">
        <v>538.98351386736</v>
      </c>
    </row>
    <row r="197">
      <c r="B197" t="s">
        <v>530</v>
      </c>
      <c r="C197" t="s">
        <v>521</v>
      </c>
      <c r="D197" t="s">
        <v>523</v>
      </c>
      <c r="E197"/>
      <c r="F197" t="n">
        <v>99769.7818188846</v>
      </c>
    </row>
    <row r="198">
      <c r="B198" t="s">
        <v>530</v>
      </c>
      <c r="C198" t="s">
        <v>524</v>
      </c>
      <c r="D198"/>
      <c r="E198"/>
      <c r="F198" t="n">
        <v>9575.60263852122</v>
      </c>
    </row>
    <row r="199">
      <c r="B199" t="s">
        <v>531</v>
      </c>
      <c r="C199" t="s">
        <v>487</v>
      </c>
      <c r="D199" t="s">
        <v>488</v>
      </c>
      <c r="E199"/>
      <c r="F199" t="n">
        <v>5085.61687338544</v>
      </c>
    </row>
    <row r="200">
      <c r="B200" t="s">
        <v>531</v>
      </c>
      <c r="C200" t="s">
        <v>487</v>
      </c>
      <c r="D200" t="s">
        <v>489</v>
      </c>
      <c r="E200" t="s">
        <v>490</v>
      </c>
      <c r="F200" t="n">
        <v>230.084232336867</v>
      </c>
    </row>
    <row r="201">
      <c r="B201" t="s">
        <v>531</v>
      </c>
      <c r="C201" t="s">
        <v>487</v>
      </c>
      <c r="D201" t="s">
        <v>489</v>
      </c>
      <c r="E201" t="s">
        <v>491</v>
      </c>
      <c r="F201" t="n">
        <v>954.95137138045</v>
      </c>
    </row>
    <row r="202">
      <c r="B202" t="s">
        <v>531</v>
      </c>
      <c r="C202" t="s">
        <v>487</v>
      </c>
      <c r="D202" t="s">
        <v>492</v>
      </c>
      <c r="E202" t="s">
        <v>493</v>
      </c>
      <c r="F202" t="n">
        <v>1565.24944863851</v>
      </c>
    </row>
    <row r="203">
      <c r="B203" t="s">
        <v>531</v>
      </c>
      <c r="C203" t="s">
        <v>487</v>
      </c>
      <c r="D203" t="s">
        <v>492</v>
      </c>
      <c r="E203" t="s">
        <v>494</v>
      </c>
      <c r="F203" t="n">
        <v>284.268800790784</v>
      </c>
    </row>
    <row r="204">
      <c r="B204" t="s">
        <v>531</v>
      </c>
      <c r="C204" t="s">
        <v>487</v>
      </c>
      <c r="D204" t="s">
        <v>495</v>
      </c>
      <c r="E204" t="s">
        <v>496</v>
      </c>
      <c r="F204" t="n">
        <v>191476.995402061</v>
      </c>
    </row>
    <row r="205">
      <c r="B205" t="s">
        <v>531</v>
      </c>
      <c r="C205" t="s">
        <v>487</v>
      </c>
      <c r="D205" t="s">
        <v>495</v>
      </c>
      <c r="E205" t="s">
        <v>497</v>
      </c>
      <c r="F205" t="n">
        <v>30563.6145446918</v>
      </c>
    </row>
    <row r="206">
      <c r="B206" t="s">
        <v>531</v>
      </c>
      <c r="C206" t="s">
        <v>487</v>
      </c>
      <c r="D206" t="s">
        <v>495</v>
      </c>
      <c r="E206" t="s">
        <v>498</v>
      </c>
      <c r="F206" t="n">
        <v>25240.5223303956</v>
      </c>
    </row>
    <row r="207">
      <c r="B207" t="s">
        <v>531</v>
      </c>
      <c r="C207" t="s">
        <v>487</v>
      </c>
      <c r="D207" t="s">
        <v>495</v>
      </c>
      <c r="E207" t="s">
        <v>499</v>
      </c>
      <c r="F207" t="n">
        <v>34003.3678805307</v>
      </c>
    </row>
    <row r="208">
      <c r="B208" t="s">
        <v>531</v>
      </c>
      <c r="C208" t="s">
        <v>487</v>
      </c>
      <c r="D208" t="s">
        <v>495</v>
      </c>
      <c r="E208" t="s">
        <v>500</v>
      </c>
      <c r="F208" t="n">
        <v>56261.7374794695</v>
      </c>
    </row>
    <row r="209">
      <c r="B209" t="s">
        <v>531</v>
      </c>
      <c r="C209" t="s">
        <v>487</v>
      </c>
      <c r="D209" t="s">
        <v>495</v>
      </c>
      <c r="E209" t="s">
        <v>501</v>
      </c>
      <c r="F209" t="n">
        <v>146299.049249559</v>
      </c>
    </row>
    <row r="210">
      <c r="B210" t="s">
        <v>531</v>
      </c>
      <c r="C210" t="s">
        <v>502</v>
      </c>
      <c r="D210" t="s">
        <v>503</v>
      </c>
      <c r="E210"/>
      <c r="F210" t="n">
        <v>26704.7934462503</v>
      </c>
    </row>
    <row r="211">
      <c r="B211" t="s">
        <v>531</v>
      </c>
      <c r="C211" t="s">
        <v>502</v>
      </c>
      <c r="D211" t="s">
        <v>504</v>
      </c>
      <c r="E211"/>
      <c r="F211" t="n">
        <v>4103.88145357587</v>
      </c>
    </row>
    <row r="212">
      <c r="B212" t="s">
        <v>531</v>
      </c>
      <c r="C212" t="s">
        <v>502</v>
      </c>
      <c r="D212" t="s">
        <v>505</v>
      </c>
      <c r="E212" t="s">
        <v>506</v>
      </c>
      <c r="F212" t="n">
        <v>8909.10287548613</v>
      </c>
    </row>
    <row r="213">
      <c r="B213" t="s">
        <v>531</v>
      </c>
      <c r="C213" t="s">
        <v>502</v>
      </c>
      <c r="D213" t="s">
        <v>505</v>
      </c>
      <c r="E213" t="s">
        <v>507</v>
      </c>
      <c r="F213" t="n">
        <v>1399.16589211179</v>
      </c>
    </row>
    <row r="214">
      <c r="B214" t="s">
        <v>531</v>
      </c>
      <c r="C214" t="s">
        <v>502</v>
      </c>
      <c r="D214" t="s">
        <v>508</v>
      </c>
      <c r="E214" t="s">
        <v>509</v>
      </c>
      <c r="F214" t="n">
        <v>355.437476039365</v>
      </c>
    </row>
    <row r="215">
      <c r="B215" t="s">
        <v>531</v>
      </c>
      <c r="C215" t="s">
        <v>502</v>
      </c>
      <c r="D215" t="s">
        <v>508</v>
      </c>
      <c r="E215" t="s">
        <v>510</v>
      </c>
      <c r="F215" t="n">
        <v>278.386013835569</v>
      </c>
    </row>
    <row r="216">
      <c r="B216" t="s">
        <v>531</v>
      </c>
      <c r="C216" t="s">
        <v>502</v>
      </c>
      <c r="D216" t="s">
        <v>508</v>
      </c>
      <c r="E216" t="s">
        <v>511</v>
      </c>
      <c r="F216" t="n">
        <v>758.398170336996</v>
      </c>
    </row>
    <row r="217">
      <c r="B217" t="s">
        <v>531</v>
      </c>
      <c r="C217" t="s">
        <v>502</v>
      </c>
      <c r="D217" t="s">
        <v>512</v>
      </c>
      <c r="E217" t="s">
        <v>513</v>
      </c>
      <c r="F217" t="n">
        <v>551.388874919732</v>
      </c>
    </row>
    <row r="218">
      <c r="B218" t="s">
        <v>531</v>
      </c>
      <c r="C218" t="s">
        <v>502</v>
      </c>
      <c r="D218" t="s">
        <v>512</v>
      </c>
      <c r="E218" t="s">
        <v>514</v>
      </c>
      <c r="F218" t="n">
        <v>415.937829921971</v>
      </c>
    </row>
    <row r="219">
      <c r="B219" t="s">
        <v>531</v>
      </c>
      <c r="C219" t="s">
        <v>502</v>
      </c>
      <c r="D219" t="s">
        <v>512</v>
      </c>
      <c r="E219" t="s">
        <v>515</v>
      </c>
      <c r="F219" t="n">
        <v>2992.32294266242</v>
      </c>
    </row>
    <row r="220">
      <c r="B220" t="s">
        <v>531</v>
      </c>
      <c r="C220" t="s">
        <v>516</v>
      </c>
      <c r="D220"/>
      <c r="E220"/>
      <c r="F220" t="n">
        <v>252603.39344498</v>
      </c>
    </row>
    <row r="221">
      <c r="B221" t="s">
        <v>531</v>
      </c>
      <c r="C221" t="s">
        <v>517</v>
      </c>
      <c r="D221" t="s">
        <v>518</v>
      </c>
      <c r="E221"/>
      <c r="F221" t="n">
        <v>5418.78732853259</v>
      </c>
    </row>
    <row r="222">
      <c r="B222" t="s">
        <v>531</v>
      </c>
      <c r="C222" t="s">
        <v>517</v>
      </c>
      <c r="D222" t="s">
        <v>519</v>
      </c>
      <c r="E222"/>
      <c r="F222" t="n">
        <v>52168.8937728938</v>
      </c>
    </row>
    <row r="223">
      <c r="B223" t="s">
        <v>531</v>
      </c>
      <c r="C223" t="s">
        <v>517</v>
      </c>
      <c r="D223" t="s">
        <v>520</v>
      </c>
      <c r="E223"/>
      <c r="F223" t="n">
        <v>1316892.96440599</v>
      </c>
    </row>
    <row r="224">
      <c r="B224" t="s">
        <v>531</v>
      </c>
      <c r="C224" t="s">
        <v>521</v>
      </c>
      <c r="D224" t="s">
        <v>522</v>
      </c>
      <c r="E224"/>
      <c r="F224" t="n">
        <v>580.443784164849</v>
      </c>
    </row>
    <row r="225">
      <c r="B225" t="s">
        <v>531</v>
      </c>
      <c r="C225" t="s">
        <v>521</v>
      </c>
      <c r="D225" t="s">
        <v>523</v>
      </c>
      <c r="E225"/>
      <c r="F225" t="n">
        <v>98876.5775232924</v>
      </c>
    </row>
    <row r="226">
      <c r="B226" t="s">
        <v>531</v>
      </c>
      <c r="C226" t="s">
        <v>524</v>
      </c>
      <c r="D226"/>
      <c r="E226"/>
      <c r="F226" t="n">
        <v>10817.7988810654</v>
      </c>
    </row>
    <row r="227">
      <c r="B227" t="s">
        <v>532</v>
      </c>
      <c r="C227" t="s">
        <v>487</v>
      </c>
      <c r="D227" t="s">
        <v>488</v>
      </c>
      <c r="E227"/>
      <c r="F227" t="n">
        <v>5046.54075595443</v>
      </c>
    </row>
    <row r="228">
      <c r="B228" t="s">
        <v>532</v>
      </c>
      <c r="C228" t="s">
        <v>487</v>
      </c>
      <c r="D228" t="s">
        <v>489</v>
      </c>
      <c r="E228" t="s">
        <v>490</v>
      </c>
      <c r="F228" t="n">
        <v>230.589234273347</v>
      </c>
    </row>
    <row r="229">
      <c r="B229" t="s">
        <v>532</v>
      </c>
      <c r="C229" t="s">
        <v>487</v>
      </c>
      <c r="D229" t="s">
        <v>489</v>
      </c>
      <c r="E229" t="s">
        <v>491</v>
      </c>
      <c r="F229" t="n">
        <v>957.047352869024</v>
      </c>
    </row>
    <row r="230">
      <c r="B230" t="s">
        <v>532</v>
      </c>
      <c r="C230" t="s">
        <v>487</v>
      </c>
      <c r="D230" t="s">
        <v>492</v>
      </c>
      <c r="E230" t="s">
        <v>493</v>
      </c>
      <c r="F230" t="n">
        <v>1553.60175325613</v>
      </c>
    </row>
    <row r="231">
      <c r="B231" t="s">
        <v>532</v>
      </c>
      <c r="C231" t="s">
        <v>487</v>
      </c>
      <c r="D231" t="s">
        <v>492</v>
      </c>
      <c r="E231" t="s">
        <v>494</v>
      </c>
      <c r="F231" t="n">
        <v>281.507428340115</v>
      </c>
    </row>
    <row r="232">
      <c r="B232" t="s">
        <v>532</v>
      </c>
      <c r="C232" t="s">
        <v>487</v>
      </c>
      <c r="D232" t="s">
        <v>495</v>
      </c>
      <c r="E232" t="s">
        <v>496</v>
      </c>
      <c r="F232" t="n">
        <v>185664.233300243</v>
      </c>
    </row>
    <row r="233">
      <c r="B233" t="s">
        <v>532</v>
      </c>
      <c r="C233" t="s">
        <v>487</v>
      </c>
      <c r="D233" t="s">
        <v>495</v>
      </c>
      <c r="E233" t="s">
        <v>497</v>
      </c>
      <c r="F233" t="n">
        <v>29654.2373905329</v>
      </c>
    </row>
    <row r="234">
      <c r="B234" t="s">
        <v>532</v>
      </c>
      <c r="C234" t="s">
        <v>487</v>
      </c>
      <c r="D234" t="s">
        <v>495</v>
      </c>
      <c r="E234" t="s">
        <v>498</v>
      </c>
      <c r="F234" t="n">
        <v>24505.878068135</v>
      </c>
    </row>
    <row r="235">
      <c r="B235" t="s">
        <v>532</v>
      </c>
      <c r="C235" t="s">
        <v>487</v>
      </c>
      <c r="D235" t="s">
        <v>495</v>
      </c>
      <c r="E235" t="s">
        <v>499</v>
      </c>
      <c r="F235" t="n">
        <v>33922.4500038339</v>
      </c>
    </row>
    <row r="236">
      <c r="B236" t="s">
        <v>532</v>
      </c>
      <c r="C236" t="s">
        <v>487</v>
      </c>
      <c r="D236" t="s">
        <v>495</v>
      </c>
      <c r="E236" t="s">
        <v>500</v>
      </c>
      <c r="F236" t="n">
        <v>54743.2823471777</v>
      </c>
    </row>
    <row r="237">
      <c r="B237" t="s">
        <v>532</v>
      </c>
      <c r="C237" t="s">
        <v>487</v>
      </c>
      <c r="D237" t="s">
        <v>495</v>
      </c>
      <c r="E237" t="s">
        <v>501</v>
      </c>
      <c r="F237" t="n">
        <v>146653.063148607</v>
      </c>
    </row>
    <row r="238">
      <c r="B238" t="s">
        <v>532</v>
      </c>
      <c r="C238" t="s">
        <v>502</v>
      </c>
      <c r="D238" t="s">
        <v>503</v>
      </c>
      <c r="E238"/>
      <c r="F238" t="n">
        <v>27616.8660028826</v>
      </c>
    </row>
    <row r="239">
      <c r="B239" t="s">
        <v>532</v>
      </c>
      <c r="C239" t="s">
        <v>502</v>
      </c>
      <c r="D239" t="s">
        <v>504</v>
      </c>
      <c r="E239"/>
      <c r="F239" t="n">
        <v>4116.62850505053</v>
      </c>
    </row>
    <row r="240">
      <c r="B240" t="s">
        <v>532</v>
      </c>
      <c r="C240" t="s">
        <v>502</v>
      </c>
      <c r="D240" t="s">
        <v>505</v>
      </c>
      <c r="E240" t="s">
        <v>506</v>
      </c>
      <c r="F240" t="n">
        <v>9160.97811994301</v>
      </c>
    </row>
    <row r="241">
      <c r="B241" t="s">
        <v>532</v>
      </c>
      <c r="C241" t="s">
        <v>502</v>
      </c>
      <c r="D241" t="s">
        <v>505</v>
      </c>
      <c r="E241" t="s">
        <v>507</v>
      </c>
      <c r="F241" t="n">
        <v>1397.24403613172</v>
      </c>
    </row>
    <row r="242">
      <c r="B242" t="s">
        <v>532</v>
      </c>
      <c r="C242" t="s">
        <v>502</v>
      </c>
      <c r="D242" t="s">
        <v>508</v>
      </c>
      <c r="E242" t="s">
        <v>509</v>
      </c>
      <c r="F242" t="n">
        <v>367.577048215674</v>
      </c>
    </row>
    <row r="243">
      <c r="B243" t="s">
        <v>532</v>
      </c>
      <c r="C243" t="s">
        <v>502</v>
      </c>
      <c r="D243" t="s">
        <v>508</v>
      </c>
      <c r="E243" t="s">
        <v>510</v>
      </c>
      <c r="F243" t="n">
        <v>275.602153697213</v>
      </c>
    </row>
    <row r="244">
      <c r="B244" t="s">
        <v>532</v>
      </c>
      <c r="C244" t="s">
        <v>502</v>
      </c>
      <c r="D244" t="s">
        <v>508</v>
      </c>
      <c r="E244" t="s">
        <v>511</v>
      </c>
      <c r="F244" t="n">
        <v>752.754602869637</v>
      </c>
    </row>
    <row r="245">
      <c r="B245" t="s">
        <v>532</v>
      </c>
      <c r="C245" t="s">
        <v>502</v>
      </c>
      <c r="D245" t="s">
        <v>512</v>
      </c>
      <c r="E245" t="s">
        <v>513</v>
      </c>
      <c r="F245" t="n">
        <v>569.946540247162</v>
      </c>
    </row>
    <row r="246">
      <c r="B246" t="s">
        <v>532</v>
      </c>
      <c r="C246" t="s">
        <v>502</v>
      </c>
      <c r="D246" t="s">
        <v>512</v>
      </c>
      <c r="E246" t="s">
        <v>514</v>
      </c>
      <c r="F246" t="n">
        <v>420.764779397926</v>
      </c>
    </row>
    <row r="247">
      <c r="B247" t="s">
        <v>532</v>
      </c>
      <c r="C247" t="s">
        <v>502</v>
      </c>
      <c r="D247" t="s">
        <v>512</v>
      </c>
      <c r="E247" t="s">
        <v>515</v>
      </c>
      <c r="F247" t="n">
        <v>3104.40544641864</v>
      </c>
    </row>
    <row r="248">
      <c r="B248" t="s">
        <v>532</v>
      </c>
      <c r="C248" t="s">
        <v>516</v>
      </c>
      <c r="D248"/>
      <c r="E248"/>
      <c r="F248" t="n">
        <v>250488.946181775</v>
      </c>
    </row>
    <row r="249">
      <c r="B249" t="s">
        <v>532</v>
      </c>
      <c r="C249" t="s">
        <v>517</v>
      </c>
      <c r="D249" t="s">
        <v>518</v>
      </c>
      <c r="E249"/>
      <c r="F249" t="n">
        <v>5805.84356628492</v>
      </c>
    </row>
    <row r="250">
      <c r="B250" t="s">
        <v>532</v>
      </c>
      <c r="C250" t="s">
        <v>517</v>
      </c>
      <c r="D250" t="s">
        <v>519</v>
      </c>
      <c r="E250"/>
      <c r="F250" t="n">
        <v>55895.2433281005</v>
      </c>
    </row>
    <row r="251">
      <c r="B251" t="s">
        <v>532</v>
      </c>
      <c r="C251" t="s">
        <v>517</v>
      </c>
      <c r="D251" t="s">
        <v>520</v>
      </c>
      <c r="E251"/>
      <c r="F251" t="n">
        <v>1318122.26388696</v>
      </c>
    </row>
    <row r="252">
      <c r="B252" t="s">
        <v>532</v>
      </c>
      <c r="C252" t="s">
        <v>521</v>
      </c>
      <c r="D252" t="s">
        <v>522</v>
      </c>
      <c r="E252"/>
      <c r="F252" t="n">
        <v>621.904054462338</v>
      </c>
    </row>
    <row r="253">
      <c r="B253" t="s">
        <v>532</v>
      </c>
      <c r="C253" t="s">
        <v>521</v>
      </c>
      <c r="D253" t="s">
        <v>523</v>
      </c>
      <c r="E253"/>
      <c r="F253" t="n">
        <v>98020.2315081228</v>
      </c>
    </row>
    <row r="254">
      <c r="B254" t="s">
        <v>532</v>
      </c>
      <c r="C254" t="s">
        <v>524</v>
      </c>
      <c r="D254"/>
      <c r="E254"/>
      <c r="F254" t="n">
        <v>12073.1755918071</v>
      </c>
    </row>
    <row r="255">
      <c r="B255" t="s">
        <v>533</v>
      </c>
      <c r="C255" t="s">
        <v>487</v>
      </c>
      <c r="D255" t="s">
        <v>488</v>
      </c>
      <c r="E255"/>
      <c r="F255" t="n">
        <v>5007.85539969773</v>
      </c>
    </row>
    <row r="256">
      <c r="B256" t="s">
        <v>533</v>
      </c>
      <c r="C256" t="s">
        <v>487</v>
      </c>
      <c r="D256" t="s">
        <v>489</v>
      </c>
      <c r="E256" t="s">
        <v>490</v>
      </c>
      <c r="F256" t="n">
        <v>231.111098914752</v>
      </c>
    </row>
    <row r="257">
      <c r="B257" t="s">
        <v>533</v>
      </c>
      <c r="C257" t="s">
        <v>487</v>
      </c>
      <c r="D257" t="s">
        <v>489</v>
      </c>
      <c r="E257" t="s">
        <v>491</v>
      </c>
      <c r="F257" t="n">
        <v>959.213322044411</v>
      </c>
    </row>
    <row r="258">
      <c r="B258" t="s">
        <v>533</v>
      </c>
      <c r="C258" t="s">
        <v>487</v>
      </c>
      <c r="D258" t="s">
        <v>492</v>
      </c>
      <c r="E258" t="s">
        <v>493</v>
      </c>
      <c r="F258" t="n">
        <v>1542.07053482758</v>
      </c>
    </row>
    <row r="259">
      <c r="B259" t="s">
        <v>533</v>
      </c>
      <c r="C259" t="s">
        <v>487</v>
      </c>
      <c r="D259" t="s">
        <v>492</v>
      </c>
      <c r="E259" t="s">
        <v>494</v>
      </c>
      <c r="F259" t="n">
        <v>278.773669613952</v>
      </c>
    </row>
    <row r="260">
      <c r="B260" t="s">
        <v>533</v>
      </c>
      <c r="C260" t="s">
        <v>487</v>
      </c>
      <c r="D260" t="s">
        <v>495</v>
      </c>
      <c r="E260" t="s">
        <v>496</v>
      </c>
      <c r="F260" t="n">
        <v>180104.778961974</v>
      </c>
    </row>
    <row r="261">
      <c r="B261" t="s">
        <v>533</v>
      </c>
      <c r="C261" t="s">
        <v>487</v>
      </c>
      <c r="D261" t="s">
        <v>495</v>
      </c>
      <c r="E261" t="s">
        <v>497</v>
      </c>
      <c r="F261" t="n">
        <v>28786.3924315491</v>
      </c>
    </row>
    <row r="262">
      <c r="B262" t="s">
        <v>533</v>
      </c>
      <c r="C262" t="s">
        <v>487</v>
      </c>
      <c r="D262" t="s">
        <v>495</v>
      </c>
      <c r="E262" t="s">
        <v>498</v>
      </c>
      <c r="F262" t="n">
        <v>23792.9217758081</v>
      </c>
    </row>
    <row r="263">
      <c r="B263" t="s">
        <v>533</v>
      </c>
      <c r="C263" t="s">
        <v>487</v>
      </c>
      <c r="D263" t="s">
        <v>495</v>
      </c>
      <c r="E263" t="s">
        <v>499</v>
      </c>
      <c r="F263" t="n">
        <v>33865.561587771</v>
      </c>
    </row>
    <row r="264">
      <c r="B264" t="s">
        <v>533</v>
      </c>
      <c r="C264" t="s">
        <v>487</v>
      </c>
      <c r="D264" t="s">
        <v>495</v>
      </c>
      <c r="E264" t="s">
        <v>500</v>
      </c>
      <c r="F264" t="n">
        <v>53281.0805491656</v>
      </c>
    </row>
    <row r="265">
      <c r="B265" t="s">
        <v>533</v>
      </c>
      <c r="C265" t="s">
        <v>487</v>
      </c>
      <c r="D265" t="s">
        <v>495</v>
      </c>
      <c r="E265" t="s">
        <v>501</v>
      </c>
      <c r="F265" t="n">
        <v>147126.067860158</v>
      </c>
    </row>
    <row r="266">
      <c r="B266" t="s">
        <v>533</v>
      </c>
      <c r="C266" t="s">
        <v>502</v>
      </c>
      <c r="D266" t="s">
        <v>503</v>
      </c>
      <c r="E266"/>
      <c r="F266" t="n">
        <v>28529.8295171376</v>
      </c>
    </row>
    <row r="267">
      <c r="B267" t="s">
        <v>533</v>
      </c>
      <c r="C267" t="s">
        <v>502</v>
      </c>
      <c r="D267" t="s">
        <v>504</v>
      </c>
      <c r="E267"/>
      <c r="F267" t="n">
        <v>4129.66813600018</v>
      </c>
    </row>
    <row r="268">
      <c r="B268" t="s">
        <v>533</v>
      </c>
      <c r="C268" t="s">
        <v>502</v>
      </c>
      <c r="D268" t="s">
        <v>505</v>
      </c>
      <c r="E268" t="s">
        <v>506</v>
      </c>
      <c r="F268" t="n">
        <v>9413.19684273848</v>
      </c>
    </row>
    <row r="269">
      <c r="B269" t="s">
        <v>533</v>
      </c>
      <c r="C269" t="s">
        <v>502</v>
      </c>
      <c r="D269" t="s">
        <v>505</v>
      </c>
      <c r="E269" t="s">
        <v>507</v>
      </c>
      <c r="F269" t="n">
        <v>1395.44325325694</v>
      </c>
    </row>
    <row r="270">
      <c r="B270" t="s">
        <v>533</v>
      </c>
      <c r="C270" t="s">
        <v>502</v>
      </c>
      <c r="D270" t="s">
        <v>508</v>
      </c>
      <c r="E270" t="s">
        <v>509</v>
      </c>
      <c r="F270" t="n">
        <v>379.728478927016</v>
      </c>
    </row>
    <row r="271">
      <c r="B271" t="s">
        <v>533</v>
      </c>
      <c r="C271" t="s">
        <v>502</v>
      </c>
      <c r="D271" t="s">
        <v>508</v>
      </c>
      <c r="E271" t="s">
        <v>510</v>
      </c>
      <c r="F271" t="n">
        <v>272.846132160241</v>
      </c>
    </row>
    <row r="272">
      <c r="B272" t="s">
        <v>533</v>
      </c>
      <c r="C272" t="s">
        <v>502</v>
      </c>
      <c r="D272" t="s">
        <v>508</v>
      </c>
      <c r="E272" t="s">
        <v>511</v>
      </c>
      <c r="F272" t="n">
        <v>747.167471076951</v>
      </c>
    </row>
    <row r="273">
      <c r="B273" t="s">
        <v>533</v>
      </c>
      <c r="C273" t="s">
        <v>502</v>
      </c>
      <c r="D273" t="s">
        <v>512</v>
      </c>
      <c r="E273" t="s">
        <v>513</v>
      </c>
      <c r="F273" t="n">
        <v>588.523015814008</v>
      </c>
    </row>
    <row r="274">
      <c r="B274" t="s">
        <v>533</v>
      </c>
      <c r="C274" t="s">
        <v>502</v>
      </c>
      <c r="D274" t="s">
        <v>512</v>
      </c>
      <c r="E274" t="s">
        <v>514</v>
      </c>
      <c r="F274" t="n">
        <v>425.613639654532</v>
      </c>
    </row>
    <row r="275">
      <c r="B275" t="s">
        <v>533</v>
      </c>
      <c r="C275" t="s">
        <v>502</v>
      </c>
      <c r="D275" t="s">
        <v>512</v>
      </c>
      <c r="E275" t="s">
        <v>515</v>
      </c>
      <c r="F275" t="n">
        <v>3216.57571702223</v>
      </c>
    </row>
    <row r="276">
      <c r="B276" t="s">
        <v>533</v>
      </c>
      <c r="C276" t="s">
        <v>516</v>
      </c>
      <c r="D276"/>
      <c r="E276"/>
      <c r="F276" t="n">
        <v>248540.922868819</v>
      </c>
    </row>
    <row r="277">
      <c r="B277" t="s">
        <v>533</v>
      </c>
      <c r="C277" t="s">
        <v>517</v>
      </c>
      <c r="D277" t="s">
        <v>518</v>
      </c>
      <c r="E277"/>
      <c r="F277" t="n">
        <v>6192.89980403725</v>
      </c>
    </row>
    <row r="278">
      <c r="B278" t="s">
        <v>533</v>
      </c>
      <c r="C278" t="s">
        <v>517</v>
      </c>
      <c r="D278" t="s">
        <v>519</v>
      </c>
      <c r="E278"/>
      <c r="F278" t="n">
        <v>59621.5928833072</v>
      </c>
    </row>
    <row r="279">
      <c r="B279" t="s">
        <v>533</v>
      </c>
      <c r="C279" t="s">
        <v>517</v>
      </c>
      <c r="D279" t="s">
        <v>520</v>
      </c>
      <c r="E279"/>
      <c r="F279" t="n">
        <v>1319364.66571934</v>
      </c>
    </row>
    <row r="280">
      <c r="B280" t="s">
        <v>533</v>
      </c>
      <c r="C280" t="s">
        <v>521</v>
      </c>
      <c r="D280" t="s">
        <v>522</v>
      </c>
      <c r="E280"/>
      <c r="F280" t="n">
        <v>663.364324759827</v>
      </c>
    </row>
    <row r="281">
      <c r="B281" t="s">
        <v>533</v>
      </c>
      <c r="C281" t="s">
        <v>521</v>
      </c>
      <c r="D281" t="s">
        <v>523</v>
      </c>
      <c r="E281"/>
      <c r="F281" t="n">
        <v>97236.6568279838</v>
      </c>
    </row>
    <row r="282">
      <c r="B282" t="s">
        <v>533</v>
      </c>
      <c r="C282" t="s">
        <v>524</v>
      </c>
      <c r="D282"/>
      <c r="E282"/>
      <c r="F282" t="n">
        <v>13277.3711184929</v>
      </c>
    </row>
    <row r="283">
      <c r="B283" t="s">
        <v>534</v>
      </c>
      <c r="C283" t="s">
        <v>487</v>
      </c>
      <c r="D283" t="s">
        <v>488</v>
      </c>
      <c r="E283"/>
      <c r="F283" t="n">
        <v>4969.55689700359</v>
      </c>
    </row>
    <row r="284">
      <c r="B284" t="s">
        <v>534</v>
      </c>
      <c r="C284" t="s">
        <v>487</v>
      </c>
      <c r="D284" t="s">
        <v>489</v>
      </c>
      <c r="E284" t="s">
        <v>490</v>
      </c>
      <c r="F284" t="n">
        <v>231.649657634032</v>
      </c>
    </row>
    <row r="285">
      <c r="B285" t="s">
        <v>534</v>
      </c>
      <c r="C285" t="s">
        <v>487</v>
      </c>
      <c r="D285" t="s">
        <v>489</v>
      </c>
      <c r="E285" t="s">
        <v>491</v>
      </c>
      <c r="F285" t="n">
        <v>961.448579029742</v>
      </c>
    </row>
    <row r="286">
      <c r="B286" t="s">
        <v>534</v>
      </c>
      <c r="C286" t="s">
        <v>487</v>
      </c>
      <c r="D286" t="s">
        <v>492</v>
      </c>
      <c r="E286" t="s">
        <v>493</v>
      </c>
      <c r="F286" t="n">
        <v>1530.65462858331</v>
      </c>
    </row>
    <row r="287">
      <c r="B287" t="s">
        <v>534</v>
      </c>
      <c r="C287" t="s">
        <v>487</v>
      </c>
      <c r="D287" t="s">
        <v>492</v>
      </c>
      <c r="E287" t="s">
        <v>494</v>
      </c>
      <c r="F287" t="n">
        <v>276.067248475051</v>
      </c>
    </row>
    <row r="288">
      <c r="B288" t="s">
        <v>534</v>
      </c>
      <c r="C288" t="s">
        <v>487</v>
      </c>
      <c r="D288" t="s">
        <v>495</v>
      </c>
      <c r="E288" t="s">
        <v>496</v>
      </c>
      <c r="F288" t="n">
        <v>174779.016176236</v>
      </c>
    </row>
    <row r="289">
      <c r="B289" t="s">
        <v>534</v>
      </c>
      <c r="C289" t="s">
        <v>487</v>
      </c>
      <c r="D289" t="s">
        <v>495</v>
      </c>
      <c r="E289" t="s">
        <v>497</v>
      </c>
      <c r="F289" t="n">
        <v>27956.6362130981</v>
      </c>
    </row>
    <row r="290">
      <c r="B290" t="s">
        <v>534</v>
      </c>
      <c r="C290" t="s">
        <v>487</v>
      </c>
      <c r="D290" t="s">
        <v>495</v>
      </c>
      <c r="E290" t="s">
        <v>498</v>
      </c>
      <c r="F290" t="n">
        <v>23100.5550657759</v>
      </c>
    </row>
    <row r="291">
      <c r="B291" t="s">
        <v>534</v>
      </c>
      <c r="C291" t="s">
        <v>487</v>
      </c>
      <c r="D291" t="s">
        <v>495</v>
      </c>
      <c r="E291" t="s">
        <v>499</v>
      </c>
      <c r="F291" t="n">
        <v>33825.8182560019</v>
      </c>
    </row>
    <row r="292">
      <c r="B292" t="s">
        <v>534</v>
      </c>
      <c r="C292" t="s">
        <v>487</v>
      </c>
      <c r="D292" t="s">
        <v>495</v>
      </c>
      <c r="E292" t="s">
        <v>500</v>
      </c>
      <c r="F292" t="n">
        <v>51870.720580804</v>
      </c>
    </row>
    <row r="293">
      <c r="B293" t="s">
        <v>534</v>
      </c>
      <c r="C293" t="s">
        <v>487</v>
      </c>
      <c r="D293" t="s">
        <v>495</v>
      </c>
      <c r="E293" t="s">
        <v>501</v>
      </c>
      <c r="F293" t="n">
        <v>147681.852492075</v>
      </c>
    </row>
    <row r="294">
      <c r="B294" t="s">
        <v>534</v>
      </c>
      <c r="C294" t="s">
        <v>502</v>
      </c>
      <c r="D294" t="s">
        <v>503</v>
      </c>
      <c r="E294"/>
      <c r="F294" t="n">
        <v>29443.675079439</v>
      </c>
    </row>
    <row r="295">
      <c r="B295" t="s">
        <v>534</v>
      </c>
      <c r="C295" t="s">
        <v>502</v>
      </c>
      <c r="D295" t="s">
        <v>504</v>
      </c>
      <c r="E295"/>
      <c r="F295" t="n">
        <v>4142.99742063008</v>
      </c>
    </row>
    <row r="296">
      <c r="B296" t="s">
        <v>534</v>
      </c>
      <c r="C296" t="s">
        <v>502</v>
      </c>
      <c r="D296" t="s">
        <v>505</v>
      </c>
      <c r="E296" t="s">
        <v>506</v>
      </c>
      <c r="F296" t="n">
        <v>9665.75560908916</v>
      </c>
    </row>
    <row r="297">
      <c r="B297" t="s">
        <v>534</v>
      </c>
      <c r="C297" t="s">
        <v>502</v>
      </c>
      <c r="D297" t="s">
        <v>505</v>
      </c>
      <c r="E297" t="s">
        <v>507</v>
      </c>
      <c r="F297" t="n">
        <v>1393.76233275638</v>
      </c>
    </row>
    <row r="298">
      <c r="B298" t="s">
        <v>534</v>
      </c>
      <c r="C298" t="s">
        <v>502</v>
      </c>
      <c r="D298" t="s">
        <v>508</v>
      </c>
      <c r="E298" t="s">
        <v>509</v>
      </c>
      <c r="F298" t="n">
        <v>391.891649588042</v>
      </c>
    </row>
    <row r="299">
      <c r="B299" t="s">
        <v>534</v>
      </c>
      <c r="C299" t="s">
        <v>502</v>
      </c>
      <c r="D299" t="s">
        <v>508</v>
      </c>
      <c r="E299" t="s">
        <v>510</v>
      </c>
      <c r="F299" t="n">
        <v>270.117670838639</v>
      </c>
    </row>
    <row r="300">
      <c r="B300" t="s">
        <v>534</v>
      </c>
      <c r="C300" t="s">
        <v>502</v>
      </c>
      <c r="D300" t="s">
        <v>508</v>
      </c>
      <c r="E300" t="s">
        <v>511</v>
      </c>
      <c r="F300" t="n">
        <v>741.636210602193</v>
      </c>
    </row>
    <row r="301">
      <c r="B301" t="s">
        <v>534</v>
      </c>
      <c r="C301" t="s">
        <v>502</v>
      </c>
      <c r="D301" t="s">
        <v>512</v>
      </c>
      <c r="E301" t="s">
        <v>513</v>
      </c>
      <c r="F301" t="n">
        <v>607.118113517876</v>
      </c>
    </row>
    <row r="302">
      <c r="B302" t="s">
        <v>534</v>
      </c>
      <c r="C302" t="s">
        <v>502</v>
      </c>
      <c r="D302" t="s">
        <v>512</v>
      </c>
      <c r="E302" t="s">
        <v>514</v>
      </c>
      <c r="F302" t="n">
        <v>430.484191583982</v>
      </c>
    </row>
    <row r="303">
      <c r="B303" t="s">
        <v>534</v>
      </c>
      <c r="C303" t="s">
        <v>502</v>
      </c>
      <c r="D303" t="s">
        <v>512</v>
      </c>
      <c r="E303" t="s">
        <v>515</v>
      </c>
      <c r="F303" t="n">
        <v>3328.83287680471</v>
      </c>
    </row>
    <row r="304">
      <c r="B304" t="s">
        <v>534</v>
      </c>
      <c r="C304" t="s">
        <v>516</v>
      </c>
      <c r="D304"/>
      <c r="E304"/>
      <c r="F304" t="n">
        <v>246718.748413327</v>
      </c>
    </row>
    <row r="305">
      <c r="B305" t="s">
        <v>534</v>
      </c>
      <c r="C305" t="s">
        <v>517</v>
      </c>
      <c r="D305" t="s">
        <v>518</v>
      </c>
      <c r="E305"/>
      <c r="F305" t="n">
        <v>6579.95604178958</v>
      </c>
    </row>
    <row r="306">
      <c r="B306" t="s">
        <v>534</v>
      </c>
      <c r="C306" t="s">
        <v>517</v>
      </c>
      <c r="D306" t="s">
        <v>519</v>
      </c>
      <c r="E306"/>
      <c r="F306" t="n">
        <v>63347.9424385139</v>
      </c>
    </row>
    <row r="307">
      <c r="B307" t="s">
        <v>534</v>
      </c>
      <c r="C307" t="s">
        <v>517</v>
      </c>
      <c r="D307" t="s">
        <v>520</v>
      </c>
      <c r="E307"/>
      <c r="F307" t="n">
        <v>1321073.56836405</v>
      </c>
    </row>
    <row r="308">
      <c r="B308" t="s">
        <v>534</v>
      </c>
      <c r="C308" t="s">
        <v>521</v>
      </c>
      <c r="D308" t="s">
        <v>522</v>
      </c>
      <c r="E308"/>
      <c r="F308" t="n">
        <v>704.824595057316</v>
      </c>
    </row>
    <row r="309">
      <c r="B309" t="s">
        <v>534</v>
      </c>
      <c r="C309" t="s">
        <v>521</v>
      </c>
      <c r="D309" t="s">
        <v>523</v>
      </c>
      <c r="E309"/>
      <c r="F309" t="n">
        <v>96516.4982285666</v>
      </c>
    </row>
    <row r="310">
      <c r="B310" t="s">
        <v>534</v>
      </c>
      <c r="C310" t="s">
        <v>524</v>
      </c>
      <c r="D310"/>
      <c r="E310"/>
      <c r="F310" t="n">
        <v>14544.4336807982</v>
      </c>
    </row>
    <row r="311">
      <c r="B311" t="s">
        <v>535</v>
      </c>
      <c r="C311" t="s">
        <v>487</v>
      </c>
      <c r="D311" t="s">
        <v>488</v>
      </c>
      <c r="E311"/>
      <c r="F311" t="n">
        <v>4931.6413793364</v>
      </c>
    </row>
    <row r="312">
      <c r="B312" t="s">
        <v>535</v>
      </c>
      <c r="C312" t="s">
        <v>487</v>
      </c>
      <c r="D312" t="s">
        <v>489</v>
      </c>
      <c r="E312" t="s">
        <v>490</v>
      </c>
      <c r="F312" t="n">
        <v>232.204743490409</v>
      </c>
    </row>
    <row r="313">
      <c r="B313" t="s">
        <v>535</v>
      </c>
      <c r="C313" t="s">
        <v>487</v>
      </c>
      <c r="D313" t="s">
        <v>489</v>
      </c>
      <c r="E313" t="s">
        <v>491</v>
      </c>
      <c r="F313" t="n">
        <v>963.752430946918</v>
      </c>
    </row>
    <row r="314">
      <c r="B314" t="s">
        <v>535</v>
      </c>
      <c r="C314" t="s">
        <v>487</v>
      </c>
      <c r="D314" t="s">
        <v>492</v>
      </c>
      <c r="E314" t="s">
        <v>493</v>
      </c>
      <c r="F314" t="n">
        <v>1519.35288140148</v>
      </c>
    </row>
    <row r="315">
      <c r="B315" t="s">
        <v>535</v>
      </c>
      <c r="C315" t="s">
        <v>487</v>
      </c>
      <c r="D315" t="s">
        <v>492</v>
      </c>
      <c r="E315" t="s">
        <v>494</v>
      </c>
      <c r="F315" t="n">
        <v>273.38789154754</v>
      </c>
    </row>
    <row r="316">
      <c r="B316" t="s">
        <v>535</v>
      </c>
      <c r="C316" t="s">
        <v>487</v>
      </c>
      <c r="D316" t="s">
        <v>495</v>
      </c>
      <c r="E316" t="s">
        <v>496</v>
      </c>
      <c r="F316" t="n">
        <v>169640.462730761</v>
      </c>
    </row>
    <row r="317">
      <c r="B317" t="s">
        <v>535</v>
      </c>
      <c r="C317" t="s">
        <v>487</v>
      </c>
      <c r="D317" t="s">
        <v>495</v>
      </c>
      <c r="E317" t="s">
        <v>497</v>
      </c>
      <c r="F317" t="n">
        <v>27157.4697031361</v>
      </c>
    </row>
    <row r="318">
      <c r="B318" t="s">
        <v>535</v>
      </c>
      <c r="C318" t="s">
        <v>487</v>
      </c>
      <c r="D318" t="s">
        <v>495</v>
      </c>
      <c r="E318" t="s">
        <v>498</v>
      </c>
      <c r="F318" t="n">
        <v>22426.358322236</v>
      </c>
    </row>
    <row r="319">
      <c r="B319" t="s">
        <v>535</v>
      </c>
      <c r="C319" t="s">
        <v>487</v>
      </c>
      <c r="D319" t="s">
        <v>495</v>
      </c>
      <c r="E319" t="s">
        <v>499</v>
      </c>
      <c r="F319" t="n">
        <v>33790.0758237328</v>
      </c>
    </row>
    <row r="320">
      <c r="B320" t="s">
        <v>535</v>
      </c>
      <c r="C320" t="s">
        <v>487</v>
      </c>
      <c r="D320" t="s">
        <v>495</v>
      </c>
      <c r="E320" t="s">
        <v>500</v>
      </c>
      <c r="F320" t="n">
        <v>50502.8071842983</v>
      </c>
    </row>
    <row r="321">
      <c r="B321" t="s">
        <v>535</v>
      </c>
      <c r="C321" t="s">
        <v>487</v>
      </c>
      <c r="D321" t="s">
        <v>495</v>
      </c>
      <c r="E321" t="s">
        <v>501</v>
      </c>
      <c r="F321" t="n">
        <v>148249.086072654</v>
      </c>
    </row>
    <row r="322">
      <c r="B322" t="s">
        <v>535</v>
      </c>
      <c r="C322" t="s">
        <v>502</v>
      </c>
      <c r="D322" t="s">
        <v>503</v>
      </c>
      <c r="E322"/>
      <c r="F322" t="n">
        <v>30358.3938693064</v>
      </c>
    </row>
    <row r="323">
      <c r="B323" t="s">
        <v>535</v>
      </c>
      <c r="C323" t="s">
        <v>502</v>
      </c>
      <c r="D323" t="s">
        <v>504</v>
      </c>
      <c r="E323"/>
      <c r="F323" t="n">
        <v>4156.61346240343</v>
      </c>
    </row>
    <row r="324">
      <c r="B324" t="s">
        <v>535</v>
      </c>
      <c r="C324" t="s">
        <v>502</v>
      </c>
      <c r="D324" t="s">
        <v>505</v>
      </c>
      <c r="E324" t="s">
        <v>506</v>
      </c>
      <c r="F324" t="n">
        <v>9918.65101855948</v>
      </c>
    </row>
    <row r="325">
      <c r="B325" t="s">
        <v>535</v>
      </c>
      <c r="C325" t="s">
        <v>502</v>
      </c>
      <c r="D325" t="s">
        <v>505</v>
      </c>
      <c r="E325" t="s">
        <v>507</v>
      </c>
      <c r="F325" t="n">
        <v>1392.2000760063</v>
      </c>
    </row>
    <row r="326">
      <c r="B326" t="s">
        <v>535</v>
      </c>
      <c r="C326" t="s">
        <v>502</v>
      </c>
      <c r="D326" t="s">
        <v>508</v>
      </c>
      <c r="E326" t="s">
        <v>509</v>
      </c>
      <c r="F326" t="n">
        <v>404.066442799254</v>
      </c>
    </row>
    <row r="327">
      <c r="B327" t="s">
        <v>535</v>
      </c>
      <c r="C327" t="s">
        <v>502</v>
      </c>
      <c r="D327" t="s">
        <v>508</v>
      </c>
      <c r="E327" t="s">
        <v>510</v>
      </c>
      <c r="F327" t="n">
        <v>267.416494130252</v>
      </c>
    </row>
    <row r="328">
      <c r="B328" t="s">
        <v>535</v>
      </c>
      <c r="C328" t="s">
        <v>502</v>
      </c>
      <c r="D328" t="s">
        <v>508</v>
      </c>
      <c r="E328" t="s">
        <v>511</v>
      </c>
      <c r="F328" t="n">
        <v>736.160262732182</v>
      </c>
    </row>
    <row r="329">
      <c r="B329" t="s">
        <v>535</v>
      </c>
      <c r="C329" t="s">
        <v>502</v>
      </c>
      <c r="D329" t="s">
        <v>512</v>
      </c>
      <c r="E329" t="s">
        <v>513</v>
      </c>
      <c r="F329" t="n">
        <v>625.731647137394</v>
      </c>
    </row>
    <row r="330">
      <c r="B330" t="s">
        <v>535</v>
      </c>
      <c r="C330" t="s">
        <v>502</v>
      </c>
      <c r="D330" t="s">
        <v>512</v>
      </c>
      <c r="E330" t="s">
        <v>514</v>
      </c>
      <c r="F330" t="n">
        <v>435.376218269547</v>
      </c>
    </row>
    <row r="331">
      <c r="B331" t="s">
        <v>535</v>
      </c>
      <c r="C331" t="s">
        <v>502</v>
      </c>
      <c r="D331" t="s">
        <v>512</v>
      </c>
      <c r="E331" t="s">
        <v>515</v>
      </c>
      <c r="F331" t="n">
        <v>3441.17605687431</v>
      </c>
    </row>
    <row r="332">
      <c r="B332" t="s">
        <v>535</v>
      </c>
      <c r="C332" t="s">
        <v>516</v>
      </c>
      <c r="D332"/>
      <c r="E332"/>
      <c r="F332" t="n">
        <v>244962.367860629</v>
      </c>
    </row>
    <row r="333">
      <c r="B333" t="s">
        <v>535</v>
      </c>
      <c r="C333" t="s">
        <v>517</v>
      </c>
      <c r="D333" t="s">
        <v>518</v>
      </c>
      <c r="E333"/>
      <c r="F333" t="n">
        <v>6967.01227954191</v>
      </c>
    </row>
    <row r="334">
      <c r="B334" t="s">
        <v>535</v>
      </c>
      <c r="C334" t="s">
        <v>517</v>
      </c>
      <c r="D334" t="s">
        <v>519</v>
      </c>
      <c r="E334"/>
      <c r="F334" t="n">
        <v>67074.2919937206</v>
      </c>
    </row>
    <row r="335">
      <c r="B335" t="s">
        <v>535</v>
      </c>
      <c r="C335" t="s">
        <v>517</v>
      </c>
      <c r="D335" t="s">
        <v>520</v>
      </c>
      <c r="E335"/>
      <c r="F335" t="n">
        <v>1322527.22823774</v>
      </c>
    </row>
    <row r="336">
      <c r="B336" t="s">
        <v>535</v>
      </c>
      <c r="C336" t="s">
        <v>521</v>
      </c>
      <c r="D336" t="s">
        <v>522</v>
      </c>
      <c r="E336"/>
      <c r="F336" t="n">
        <v>746.284865354806</v>
      </c>
    </row>
    <row r="337">
      <c r="B337" t="s">
        <v>535</v>
      </c>
      <c r="C337" t="s">
        <v>521</v>
      </c>
      <c r="D337" t="s">
        <v>523</v>
      </c>
      <c r="E337"/>
      <c r="F337" t="n">
        <v>95823.6091730101</v>
      </c>
    </row>
    <row r="338">
      <c r="B338" t="s">
        <v>535</v>
      </c>
      <c r="C338" t="s">
        <v>524</v>
      </c>
      <c r="D338"/>
      <c r="E338"/>
      <c r="F338" t="n">
        <v>15790.8867677627</v>
      </c>
    </row>
    <row r="339">
      <c r="B339" t="s">
        <v>536</v>
      </c>
      <c r="C339" t="s">
        <v>487</v>
      </c>
      <c r="D339" t="s">
        <v>488</v>
      </c>
      <c r="E339"/>
      <c r="F339" t="n">
        <v>4894.10501684588</v>
      </c>
    </row>
    <row r="340">
      <c r="B340" t="s">
        <v>536</v>
      </c>
      <c r="C340" t="s">
        <v>487</v>
      </c>
      <c r="D340" t="s">
        <v>489</v>
      </c>
      <c r="E340" t="s">
        <v>490</v>
      </c>
      <c r="F340" t="n">
        <v>232.776191212512</v>
      </c>
    </row>
    <row r="341">
      <c r="B341" t="s">
        <v>536</v>
      </c>
      <c r="C341" t="s">
        <v>487</v>
      </c>
      <c r="D341" t="s">
        <v>489</v>
      </c>
      <c r="E341" t="s">
        <v>491</v>
      </c>
      <c r="F341" t="n">
        <v>966.124191846619</v>
      </c>
    </row>
    <row r="342">
      <c r="B342" t="s">
        <v>536</v>
      </c>
      <c r="C342" t="s">
        <v>487</v>
      </c>
      <c r="D342" t="s">
        <v>492</v>
      </c>
      <c r="E342" t="s">
        <v>493</v>
      </c>
      <c r="F342" t="n">
        <v>1508.16415169148</v>
      </c>
    </row>
    <row r="343">
      <c r="B343" t="s">
        <v>536</v>
      </c>
      <c r="C343" t="s">
        <v>487</v>
      </c>
      <c r="D343" t="s">
        <v>492</v>
      </c>
      <c r="E343" t="s">
        <v>494</v>
      </c>
      <c r="F343" t="n">
        <v>270.735328189303</v>
      </c>
    </row>
    <row r="344">
      <c r="B344" t="s">
        <v>536</v>
      </c>
      <c r="C344" t="s">
        <v>487</v>
      </c>
      <c r="D344" t="s">
        <v>495</v>
      </c>
      <c r="E344" t="s">
        <v>496</v>
      </c>
      <c r="F344" t="n">
        <v>164689.419572531</v>
      </c>
    </row>
    <row r="345">
      <c r="B345" t="s">
        <v>536</v>
      </c>
      <c r="C345" t="s">
        <v>487</v>
      </c>
      <c r="D345" t="s">
        <v>495</v>
      </c>
      <c r="E345" t="s">
        <v>497</v>
      </c>
      <c r="F345" t="n">
        <v>26393.112047016</v>
      </c>
    </row>
    <row r="346">
      <c r="B346" t="s">
        <v>536</v>
      </c>
      <c r="C346" t="s">
        <v>487</v>
      </c>
      <c r="D346" t="s">
        <v>495</v>
      </c>
      <c r="E346" t="s">
        <v>498</v>
      </c>
      <c r="F346" t="n">
        <v>21769.3820521441</v>
      </c>
    </row>
    <row r="347">
      <c r="B347" t="s">
        <v>536</v>
      </c>
      <c r="C347" t="s">
        <v>487</v>
      </c>
      <c r="D347" t="s">
        <v>495</v>
      </c>
      <c r="E347" t="s">
        <v>499</v>
      </c>
      <c r="F347" t="n">
        <v>33757.7762916624</v>
      </c>
    </row>
    <row r="348">
      <c r="B348" t="s">
        <v>536</v>
      </c>
      <c r="C348" t="s">
        <v>487</v>
      </c>
      <c r="D348" t="s">
        <v>495</v>
      </c>
      <c r="E348" t="s">
        <v>500</v>
      </c>
      <c r="F348" t="n">
        <v>49177.6043377244</v>
      </c>
    </row>
    <row r="349">
      <c r="B349" t="s">
        <v>536</v>
      </c>
      <c r="C349" t="s">
        <v>487</v>
      </c>
      <c r="D349" t="s">
        <v>495</v>
      </c>
      <c r="E349" t="s">
        <v>501</v>
      </c>
      <c r="F349" t="n">
        <v>148826.253037291</v>
      </c>
    </row>
    <row r="350">
      <c r="B350" t="s">
        <v>536</v>
      </c>
      <c r="C350" t="s">
        <v>502</v>
      </c>
      <c r="D350" t="s">
        <v>503</v>
      </c>
      <c r="E350"/>
      <c r="F350" t="n">
        <v>31273.977154464</v>
      </c>
    </row>
    <row r="351">
      <c r="B351" t="s">
        <v>536</v>
      </c>
      <c r="C351" t="s">
        <v>502</v>
      </c>
      <c r="D351" t="s">
        <v>504</v>
      </c>
      <c r="E351"/>
      <c r="F351" t="n">
        <v>4170.51339374878</v>
      </c>
    </row>
    <row r="352">
      <c r="B352" t="s">
        <v>536</v>
      </c>
      <c r="C352" t="s">
        <v>502</v>
      </c>
      <c r="D352" t="s">
        <v>505</v>
      </c>
      <c r="E352" t="s">
        <v>506</v>
      </c>
      <c r="F352" t="n">
        <v>10171.8797047183</v>
      </c>
    </row>
    <row r="353">
      <c r="B353" t="s">
        <v>536</v>
      </c>
      <c r="C353" t="s">
        <v>502</v>
      </c>
      <c r="D353" t="s">
        <v>505</v>
      </c>
      <c r="E353" t="s">
        <v>507</v>
      </c>
      <c r="F353" t="n">
        <v>1390.75529636921</v>
      </c>
    </row>
    <row r="354">
      <c r="B354" t="s">
        <v>536</v>
      </c>
      <c r="C354" t="s">
        <v>502</v>
      </c>
      <c r="D354" t="s">
        <v>508</v>
      </c>
      <c r="E354" t="s">
        <v>509</v>
      </c>
      <c r="F354" t="n">
        <v>416.252742335152</v>
      </c>
    </row>
    <row r="355">
      <c r="B355" t="s">
        <v>536</v>
      </c>
      <c r="C355" t="s">
        <v>502</v>
      </c>
      <c r="D355" t="s">
        <v>508</v>
      </c>
      <c r="E355" t="s">
        <v>510</v>
      </c>
      <c r="F355" t="n">
        <v>264.74232918895</v>
      </c>
    </row>
    <row r="356">
      <c r="B356" t="s">
        <v>536</v>
      </c>
      <c r="C356" t="s">
        <v>502</v>
      </c>
      <c r="D356" t="s">
        <v>508</v>
      </c>
      <c r="E356" t="s">
        <v>511</v>
      </c>
      <c r="F356" t="n">
        <v>730.739074340871</v>
      </c>
    </row>
    <row r="357">
      <c r="B357" t="s">
        <v>536</v>
      </c>
      <c r="C357" t="s">
        <v>502</v>
      </c>
      <c r="D357" t="s">
        <v>512</v>
      </c>
      <c r="E357" t="s">
        <v>513</v>
      </c>
      <c r="F357" t="n">
        <v>644.363432313407</v>
      </c>
    </row>
    <row r="358">
      <c r="B358" t="s">
        <v>536</v>
      </c>
      <c r="C358" t="s">
        <v>502</v>
      </c>
      <c r="D358" t="s">
        <v>512</v>
      </c>
      <c r="E358" t="s">
        <v>514</v>
      </c>
      <c r="F358" t="n">
        <v>440.289504963667</v>
      </c>
    </row>
    <row r="359">
      <c r="B359" t="s">
        <v>536</v>
      </c>
      <c r="C359" t="s">
        <v>502</v>
      </c>
      <c r="D359" t="s">
        <v>512</v>
      </c>
      <c r="E359" t="s">
        <v>515</v>
      </c>
      <c r="F359" t="n">
        <v>3553.60439702814</v>
      </c>
    </row>
    <row r="360">
      <c r="B360" t="s">
        <v>536</v>
      </c>
      <c r="C360" t="s">
        <v>516</v>
      </c>
      <c r="D360"/>
      <c r="E360"/>
      <c r="F360" t="n">
        <v>243303.792177661</v>
      </c>
    </row>
    <row r="361">
      <c r="B361" t="s">
        <v>536</v>
      </c>
      <c r="C361" t="s">
        <v>517</v>
      </c>
      <c r="D361" t="s">
        <v>518</v>
      </c>
      <c r="E361"/>
      <c r="F361" t="n">
        <v>7354.06851729423</v>
      </c>
    </row>
    <row r="362">
      <c r="B362" t="s">
        <v>536</v>
      </c>
      <c r="C362" t="s">
        <v>517</v>
      </c>
      <c r="D362" t="s">
        <v>519</v>
      </c>
      <c r="E362"/>
      <c r="F362" t="n">
        <v>70800.6415489273</v>
      </c>
    </row>
    <row r="363">
      <c r="B363" t="s">
        <v>536</v>
      </c>
      <c r="C363" t="s">
        <v>517</v>
      </c>
      <c r="D363" t="s">
        <v>520</v>
      </c>
      <c r="E363"/>
      <c r="F363" t="n">
        <v>1324137.77454275</v>
      </c>
    </row>
    <row r="364">
      <c r="B364" t="s">
        <v>536</v>
      </c>
      <c r="C364" t="s">
        <v>521</v>
      </c>
      <c r="D364" t="s">
        <v>522</v>
      </c>
      <c r="E364"/>
      <c r="F364" t="n">
        <v>787.745135652295</v>
      </c>
    </row>
    <row r="365">
      <c r="B365" t="s">
        <v>536</v>
      </c>
      <c r="C365" t="s">
        <v>521</v>
      </c>
      <c r="D365" t="s">
        <v>523</v>
      </c>
      <c r="E365"/>
      <c r="F365" t="n">
        <v>95163.1858382676</v>
      </c>
    </row>
    <row r="366">
      <c r="B366" t="s">
        <v>536</v>
      </c>
      <c r="C366" t="s">
        <v>524</v>
      </c>
      <c r="D366"/>
      <c r="E366"/>
      <c r="F366" t="n">
        <v>17031.5636855996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2" max="2" width="11.42578125" hidden="0" customWidth="1"/>
  </cols>
  <sheetData>
    <row r="2">
      <c r="B2" t="s">
        <v>474</v>
      </c>
      <c r="C2" t="s">
        <v>475</v>
      </c>
      <c r="D2" t="s">
        <v>476</v>
      </c>
      <c r="E2" t="s">
        <v>477</v>
      </c>
      <c r="F2" t="s">
        <v>478</v>
      </c>
    </row>
    <row r="3">
      <c r="B3" t="s">
        <v>479</v>
      </c>
      <c r="C3" t="n">
        <v>0.349521729427406</v>
      </c>
      <c r="D3" t="n">
        <v>0.177942889265949</v>
      </c>
      <c r="E3" t="n">
        <v>0.106188225354721</v>
      </c>
      <c r="F3" t="n">
        <v>0.0990102528532814</v>
      </c>
    </row>
    <row r="4">
      <c r="B4" t="s">
        <v>480</v>
      </c>
      <c r="C4" t="n">
        <v>0.257119927385632</v>
      </c>
      <c r="D4" t="n">
        <v>0.134617099377756</v>
      </c>
      <c r="E4" t="n">
        <v>0.0938511326860841</v>
      </c>
      <c r="F4" t="n">
        <v>0.0726243229935992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601</v>
      </c>
      <c r="C2" t="s">
        <v>602</v>
      </c>
      <c r="D2" t="s">
        <v>603</v>
      </c>
      <c r="E2" t="s">
        <v>604</v>
      </c>
      <c r="F2" t="s">
        <v>605</v>
      </c>
      <c r="G2" t="s">
        <v>606</v>
      </c>
      <c r="H2" t="s">
        <v>607</v>
      </c>
      <c r="I2" t="s">
        <v>608</v>
      </c>
      <c r="J2" t="s">
        <v>609</v>
      </c>
    </row>
    <row r="3">
      <c r="B3" t="s">
        <v>496</v>
      </c>
      <c r="C3" t="n">
        <v>0.367954799107143</v>
      </c>
      <c r="D3" t="n">
        <v>0.04047976011994</v>
      </c>
      <c r="E3" t="n">
        <v>0.334167083541771</v>
      </c>
      <c r="F3" t="n">
        <v>0.0106780565936999</v>
      </c>
      <c r="G3" t="n">
        <v>0.579705818497612</v>
      </c>
      <c r="H3" t="n">
        <v>0.105939562348038</v>
      </c>
      <c r="I3" t="n">
        <v>0.43679519825391</v>
      </c>
      <c r="J3" t="n">
        <v>0.0324675324675325</v>
      </c>
    </row>
    <row r="4">
      <c r="B4" t="s">
        <v>497</v>
      </c>
      <c r="C4" t="n">
        <v>0.0500372023809524</v>
      </c>
      <c r="D4" t="n">
        <v>0.143928035982009</v>
      </c>
      <c r="E4" t="n">
        <v>0.0176088044022011</v>
      </c>
      <c r="F4" t="n">
        <v>0.00800854244527496</v>
      </c>
      <c r="G4" t="n">
        <v>0.0944420321320017</v>
      </c>
      <c r="H4" t="n">
        <v>0.238624522403612</v>
      </c>
      <c r="I4" t="n">
        <v>0.023463077482721</v>
      </c>
      <c r="J4" t="n">
        <v>0.0571428571428571</v>
      </c>
    </row>
    <row r="5">
      <c r="B5" t="s">
        <v>498</v>
      </c>
      <c r="C5" t="n">
        <v>0.210286458333333</v>
      </c>
      <c r="D5" t="n">
        <v>0.0449775112443778</v>
      </c>
      <c r="E5" t="n">
        <v>0.116358179089545</v>
      </c>
      <c r="F5" t="n">
        <v>0.0363053924185798</v>
      </c>
      <c r="G5" t="n">
        <v>0.0191869300911854</v>
      </c>
      <c r="H5" t="n">
        <v>0.00590482806530045</v>
      </c>
      <c r="I5" t="n">
        <v>0.0783921425973081</v>
      </c>
      <c r="J5" t="n">
        <v>0.00952380952380952</v>
      </c>
    </row>
    <row r="6">
      <c r="B6" t="s">
        <v>499</v>
      </c>
      <c r="C6" t="n">
        <v>0.0202752976190476</v>
      </c>
      <c r="D6" t="n">
        <v>0.0464767616191904</v>
      </c>
      <c r="E6" t="n">
        <v>0.00950475237618809</v>
      </c>
      <c r="F6" t="n">
        <v>0.0934329951948745</v>
      </c>
      <c r="G6" t="n">
        <v>0.0021168041684759</v>
      </c>
      <c r="H6" t="n">
        <v>0.0024313997915943</v>
      </c>
      <c r="I6" t="n">
        <v>0.00691160421971626</v>
      </c>
      <c r="J6" t="n">
        <v>0.15974025974026</v>
      </c>
    </row>
    <row r="7">
      <c r="B7" t="s">
        <v>500</v>
      </c>
      <c r="C7" t="n">
        <v>0.3017578125</v>
      </c>
      <c r="D7" t="n">
        <v>0.295352323838081</v>
      </c>
      <c r="E7" t="n">
        <v>0.389594797398699</v>
      </c>
      <c r="F7" t="n">
        <v>0.0613988254137747</v>
      </c>
      <c r="G7" t="n">
        <v>0.243568171949631</v>
      </c>
      <c r="H7" t="n">
        <v>0.442341090656478</v>
      </c>
      <c r="I7" t="n">
        <v>0.231993452164423</v>
      </c>
      <c r="J7" t="n">
        <v>0.0666666666666667</v>
      </c>
    </row>
    <row r="8">
      <c r="B8" t="s">
        <v>501</v>
      </c>
      <c r="C8" t="n">
        <v>0.0496884300595238</v>
      </c>
      <c r="D8" t="n">
        <v>0.428785607196402</v>
      </c>
      <c r="E8" t="n">
        <v>0.132766383191596</v>
      </c>
      <c r="F8" t="n">
        <v>0.790176187933796</v>
      </c>
      <c r="G8" t="n">
        <v>0.0609802431610942</v>
      </c>
      <c r="H8" t="n">
        <v>0.204758596734977</v>
      </c>
      <c r="I8" t="n">
        <v>0.222444525281921</v>
      </c>
      <c r="J8" t="n">
        <v>0.674458874458874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610</v>
      </c>
      <c r="C2" t="s">
        <v>611</v>
      </c>
      <c r="D2" t="s">
        <v>612</v>
      </c>
      <c r="E2" t="s">
        <v>601</v>
      </c>
      <c r="F2" t="s">
        <v>613</v>
      </c>
      <c r="G2" t="s">
        <v>614</v>
      </c>
      <c r="H2" t="s">
        <v>615</v>
      </c>
      <c r="I2" t="s">
        <v>616</v>
      </c>
    </row>
    <row r="3">
      <c r="B3" t="s">
        <v>617</v>
      </c>
      <c r="C3" t="s">
        <v>618</v>
      </c>
      <c r="D3" t="s">
        <v>619</v>
      </c>
      <c r="E3" t="s">
        <v>496</v>
      </c>
      <c r="F3" t="n">
        <v>0</v>
      </c>
      <c r="G3" t="n">
        <v>0</v>
      </c>
      <c r="H3" t="n">
        <v>0</v>
      </c>
      <c r="I3" t="n">
        <v>0</v>
      </c>
    </row>
    <row r="4">
      <c r="B4" t="s">
        <v>617</v>
      </c>
      <c r="C4" t="s">
        <v>618</v>
      </c>
      <c r="D4" t="s">
        <v>619</v>
      </c>
      <c r="E4" t="s">
        <v>497</v>
      </c>
      <c r="F4" t="n">
        <v>0</v>
      </c>
      <c r="G4" t="n">
        <v>0</v>
      </c>
      <c r="H4" t="n">
        <v>0</v>
      </c>
      <c r="I4" t="n">
        <v>1.4753717472119</v>
      </c>
    </row>
    <row r="5">
      <c r="B5" t="s">
        <v>617</v>
      </c>
      <c r="C5" t="s">
        <v>618</v>
      </c>
      <c r="D5" t="s">
        <v>619</v>
      </c>
      <c r="E5" t="s">
        <v>498</v>
      </c>
      <c r="F5" t="n">
        <v>0.965723131357806</v>
      </c>
      <c r="G5" t="n">
        <v>0.0237726669615215</v>
      </c>
      <c r="H5" t="n">
        <v>0.0105042016806723</v>
      </c>
      <c r="I5" t="n">
        <v>0</v>
      </c>
    </row>
    <row r="6">
      <c r="B6" t="s">
        <v>617</v>
      </c>
      <c r="C6" t="s">
        <v>618</v>
      </c>
      <c r="D6" t="s">
        <v>619</v>
      </c>
      <c r="E6" t="s">
        <v>499</v>
      </c>
      <c r="F6" t="n">
        <v>1.19839449541284</v>
      </c>
      <c r="G6" t="n">
        <v>0.855504587155963</v>
      </c>
      <c r="H6" t="n">
        <v>0.216743119266055</v>
      </c>
      <c r="I6" t="n">
        <v>0</v>
      </c>
    </row>
    <row r="7">
      <c r="B7" t="s">
        <v>617</v>
      </c>
      <c r="C7" t="s">
        <v>618</v>
      </c>
      <c r="D7" t="s">
        <v>619</v>
      </c>
      <c r="E7" t="s">
        <v>500</v>
      </c>
      <c r="F7" t="n">
        <v>0.986438588380336</v>
      </c>
      <c r="G7" t="n">
        <v>0.0067036523347203</v>
      </c>
      <c r="H7" t="n">
        <v>0.00685775928494375</v>
      </c>
      <c r="I7" t="n">
        <v>1.50285097857913</v>
      </c>
    </row>
    <row r="8">
      <c r="B8" t="s">
        <v>617</v>
      </c>
      <c r="C8" t="s">
        <v>618</v>
      </c>
      <c r="D8" t="s">
        <v>619</v>
      </c>
      <c r="E8" t="s">
        <v>501</v>
      </c>
      <c r="F8" t="n">
        <v>1.86991109031352</v>
      </c>
      <c r="G8" t="n">
        <v>0.380439868975199</v>
      </c>
      <c r="H8" t="n">
        <v>0.13102480112307</v>
      </c>
      <c r="I8" t="n">
        <v>2.03135236312588</v>
      </c>
    </row>
    <row r="9">
      <c r="B9" t="s">
        <v>617</v>
      </c>
      <c r="C9" t="s">
        <v>618</v>
      </c>
      <c r="D9" t="s">
        <v>620</v>
      </c>
      <c r="E9" t="s">
        <v>496</v>
      </c>
      <c r="F9" t="n">
        <v>0</v>
      </c>
      <c r="G9" t="n">
        <v>0</v>
      </c>
      <c r="H9" t="n">
        <v>0</v>
      </c>
      <c r="I9" t="n">
        <v>0</v>
      </c>
    </row>
    <row r="10">
      <c r="B10" t="s">
        <v>617</v>
      </c>
      <c r="C10" t="s">
        <v>618</v>
      </c>
      <c r="D10" t="s">
        <v>620</v>
      </c>
      <c r="E10" t="s">
        <v>497</v>
      </c>
      <c r="F10" t="n">
        <v>0</v>
      </c>
      <c r="G10" t="n">
        <v>0</v>
      </c>
      <c r="H10" t="n">
        <v>0</v>
      </c>
      <c r="I10" t="n">
        <v>0.665185652038593</v>
      </c>
    </row>
    <row r="11">
      <c r="B11" t="s">
        <v>617</v>
      </c>
      <c r="C11" t="s">
        <v>618</v>
      </c>
      <c r="D11" t="s">
        <v>620</v>
      </c>
      <c r="E11" t="s">
        <v>498</v>
      </c>
      <c r="F11" t="n">
        <v>0.287179487179487</v>
      </c>
      <c r="G11" t="n">
        <v>0.00961538461538462</v>
      </c>
      <c r="H11" t="n">
        <v>0</v>
      </c>
      <c r="I11" t="n">
        <v>0</v>
      </c>
    </row>
    <row r="12">
      <c r="B12" t="s">
        <v>617</v>
      </c>
      <c r="C12" t="s">
        <v>618</v>
      </c>
      <c r="D12" t="s">
        <v>620</v>
      </c>
      <c r="E12" t="s">
        <v>499</v>
      </c>
      <c r="F12" t="n">
        <v>0.854354354354354</v>
      </c>
      <c r="G12" t="n">
        <v>0.315315315315315</v>
      </c>
      <c r="H12" t="n">
        <v>0.00900900900900901</v>
      </c>
      <c r="I12" t="n">
        <v>0</v>
      </c>
    </row>
    <row r="13">
      <c r="B13" t="s">
        <v>617</v>
      </c>
      <c r="C13" t="s">
        <v>618</v>
      </c>
      <c r="D13" t="s">
        <v>620</v>
      </c>
      <c r="E13" t="s">
        <v>500</v>
      </c>
      <c r="F13" t="n">
        <v>0.34163544961518</v>
      </c>
      <c r="G13" t="n">
        <v>0.00470957613814757</v>
      </c>
      <c r="H13" t="n">
        <v>0.00627943485086342</v>
      </c>
      <c r="I13" t="n">
        <v>0.638803860512929</v>
      </c>
    </row>
    <row r="14">
      <c r="B14" t="s">
        <v>617</v>
      </c>
      <c r="C14" t="s">
        <v>618</v>
      </c>
      <c r="D14" t="s">
        <v>620</v>
      </c>
      <c r="E14" t="s">
        <v>501</v>
      </c>
      <c r="F14" t="n">
        <v>0.911288315811896</v>
      </c>
      <c r="G14" t="n">
        <v>0.153649348933988</v>
      </c>
      <c r="H14" t="n">
        <v>0.0516894609814964</v>
      </c>
      <c r="I14" t="n">
        <v>0.864298864246563</v>
      </c>
    </row>
    <row r="15">
      <c r="B15" t="s">
        <v>617</v>
      </c>
      <c r="C15" t="s">
        <v>621</v>
      </c>
      <c r="D15" t="s">
        <v>619</v>
      </c>
      <c r="E15" t="s">
        <v>496</v>
      </c>
      <c r="F15" t="n">
        <v>0</v>
      </c>
      <c r="G15" t="n">
        <v>0</v>
      </c>
      <c r="H15" t="n">
        <v>0</v>
      </c>
      <c r="I15" t="n">
        <v>0</v>
      </c>
    </row>
    <row r="16">
      <c r="B16" t="s">
        <v>617</v>
      </c>
      <c r="C16" t="s">
        <v>621</v>
      </c>
      <c r="D16" t="s">
        <v>619</v>
      </c>
      <c r="E16" t="s">
        <v>497</v>
      </c>
      <c r="F16" t="n">
        <v>0</v>
      </c>
      <c r="G16" t="n">
        <v>0</v>
      </c>
      <c r="H16" t="n">
        <v>0</v>
      </c>
      <c r="I16" t="n">
        <v>2.22443181818182</v>
      </c>
    </row>
    <row r="17">
      <c r="B17" t="s">
        <v>617</v>
      </c>
      <c r="C17" t="s">
        <v>621</v>
      </c>
      <c r="D17" t="s">
        <v>619</v>
      </c>
      <c r="E17" t="s">
        <v>498</v>
      </c>
      <c r="F17" t="n">
        <v>0.936371453138435</v>
      </c>
      <c r="G17" t="n">
        <v>0.0395528804815133</v>
      </c>
      <c r="H17" t="n">
        <v>0.0240756663800516</v>
      </c>
      <c r="I17" t="n">
        <v>0</v>
      </c>
    </row>
    <row r="18">
      <c r="B18" t="s">
        <v>617</v>
      </c>
      <c r="C18" t="s">
        <v>621</v>
      </c>
      <c r="D18" t="s">
        <v>619</v>
      </c>
      <c r="E18" t="s">
        <v>499</v>
      </c>
      <c r="F18" t="n">
        <v>1.73684210526316</v>
      </c>
      <c r="G18" t="n">
        <v>0.505263157894737</v>
      </c>
      <c r="H18" t="n">
        <v>0.168421052631579</v>
      </c>
      <c r="I18" t="n">
        <v>0</v>
      </c>
    </row>
    <row r="19">
      <c r="B19" t="s">
        <v>617</v>
      </c>
      <c r="C19" t="s">
        <v>621</v>
      </c>
      <c r="D19" t="s">
        <v>619</v>
      </c>
      <c r="E19" t="s">
        <v>500</v>
      </c>
      <c r="F19" t="n">
        <v>0.951977401129944</v>
      </c>
      <c r="G19" t="n">
        <v>0.0118130457113508</v>
      </c>
      <c r="H19" t="n">
        <v>0.0362095531587057</v>
      </c>
      <c r="I19" t="n">
        <v>1.65767847971238</v>
      </c>
    </row>
    <row r="20">
      <c r="B20" t="s">
        <v>617</v>
      </c>
      <c r="C20" t="s">
        <v>621</v>
      </c>
      <c r="D20" t="s">
        <v>619</v>
      </c>
      <c r="E20" t="s">
        <v>501</v>
      </c>
      <c r="F20" t="n">
        <v>1.81838733986436</v>
      </c>
      <c r="G20" t="n">
        <v>0.504898266767144</v>
      </c>
      <c r="H20" t="n">
        <v>0.186134137151469</v>
      </c>
      <c r="I20" t="n">
        <v>2.23360964581763</v>
      </c>
    </row>
    <row r="21">
      <c r="B21" t="s">
        <v>617</v>
      </c>
      <c r="C21" t="s">
        <v>621</v>
      </c>
      <c r="D21" t="s">
        <v>620</v>
      </c>
      <c r="E21" t="s">
        <v>496</v>
      </c>
      <c r="F21" t="n">
        <v>0</v>
      </c>
      <c r="G21" t="n">
        <v>0</v>
      </c>
      <c r="H21" t="n">
        <v>0</v>
      </c>
      <c r="I21" t="n">
        <v>0</v>
      </c>
    </row>
    <row r="22">
      <c r="B22" t="s">
        <v>617</v>
      </c>
      <c r="C22" t="s">
        <v>621</v>
      </c>
      <c r="D22" t="s">
        <v>620</v>
      </c>
      <c r="E22" t="s">
        <v>497</v>
      </c>
      <c r="F22" t="n">
        <v>0</v>
      </c>
      <c r="G22" t="n">
        <v>0</v>
      </c>
      <c r="H22" t="n">
        <v>0</v>
      </c>
      <c r="I22" t="n">
        <v>2.69605555555556</v>
      </c>
    </row>
    <row r="23">
      <c r="B23" t="s">
        <v>617</v>
      </c>
      <c r="C23" t="s">
        <v>621</v>
      </c>
      <c r="D23" t="s">
        <v>620</v>
      </c>
      <c r="E23" t="s">
        <v>498</v>
      </c>
      <c r="F23" t="n">
        <v>0.258496732026144</v>
      </c>
      <c r="G23" t="n">
        <v>0.0156862745098039</v>
      </c>
      <c r="H23" t="n">
        <v>0</v>
      </c>
      <c r="I23" t="n">
        <v>0</v>
      </c>
    </row>
    <row r="24">
      <c r="B24" t="s">
        <v>617</v>
      </c>
      <c r="C24" t="s">
        <v>621</v>
      </c>
      <c r="D24" t="s">
        <v>620</v>
      </c>
      <c r="E24" t="s">
        <v>499</v>
      </c>
      <c r="F24" t="n">
        <v>1.02758799171843</v>
      </c>
      <c r="G24" t="n">
        <v>0.0361801242236025</v>
      </c>
      <c r="H24" t="n">
        <v>0.0260351966873706</v>
      </c>
      <c r="I24" t="n">
        <v>0</v>
      </c>
    </row>
    <row r="25">
      <c r="B25" t="s">
        <v>617</v>
      </c>
      <c r="C25" t="s">
        <v>621</v>
      </c>
      <c r="D25" t="s">
        <v>620</v>
      </c>
      <c r="E25" t="s">
        <v>500</v>
      </c>
      <c r="F25" t="n">
        <v>0.320442046216694</v>
      </c>
      <c r="G25" t="n">
        <v>0.015868544600939</v>
      </c>
      <c r="H25" t="n">
        <v>0</v>
      </c>
      <c r="I25" t="n">
        <v>0.909259963823344</v>
      </c>
    </row>
    <row r="26">
      <c r="B26" t="s">
        <v>617</v>
      </c>
      <c r="C26" t="s">
        <v>621</v>
      </c>
      <c r="D26" t="s">
        <v>620</v>
      </c>
      <c r="E26" t="s">
        <v>501</v>
      </c>
      <c r="F26" t="n">
        <v>1.00216683432649</v>
      </c>
      <c r="G26" t="n">
        <v>0.0795196194790473</v>
      </c>
      <c r="H26" t="n">
        <v>0.0236870621817221</v>
      </c>
      <c r="I26" t="n">
        <v>0.919228476481419</v>
      </c>
    </row>
    <row r="27">
      <c r="B27" t="s">
        <v>622</v>
      </c>
      <c r="C27" t="s">
        <v>618</v>
      </c>
      <c r="D27" t="s">
        <v>619</v>
      </c>
      <c r="E27" t="s">
        <v>496</v>
      </c>
      <c r="F27" t="n">
        <v>0</v>
      </c>
      <c r="G27" t="n">
        <v>0</v>
      </c>
      <c r="H27" t="n">
        <v>0</v>
      </c>
      <c r="I27" t="n">
        <v>0</v>
      </c>
    </row>
    <row r="28">
      <c r="B28" t="s">
        <v>622</v>
      </c>
      <c r="C28" t="s">
        <v>618</v>
      </c>
      <c r="D28" t="s">
        <v>619</v>
      </c>
      <c r="E28" t="s">
        <v>497</v>
      </c>
      <c r="F28" t="n">
        <v>0</v>
      </c>
      <c r="G28" t="n">
        <v>0</v>
      </c>
      <c r="H28" t="n">
        <v>0</v>
      </c>
      <c r="I28" t="n">
        <v>2.17413793103448</v>
      </c>
    </row>
    <row r="29">
      <c r="B29" t="s">
        <v>622</v>
      </c>
      <c r="C29" t="s">
        <v>618</v>
      </c>
      <c r="D29" t="s">
        <v>619</v>
      </c>
      <c r="E29" t="s">
        <v>498</v>
      </c>
      <c r="F29" t="n">
        <v>0.838755304101839</v>
      </c>
      <c r="G29" t="n">
        <v>0.14992927864215</v>
      </c>
      <c r="H29" t="n">
        <v>0.0113154172560113</v>
      </c>
      <c r="I29" t="n">
        <v>0</v>
      </c>
    </row>
    <row r="30">
      <c r="B30" t="s">
        <v>622</v>
      </c>
      <c r="C30" t="s">
        <v>618</v>
      </c>
      <c r="D30" t="s">
        <v>619</v>
      </c>
      <c r="E30" t="s">
        <v>499</v>
      </c>
      <c r="F30" t="n">
        <v>1.26923076923077</v>
      </c>
      <c r="G30" t="n">
        <v>0.858974358974359</v>
      </c>
      <c r="H30" t="n">
        <v>0.128205128205128</v>
      </c>
      <c r="I30" t="n">
        <v>0</v>
      </c>
    </row>
    <row r="31">
      <c r="B31" t="s">
        <v>622</v>
      </c>
      <c r="C31" t="s">
        <v>618</v>
      </c>
      <c r="D31" t="s">
        <v>619</v>
      </c>
      <c r="E31" t="s">
        <v>500</v>
      </c>
      <c r="F31" t="n">
        <v>0.97883008356546</v>
      </c>
      <c r="G31" t="n">
        <v>0.018050139275766</v>
      </c>
      <c r="H31" t="n">
        <v>0.00311977715877437</v>
      </c>
      <c r="I31" t="n">
        <v>2.15855153203343</v>
      </c>
    </row>
    <row r="32">
      <c r="B32" t="s">
        <v>622</v>
      </c>
      <c r="C32" t="s">
        <v>618</v>
      </c>
      <c r="D32" t="s">
        <v>619</v>
      </c>
      <c r="E32" t="s">
        <v>501</v>
      </c>
      <c r="F32" t="n">
        <v>1.94080996884735</v>
      </c>
      <c r="G32" t="n">
        <v>0.346684468179795</v>
      </c>
      <c r="H32" t="n">
        <v>0.0453938584779706</v>
      </c>
      <c r="I32" t="n">
        <v>3.7659101023587</v>
      </c>
    </row>
    <row r="33">
      <c r="B33" t="s">
        <v>622</v>
      </c>
      <c r="C33" t="s">
        <v>618</v>
      </c>
      <c r="D33" t="s">
        <v>620</v>
      </c>
      <c r="E33" t="s">
        <v>496</v>
      </c>
      <c r="F33" t="n">
        <v>0</v>
      </c>
      <c r="G33" t="n">
        <v>0</v>
      </c>
      <c r="H33" t="n">
        <v>0</v>
      </c>
      <c r="I33" t="n">
        <v>0</v>
      </c>
    </row>
    <row r="34">
      <c r="B34" t="s">
        <v>622</v>
      </c>
      <c r="C34" t="s">
        <v>618</v>
      </c>
      <c r="D34" t="s">
        <v>620</v>
      </c>
      <c r="E34" t="s">
        <v>497</v>
      </c>
      <c r="F34" t="n">
        <v>0</v>
      </c>
      <c r="G34" t="n">
        <v>0</v>
      </c>
      <c r="H34" t="n">
        <v>0</v>
      </c>
      <c r="I34" t="n">
        <v>0.611391805524778</v>
      </c>
    </row>
    <row r="35">
      <c r="B35" t="s">
        <v>622</v>
      </c>
      <c r="C35" t="s">
        <v>618</v>
      </c>
      <c r="D35" t="s">
        <v>620</v>
      </c>
      <c r="E35" t="s">
        <v>498</v>
      </c>
      <c r="F35" t="n">
        <v>0.209592326139089</v>
      </c>
      <c r="G35" t="n">
        <v>0.0287769784172662</v>
      </c>
      <c r="H35" t="n">
        <v>0</v>
      </c>
      <c r="I35" t="n">
        <v>0</v>
      </c>
    </row>
    <row r="36">
      <c r="B36" t="s">
        <v>622</v>
      </c>
      <c r="C36" t="s">
        <v>618</v>
      </c>
      <c r="D36" t="s">
        <v>620</v>
      </c>
      <c r="E36" t="s">
        <v>499</v>
      </c>
      <c r="F36" t="n">
        <v>0.577160493827161</v>
      </c>
      <c r="G36" t="n">
        <v>0.0740740740740741</v>
      </c>
      <c r="H36" t="n">
        <v>0.0740740740740741</v>
      </c>
      <c r="I36" t="n">
        <v>0</v>
      </c>
    </row>
    <row r="37">
      <c r="B37" t="s">
        <v>622</v>
      </c>
      <c r="C37" t="s">
        <v>618</v>
      </c>
      <c r="D37" t="s">
        <v>620</v>
      </c>
      <c r="E37" t="s">
        <v>500</v>
      </c>
      <c r="F37" t="n">
        <v>0.210181085610312</v>
      </c>
      <c r="G37" t="n">
        <v>0.00202309702436146</v>
      </c>
      <c r="H37" t="n">
        <v>0.000168591418696788</v>
      </c>
      <c r="I37" t="n">
        <v>0.484285757468875</v>
      </c>
    </row>
    <row r="38">
      <c r="B38" t="s">
        <v>622</v>
      </c>
      <c r="C38" t="s">
        <v>618</v>
      </c>
      <c r="D38" t="s">
        <v>620</v>
      </c>
      <c r="E38" t="s">
        <v>501</v>
      </c>
      <c r="F38" t="n">
        <v>0.500904882109147</v>
      </c>
      <c r="G38" t="n">
        <v>0.0473747230235378</v>
      </c>
      <c r="H38" t="n">
        <v>0.00576470588235294</v>
      </c>
      <c r="I38" t="n">
        <v>0.696733570469258</v>
      </c>
    </row>
    <row r="39">
      <c r="B39" t="s">
        <v>622</v>
      </c>
      <c r="C39" t="s">
        <v>621</v>
      </c>
      <c r="D39" t="s">
        <v>619</v>
      </c>
      <c r="E39" t="s">
        <v>496</v>
      </c>
      <c r="F39" t="n">
        <v>0</v>
      </c>
      <c r="G39" t="n">
        <v>0</v>
      </c>
      <c r="H39" t="n">
        <v>0</v>
      </c>
      <c r="I39" t="n">
        <v>0</v>
      </c>
    </row>
    <row r="40">
      <c r="B40" t="s">
        <v>622</v>
      </c>
      <c r="C40" t="s">
        <v>621</v>
      </c>
      <c r="D40" t="s">
        <v>619</v>
      </c>
      <c r="E40" t="s">
        <v>497</v>
      </c>
      <c r="F40" t="n">
        <v>0</v>
      </c>
      <c r="G40" t="n">
        <v>0</v>
      </c>
      <c r="H40" t="n">
        <v>0</v>
      </c>
      <c r="I40" t="n">
        <v>3.22674418604651</v>
      </c>
    </row>
    <row r="41">
      <c r="B41" t="s">
        <v>622</v>
      </c>
      <c r="C41" t="s">
        <v>621</v>
      </c>
      <c r="D41" t="s">
        <v>619</v>
      </c>
      <c r="E41" t="s">
        <v>498</v>
      </c>
      <c r="F41" t="n">
        <v>0.989559164733179</v>
      </c>
      <c r="G41" t="n">
        <v>0.0104408352668213</v>
      </c>
      <c r="H41" t="n">
        <v>0</v>
      </c>
      <c r="I41" t="n">
        <v>0</v>
      </c>
    </row>
    <row r="42">
      <c r="B42" t="s">
        <v>622</v>
      </c>
      <c r="C42" t="s">
        <v>621</v>
      </c>
      <c r="D42" t="s">
        <v>619</v>
      </c>
      <c r="E42" t="s">
        <v>499</v>
      </c>
      <c r="F42" t="n">
        <v>1.61842105263158</v>
      </c>
      <c r="G42" t="n">
        <v>0.539473684210526</v>
      </c>
      <c r="H42" t="n">
        <v>0.0789473684210526</v>
      </c>
      <c r="I42" t="n">
        <v>0</v>
      </c>
    </row>
    <row r="43">
      <c r="B43" t="s">
        <v>622</v>
      </c>
      <c r="C43" t="s">
        <v>621</v>
      </c>
      <c r="D43" t="s">
        <v>619</v>
      </c>
      <c r="E43" t="s">
        <v>500</v>
      </c>
      <c r="F43" t="n">
        <v>0.986279890239122</v>
      </c>
      <c r="G43" t="n">
        <v>0.0117600940807526</v>
      </c>
      <c r="H43" t="n">
        <v>0.00196001568012544</v>
      </c>
      <c r="I43" t="n">
        <v>4.08271266170129</v>
      </c>
    </row>
    <row r="44">
      <c r="B44" t="s">
        <v>622</v>
      </c>
      <c r="C44" t="s">
        <v>621</v>
      </c>
      <c r="D44" t="s">
        <v>619</v>
      </c>
      <c r="E44" t="s">
        <v>501</v>
      </c>
      <c r="F44" t="n">
        <v>2.23753066230581</v>
      </c>
      <c r="G44" t="n">
        <v>0.506541291905151</v>
      </c>
      <c r="H44" t="n">
        <v>0.062142273098937</v>
      </c>
      <c r="I44" t="n">
        <v>4.70278004905969</v>
      </c>
    </row>
    <row r="45">
      <c r="B45" t="s">
        <v>622</v>
      </c>
      <c r="C45" t="s">
        <v>621</v>
      </c>
      <c r="D45" t="s">
        <v>620</v>
      </c>
      <c r="E45" t="s">
        <v>496</v>
      </c>
      <c r="F45" t="n">
        <v>0</v>
      </c>
      <c r="G45" t="n">
        <v>0</v>
      </c>
      <c r="H45" t="n">
        <v>0</v>
      </c>
      <c r="I45" t="n">
        <v>0</v>
      </c>
    </row>
    <row r="46">
      <c r="B46" t="s">
        <v>622</v>
      </c>
      <c r="C46" t="s">
        <v>621</v>
      </c>
      <c r="D46" t="s">
        <v>620</v>
      </c>
      <c r="E46" t="s">
        <v>497</v>
      </c>
      <c r="F46" t="n">
        <v>0</v>
      </c>
      <c r="G46" t="n">
        <v>0</v>
      </c>
      <c r="H46" t="n">
        <v>0</v>
      </c>
      <c r="I46" t="n">
        <v>0.996969442202493</v>
      </c>
    </row>
    <row r="47">
      <c r="B47" t="s">
        <v>622</v>
      </c>
      <c r="C47" t="s">
        <v>621</v>
      </c>
      <c r="D47" t="s">
        <v>620</v>
      </c>
      <c r="E47" t="s">
        <v>498</v>
      </c>
      <c r="F47" t="n">
        <v>0.123917748917749</v>
      </c>
      <c r="G47" t="n">
        <v>0</v>
      </c>
      <c r="H47" t="n">
        <v>0.00649350649350649</v>
      </c>
      <c r="I47" t="n">
        <v>0</v>
      </c>
    </row>
    <row r="48">
      <c r="B48" t="s">
        <v>622</v>
      </c>
      <c r="C48" t="s">
        <v>621</v>
      </c>
      <c r="D48" t="s">
        <v>620</v>
      </c>
      <c r="E48" t="s">
        <v>499</v>
      </c>
      <c r="F48" t="n">
        <v>0.765164399092971</v>
      </c>
      <c r="G48" t="n">
        <v>0.00807823129251701</v>
      </c>
      <c r="H48" t="n">
        <v>0.00479024943310658</v>
      </c>
      <c r="I48" t="n">
        <v>0</v>
      </c>
    </row>
    <row r="49">
      <c r="B49" t="s">
        <v>622</v>
      </c>
      <c r="C49" t="s">
        <v>621</v>
      </c>
      <c r="D49" t="s">
        <v>620</v>
      </c>
      <c r="E49" t="s">
        <v>500</v>
      </c>
      <c r="F49" t="n">
        <v>0.249987827052853</v>
      </c>
      <c r="G49" t="n">
        <v>0.00943175161101347</v>
      </c>
      <c r="H49" t="n">
        <v>0.00351493848857645</v>
      </c>
      <c r="I49" t="n">
        <v>1.5579016628753</v>
      </c>
    </row>
    <row r="50">
      <c r="B50" t="s">
        <v>622</v>
      </c>
      <c r="C50" t="s">
        <v>621</v>
      </c>
      <c r="D50" t="s">
        <v>620</v>
      </c>
      <c r="E50" t="s">
        <v>501</v>
      </c>
      <c r="F50" t="n">
        <v>1.03647327499912</v>
      </c>
      <c r="G50" t="n">
        <v>0.116630725019303</v>
      </c>
      <c r="H50" t="n">
        <v>0.0151602834175946</v>
      </c>
      <c r="I50" t="n">
        <v>2.00754783977145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2" max="2" width="87.5703125" hidden="0" customWidth="1"/>
  </cols>
  <sheetData>
    <row r="2">
      <c r="B2" t="s">
        <v>583</v>
      </c>
      <c r="C2" t="s">
        <v>584</v>
      </c>
      <c r="D2" t="s">
        <v>585</v>
      </c>
      <c r="E2" t="s">
        <v>586</v>
      </c>
    </row>
    <row r="3">
      <c r="B3" t="s">
        <v>587</v>
      </c>
      <c r="C3" t="s">
        <v>588</v>
      </c>
      <c r="D3" s="169" t="n">
        <v>0.344493252355796</v>
      </c>
      <c r="E3" s="169" t="n">
        <v>0.333441733203364</v>
      </c>
    </row>
    <row r="4">
      <c r="B4" t="s">
        <v>589</v>
      </c>
      <c r="C4" t="s">
        <v>588</v>
      </c>
      <c r="D4" s="169" t="n">
        <v>0.441006142986374</v>
      </c>
      <c r="E4" s="169" t="n">
        <v>0.431816655131666</v>
      </c>
    </row>
    <row r="5">
      <c r="B5" t="s">
        <v>590</v>
      </c>
      <c r="C5" t="s">
        <v>588</v>
      </c>
      <c r="D5" s="169" t="n">
        <v>0.158688092632658</v>
      </c>
      <c r="E5" s="169" t="n">
        <v>0.151407982503157</v>
      </c>
    </row>
    <row r="6">
      <c r="B6" t="s">
        <v>591</v>
      </c>
      <c r="C6" t="s">
        <v>588</v>
      </c>
      <c r="D6" s="169" t="n">
        <v>0.00127368119848159</v>
      </c>
      <c r="E6" s="169" t="n">
        <v>0.00159043084895186</v>
      </c>
    </row>
    <row r="7">
      <c r="B7" t="s">
        <v>592</v>
      </c>
      <c r="C7" t="s">
        <v>588</v>
      </c>
      <c r="D7" s="169" t="n">
        <v>0.0496668443367192</v>
      </c>
      <c r="E7" s="169" t="n">
        <v>0.0759429743773944</v>
      </c>
    </row>
    <row r="8">
      <c r="B8" t="s">
        <v>593</v>
      </c>
      <c r="C8" t="s">
        <v>588</v>
      </c>
      <c r="D8" s="169" t="n">
        <v>0.00487198648997102</v>
      </c>
      <c r="E8" s="169" t="n">
        <v>0.00580022393546652</v>
      </c>
    </row>
    <row r="9">
      <c r="B9" t="s">
        <v>594</v>
      </c>
      <c r="C9" t="s">
        <v>595</v>
      </c>
      <c r="D9" s="169" t="n">
        <v>0.510127376649148</v>
      </c>
      <c r="E9" s="169" t="n">
        <v>0.454626341015892</v>
      </c>
    </row>
    <row r="10">
      <c r="B10" t="s">
        <v>596</v>
      </c>
      <c r="C10" t="s">
        <v>595</v>
      </c>
      <c r="D10" s="169" t="n">
        <v>0.313460211616982</v>
      </c>
      <c r="E10" s="169" t="n">
        <v>0.302658124811693</v>
      </c>
    </row>
    <row r="11">
      <c r="B11" t="s">
        <v>597</v>
      </c>
      <c r="C11" t="s">
        <v>595</v>
      </c>
      <c r="D11" s="169" t="n">
        <v>0.0855339018728578</v>
      </c>
      <c r="E11" s="169" t="n">
        <v>0.0739586679041082</v>
      </c>
    </row>
    <row r="12">
      <c r="B12" t="s">
        <v>598</v>
      </c>
      <c r="C12" t="s">
        <v>595</v>
      </c>
      <c r="D12" s="169" t="n">
        <v>0.0059256554603822</v>
      </c>
      <c r="E12" s="169" t="n">
        <v>0.00817249911710806</v>
      </c>
    </row>
    <row r="13">
      <c r="B13" t="s">
        <v>599</v>
      </c>
      <c r="C13" t="s">
        <v>595</v>
      </c>
      <c r="D13" s="169" t="n">
        <v>0.072173919578452</v>
      </c>
      <c r="E13" s="169" t="n">
        <v>0.143801659298559</v>
      </c>
    </row>
    <row r="14">
      <c r="B14" t="s">
        <v>600</v>
      </c>
      <c r="C14" t="s">
        <v>595</v>
      </c>
      <c r="D14" s="169" t="n">
        <v>0.0127789348221781</v>
      </c>
      <c r="E14" s="169" t="n">
        <v>0.0167827078526396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537</v>
      </c>
      <c r="D2" t="s">
        <v>538</v>
      </c>
      <c r="E2" t="s">
        <v>539</v>
      </c>
      <c r="F2" t="s">
        <v>540</v>
      </c>
    </row>
    <row r="3">
      <c r="B3" t="s">
        <v>541</v>
      </c>
      <c r="C3" t="n">
        <v>0</v>
      </c>
      <c r="D3" t="n">
        <v>0</v>
      </c>
      <c r="E3" t="n">
        <v>0</v>
      </c>
      <c r="F3" t="n">
        <v>0</v>
      </c>
    </row>
    <row r="4">
      <c r="B4" t="s">
        <v>542</v>
      </c>
      <c r="C4" t="n">
        <v>0</v>
      </c>
      <c r="D4" t="n">
        <v>0</v>
      </c>
      <c r="E4" t="n">
        <v>0</v>
      </c>
      <c r="F4" t="n">
        <v>0</v>
      </c>
    </row>
    <row r="5">
      <c r="B5" t="s">
        <v>543</v>
      </c>
      <c r="C5" t="n">
        <v>0</v>
      </c>
      <c r="D5" t="n">
        <v>0</v>
      </c>
      <c r="E5" t="n">
        <v>0</v>
      </c>
      <c r="F5" t="n">
        <v>0</v>
      </c>
    </row>
    <row r="6">
      <c r="B6" t="s">
        <v>486</v>
      </c>
      <c r="C6" t="n">
        <v>-144749.704666198</v>
      </c>
      <c r="D6" t="n">
        <v>-61459.9417622238</v>
      </c>
      <c r="E6" t="n">
        <v>-2320.22288643611</v>
      </c>
      <c r="F6" t="n">
        <v>-3282868.07981703</v>
      </c>
    </row>
    <row r="7">
      <c r="B7" t="s">
        <v>525</v>
      </c>
      <c r="C7" t="n">
        <v>-222247.220426564</v>
      </c>
      <c r="D7" t="n">
        <v>-91492.9588374701</v>
      </c>
      <c r="E7" t="n">
        <v>-3454.0801323845</v>
      </c>
      <c r="F7" t="n">
        <v>-5040482.17195987</v>
      </c>
    </row>
    <row r="8">
      <c r="B8" t="s">
        <v>526</v>
      </c>
      <c r="C8" t="n">
        <v>-303974.99360637</v>
      </c>
      <c r="D8" t="n">
        <v>-122002.775313248</v>
      </c>
      <c r="E8" t="n">
        <v>-4605.89845278939</v>
      </c>
      <c r="F8" t="n">
        <v>-6894036.88853242</v>
      </c>
    </row>
    <row r="9">
      <c r="B9" t="s">
        <v>527</v>
      </c>
      <c r="C9" t="n">
        <v>-3474045.05136274</v>
      </c>
      <c r="D9" t="n">
        <v>-920986.155360675</v>
      </c>
      <c r="E9" t="n">
        <v>-37450.7471085253</v>
      </c>
      <c r="F9" t="n">
        <v>-78790016.4167198</v>
      </c>
    </row>
    <row r="10">
      <c r="B10" t="s">
        <v>528</v>
      </c>
      <c r="C10" t="n">
        <v>-3477893.33974611</v>
      </c>
      <c r="D10" t="n">
        <v>-927374.185743016</v>
      </c>
      <c r="E10" t="n">
        <v>-37666.9831846203</v>
      </c>
      <c r="F10" t="n">
        <v>-78877294.1291327</v>
      </c>
    </row>
    <row r="11">
      <c r="B11" t="s">
        <v>529</v>
      </c>
      <c r="C11" t="n">
        <v>-3484542.2506596</v>
      </c>
      <c r="D11" t="n">
        <v>-933764.771450889</v>
      </c>
      <c r="E11" t="n">
        <v>-37883.5846767478</v>
      </c>
      <c r="F11" t="n">
        <v>-79028088.8920912</v>
      </c>
    </row>
    <row r="12">
      <c r="B12" t="s">
        <v>530</v>
      </c>
      <c r="C12" t="n">
        <v>-3490714.93324617</v>
      </c>
      <c r="D12" t="n">
        <v>-939115.296451707</v>
      </c>
      <c r="E12" t="n">
        <v>-38061.2735414167</v>
      </c>
      <c r="F12" t="n">
        <v>-79168082.9782761</v>
      </c>
    </row>
    <row r="13">
      <c r="B13" t="s">
        <v>531</v>
      </c>
      <c r="C13" t="n">
        <v>-3496373.24571543</v>
      </c>
      <c r="D13" t="n">
        <v>-943465.681963573</v>
      </c>
      <c r="E13" t="n">
        <v>-38201.5509437344</v>
      </c>
      <c r="F13" t="n">
        <v>-79296411.3464327</v>
      </c>
    </row>
    <row r="14">
      <c r="B14" t="s">
        <v>532</v>
      </c>
      <c r="C14" t="n">
        <v>-3501607.66327119</v>
      </c>
      <c r="D14" t="n">
        <v>-947149.225047679</v>
      </c>
      <c r="E14" t="n">
        <v>-38316.9695456319</v>
      </c>
      <c r="F14" t="n">
        <v>-79415125.939667</v>
      </c>
    </row>
    <row r="15">
      <c r="B15" t="s">
        <v>533</v>
      </c>
      <c r="C15" t="n">
        <v>-3507335.27499447</v>
      </c>
      <c r="D15" t="n">
        <v>-950491.110458929</v>
      </c>
      <c r="E15" t="n">
        <v>-38419.7764552658</v>
      </c>
      <c r="F15" t="n">
        <v>-79545025.9884671</v>
      </c>
    </row>
    <row r="16">
      <c r="B16" t="s">
        <v>534</v>
      </c>
      <c r="C16" t="n">
        <v>-3514294.53925177</v>
      </c>
      <c r="D16" t="n">
        <v>-954156.161131249</v>
      </c>
      <c r="E16" t="n">
        <v>-38535.0129624144</v>
      </c>
      <c r="F16" t="n">
        <v>-79702859.4468635</v>
      </c>
    </row>
    <row r="17">
      <c r="B17" t="s">
        <v>535</v>
      </c>
      <c r="C17" t="n">
        <v>-3521301.39954679</v>
      </c>
      <c r="D17" t="n">
        <v>-957381.381321893</v>
      </c>
      <c r="E17" t="n">
        <v>-38633.9344508461</v>
      </c>
      <c r="F17" t="n">
        <v>-79861772.3652372</v>
      </c>
    </row>
    <row r="18">
      <c r="B18" t="s">
        <v>536</v>
      </c>
      <c r="C18" t="n">
        <v>-3528938.66855611</v>
      </c>
      <c r="D18" t="n">
        <v>-960561.362068282</v>
      </c>
      <c r="E18" t="n">
        <v>-38731.4026348641</v>
      </c>
      <c r="F18" t="n">
        <v>-80034982.7127505</v>
      </c>
    </row>
    <row r="20">
      <c r="B20" t="s">
        <v>26</v>
      </c>
      <c r="C20" t="n">
        <f>SUM(C6:C18)</f>
        <v>-35668018.285049513</v>
      </c>
      <c r="D20" t="n">
        <f t="shared" ref="D20:F20" si="0">SUM(D6:D18)</f>
        <v>-9709401.0069108326</v>
      </c>
      <c r="E20" t="n">
        <f t="shared" si="0"/>
        <v>-392281.43697567686</v>
      </c>
      <c r="F20" t="n">
        <f t="shared" si="0"/>
        <v>-808937047.35594726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537</v>
      </c>
      <c r="D2" t="s">
        <v>538</v>
      </c>
      <c r="E2" t="s">
        <v>539</v>
      </c>
      <c r="F2" t="s">
        <v>540</v>
      </c>
    </row>
    <row r="3">
      <c r="B3" t="s">
        <v>543</v>
      </c>
      <c r="C3" t="n">
        <v>0</v>
      </c>
      <c r="D3" t="n">
        <v>0</v>
      </c>
      <c r="E3" t="n">
        <v>0</v>
      </c>
      <c r="F3" t="n">
        <v>0</v>
      </c>
    </row>
    <row r="4">
      <c r="B4" t="s">
        <v>486</v>
      </c>
      <c r="C4" t="n">
        <v>-144749.704666198</v>
      </c>
      <c r="D4" t="n">
        <v>-61459.9417622238</v>
      </c>
      <c r="E4" t="n">
        <v>-2320.22288643611</v>
      </c>
      <c r="F4" t="n">
        <v>-3282868.07981703</v>
      </c>
    </row>
    <row r="5">
      <c r="B5" t="s">
        <v>525</v>
      </c>
      <c r="C5" t="n">
        <v>-222247.220426564</v>
      </c>
      <c r="D5" t="n">
        <v>-91492.9588374701</v>
      </c>
      <c r="E5" t="n">
        <v>-3454.0801323845</v>
      </c>
      <c r="F5" t="n">
        <v>-5040482.17195987</v>
      </c>
    </row>
    <row r="6">
      <c r="B6" t="s">
        <v>526</v>
      </c>
      <c r="C6" t="n">
        <v>-303974.99360637</v>
      </c>
      <c r="D6" t="n">
        <v>-122002.775313248</v>
      </c>
      <c r="E6" t="n">
        <v>-4605.89845278939</v>
      </c>
      <c r="F6" t="n">
        <v>-6894036.88853242</v>
      </c>
    </row>
    <row r="7">
      <c r="B7" t="s">
        <v>527</v>
      </c>
      <c r="C7" t="n">
        <v>-385747.013403919</v>
      </c>
      <c r="D7" t="n">
        <v>-150847.786850273</v>
      </c>
      <c r="E7" t="n">
        <v>-5695.00357663543</v>
      </c>
      <c r="F7" t="n">
        <v>-8748595.10151528</v>
      </c>
    </row>
    <row r="8">
      <c r="B8" t="s">
        <v>528</v>
      </c>
      <c r="C8" t="n">
        <v>-466827.946132281</v>
      </c>
      <c r="D8" t="n">
        <v>-178007.571641857</v>
      </c>
      <c r="E8" t="n">
        <v>-6720.62620691365</v>
      </c>
      <c r="F8" t="n">
        <v>-10587479.7234187</v>
      </c>
    </row>
    <row r="9">
      <c r="B9" t="s">
        <v>529</v>
      </c>
      <c r="C9" t="n">
        <v>-548403.043527987</v>
      </c>
      <c r="D9" t="n">
        <v>-204536.658635251</v>
      </c>
      <c r="E9" t="n">
        <v>-7722.4904585977</v>
      </c>
      <c r="F9" t="n">
        <v>-12437571.8114536</v>
      </c>
    </row>
    <row r="10">
      <c r="B10" t="s">
        <v>530</v>
      </c>
      <c r="C10" t="n">
        <v>-629498.942747883</v>
      </c>
      <c r="D10" t="n">
        <v>-230022.065341116</v>
      </c>
      <c r="E10" t="n">
        <v>-8685.03927433757</v>
      </c>
      <c r="F10" t="n">
        <v>-14276795.8676753</v>
      </c>
    </row>
    <row r="11">
      <c r="B11" t="s">
        <v>531</v>
      </c>
      <c r="C11" t="n">
        <v>-709780.622614922</v>
      </c>
      <c r="D11" t="n">
        <v>-254423.915957869</v>
      </c>
      <c r="E11" t="n">
        <v>-9606.77052890081</v>
      </c>
      <c r="F11" t="n">
        <v>-16097553.7395989</v>
      </c>
    </row>
    <row r="12">
      <c r="B12" t="s">
        <v>532</v>
      </c>
      <c r="C12" t="n">
        <v>-789153.964616167</v>
      </c>
      <c r="D12" t="n">
        <v>-278030.992866948</v>
      </c>
      <c r="E12" t="n">
        <v>-10498.5626538934</v>
      </c>
      <c r="F12" t="n">
        <v>-17897710.8552572</v>
      </c>
    </row>
    <row r="13">
      <c r="B13" t="s">
        <v>533</v>
      </c>
      <c r="C13" t="n">
        <v>-868295.36211451</v>
      </c>
      <c r="D13" t="n">
        <v>-301101.527843659</v>
      </c>
      <c r="E13" t="n">
        <v>-11370.1432495082</v>
      </c>
      <c r="F13" t="n">
        <v>-19692607.5580764</v>
      </c>
    </row>
    <row r="14">
      <c r="B14" t="s">
        <v>534</v>
      </c>
      <c r="C14" t="n">
        <v>-946566.572585031</v>
      </c>
      <c r="D14" t="n">
        <v>-323917.619272603</v>
      </c>
      <c r="E14" t="n">
        <v>-12232.1389576229</v>
      </c>
      <c r="F14" t="n">
        <v>-21467768.7510811</v>
      </c>
    </row>
    <row r="15">
      <c r="B15" t="s">
        <v>535</v>
      </c>
      <c r="C15" t="n">
        <v>-1022473.43843929</v>
      </c>
      <c r="D15" t="n">
        <v>-345630.055093096</v>
      </c>
      <c r="E15" t="n">
        <v>-13052.5599529677</v>
      </c>
      <c r="F15" t="n">
        <v>-23189307.5101862</v>
      </c>
    </row>
    <row r="16">
      <c r="B16" t="s">
        <v>536</v>
      </c>
      <c r="C16" t="n">
        <v>-1096043.18431466</v>
      </c>
      <c r="D16" t="n">
        <v>-366478.951334167</v>
      </c>
      <c r="E16" t="n">
        <v>-13840.4514106571</v>
      </c>
      <c r="F16" t="n">
        <v>-24857841.2797818</v>
      </c>
    </row>
    <row r="18">
      <c r="B18" t="s">
        <v>26</v>
      </c>
      <c r="C18" t="n">
        <f xml:space="preserve"> SUM(C3:C16)</f>
        <v>-8133762.0091957822</v>
      </c>
      <c r="D18" t="n">
        <f xml:space="preserve"> SUM(D3:D16)</f>
        <v>-2907952.8207497811</v>
      </c>
      <c r="E18" t="n">
        <f xml:space="preserve"> SUM(E3:E16)</f>
        <v>-109803.98774164445</v>
      </c>
      <c r="F18" t="n">
        <f xml:space="preserve"> SUM(F3:F16)</f>
        <v>-184470619.33835378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537</v>
      </c>
      <c r="D2" t="s">
        <v>538</v>
      </c>
      <c r="E2" t="s">
        <v>539</v>
      </c>
      <c r="F2" t="s">
        <v>540</v>
      </c>
    </row>
    <row r="3">
      <c r="B3" t="s">
        <v>541</v>
      </c>
      <c r="C3" t="n">
        <v>0</v>
      </c>
      <c r="D3" t="n">
        <v>0</v>
      </c>
      <c r="E3" t="n">
        <v>0</v>
      </c>
      <c r="F3" t="n">
        <v>0</v>
      </c>
    </row>
    <row r="4">
      <c r="B4" t="s">
        <v>542</v>
      </c>
      <c r="C4" t="n">
        <v>0</v>
      </c>
      <c r="D4" t="n">
        <v>0</v>
      </c>
      <c r="E4" t="n">
        <v>0</v>
      </c>
      <c r="F4" t="n">
        <v>0</v>
      </c>
    </row>
    <row r="5">
      <c r="B5" t="s">
        <v>543</v>
      </c>
      <c r="C5" t="n">
        <v>0</v>
      </c>
      <c r="D5" t="n">
        <v>0</v>
      </c>
      <c r="E5" t="n">
        <v>0</v>
      </c>
      <c r="F5" t="n">
        <v>0</v>
      </c>
    </row>
    <row r="6">
      <c r="B6" t="s">
        <v>486</v>
      </c>
      <c r="C6" t="n">
        <v>0</v>
      </c>
      <c r="D6" t="n">
        <v>0</v>
      </c>
      <c r="E6" t="n">
        <v>0</v>
      </c>
      <c r="F6" t="n">
        <v>0</v>
      </c>
    </row>
    <row r="7">
      <c r="B7" t="s">
        <v>525</v>
      </c>
      <c r="C7" t="n">
        <v>0</v>
      </c>
      <c r="D7" t="n">
        <v>0</v>
      </c>
      <c r="E7" t="n">
        <v>0</v>
      </c>
      <c r="F7" t="n">
        <v>0</v>
      </c>
    </row>
    <row r="8">
      <c r="B8" t="s">
        <v>526</v>
      </c>
      <c r="C8" t="n">
        <v>0</v>
      </c>
      <c r="D8" t="n">
        <v>0</v>
      </c>
      <c r="E8" t="n">
        <v>0</v>
      </c>
      <c r="F8" t="n">
        <v>0</v>
      </c>
    </row>
    <row r="9">
      <c r="B9" t="s">
        <v>527</v>
      </c>
      <c r="C9" t="n">
        <v>-3088298.03795882</v>
      </c>
      <c r="D9" t="n">
        <v>-770138.368510402</v>
      </c>
      <c r="E9" t="n">
        <v>-31755.7435318899</v>
      </c>
      <c r="F9" t="n">
        <v>-70041421.3152045</v>
      </c>
    </row>
    <row r="10">
      <c r="B10" t="s">
        <v>528</v>
      </c>
      <c r="C10" t="n">
        <v>-3011065.39361383</v>
      </c>
      <c r="D10" t="n">
        <v>-749366.614101159</v>
      </c>
      <c r="E10" t="n">
        <v>-30946.3569777066</v>
      </c>
      <c r="F10" t="n">
        <v>-68289814.405714</v>
      </c>
    </row>
    <row r="11">
      <c r="B11" t="s">
        <v>529</v>
      </c>
      <c r="C11" t="n">
        <v>-2936139.20713162</v>
      </c>
      <c r="D11" t="n">
        <v>-729228.112815638</v>
      </c>
      <c r="E11" t="n">
        <v>-30161.0942181501</v>
      </c>
      <c r="F11" t="n">
        <v>-66590517.0806376</v>
      </c>
    </row>
    <row r="12">
      <c r="B12" t="s">
        <v>530</v>
      </c>
      <c r="C12" t="n">
        <v>-2861215.99049829</v>
      </c>
      <c r="D12" t="n">
        <v>-709093.231110591</v>
      </c>
      <c r="E12" t="n">
        <v>-29376.2342670791</v>
      </c>
      <c r="F12" t="n">
        <v>-64891287.1106007</v>
      </c>
    </row>
    <row r="13">
      <c r="B13" t="s">
        <v>531</v>
      </c>
      <c r="C13" t="n">
        <v>-2786592.62310051</v>
      </c>
      <c r="D13" t="n">
        <v>-689041.766005703</v>
      </c>
      <c r="E13" t="n">
        <v>-28594.7804148336</v>
      </c>
      <c r="F13" t="n">
        <v>-63198857.6068338</v>
      </c>
    </row>
    <row r="14">
      <c r="B14" t="s">
        <v>532</v>
      </c>
      <c r="C14" t="n">
        <v>-2712453.69865502</v>
      </c>
      <c r="D14" t="n">
        <v>-669118.232180731</v>
      </c>
      <c r="E14" t="n">
        <v>-27818.4068917385</v>
      </c>
      <c r="F14" t="n">
        <v>-61517415.0844098</v>
      </c>
    </row>
    <row r="15">
      <c r="B15" t="s">
        <v>533</v>
      </c>
      <c r="C15" t="n">
        <v>-2639039.91287996</v>
      </c>
      <c r="D15" t="n">
        <v>-649389.58261527</v>
      </c>
      <c r="E15" t="n">
        <v>-27049.6332057576</v>
      </c>
      <c r="F15" t="n">
        <v>-59852418.4303906</v>
      </c>
    </row>
    <row r="16">
      <c r="B16" t="s">
        <v>534</v>
      </c>
      <c r="C16" t="n">
        <v>-2567727.96666674</v>
      </c>
      <c r="D16" t="n">
        <v>-630238.541858646</v>
      </c>
      <c r="E16" t="n">
        <v>-26302.8740047915</v>
      </c>
      <c r="F16" t="n">
        <v>-58235090.6957825</v>
      </c>
    </row>
    <row r="17">
      <c r="B17" t="s">
        <v>535</v>
      </c>
      <c r="C17" t="n">
        <v>-2498827.9611075</v>
      </c>
      <c r="D17" t="n">
        <v>-611751.326228797</v>
      </c>
      <c r="E17" t="n">
        <v>-25581.3744978784</v>
      </c>
      <c r="F17" t="n">
        <v>-56672464.855051</v>
      </c>
    </row>
    <row r="18">
      <c r="B18" t="s">
        <v>536</v>
      </c>
      <c r="C18" t="n">
        <v>-2432895.48424144</v>
      </c>
      <c r="D18" t="n">
        <v>-594082.410734115</v>
      </c>
      <c r="E18" t="n">
        <v>-24890.9512242069</v>
      </c>
      <c r="F18" t="n">
        <v>-55177141.4329687</v>
      </c>
    </row>
    <row r="20">
      <c r="B20" t="s">
        <v>26</v>
      </c>
      <c r="C20" t="n">
        <f xml:space="preserve"> SUM(C3:C18)</f>
        <v>-27534256.275853727</v>
      </c>
      <c r="D20" t="n">
        <f t="shared" ref="D20:F20" si="0" xml:space="preserve"> SUM(D3:D18)</f>
        <v>-6801448.1861610524</v>
      </c>
      <c r="E20" t="n">
        <f t="shared" si="0"/>
        <v>-282477.44923403219</v>
      </c>
      <c r="F20" t="n">
        <f t="shared" si="0"/>
        <v>-624466428.01759326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537</v>
      </c>
      <c r="D2" t="s">
        <v>538</v>
      </c>
      <c r="E2" t="s">
        <v>539</v>
      </c>
      <c r="F2" t="s">
        <v>540</v>
      </c>
    </row>
    <row r="3">
      <c r="B3" t="s">
        <v>541</v>
      </c>
      <c r="C3" t="n">
        <v>0</v>
      </c>
      <c r="D3" t="n">
        <v>0</v>
      </c>
      <c r="E3" t="n">
        <v>0</v>
      </c>
      <c r="F3" t="n">
        <v>0</v>
      </c>
    </row>
    <row r="4">
      <c r="B4" t="s">
        <v>542</v>
      </c>
      <c r="C4" t="n">
        <v>0</v>
      </c>
      <c r="D4" t="n">
        <v>0</v>
      </c>
      <c r="E4" t="n">
        <v>0</v>
      </c>
      <c r="F4" t="n">
        <v>0</v>
      </c>
    </row>
    <row r="5">
      <c r="B5" t="s">
        <v>543</v>
      </c>
      <c r="C5" t="n">
        <v>0</v>
      </c>
      <c r="D5" t="n">
        <v>0</v>
      </c>
      <c r="E5" t="n">
        <v>0</v>
      </c>
      <c r="F5" t="n">
        <v>0</v>
      </c>
    </row>
    <row r="6">
      <c r="B6" t="s">
        <v>486</v>
      </c>
      <c r="C6" t="n">
        <v>-30223.6758876645</v>
      </c>
      <c r="D6" t="n">
        <v>-30314.5092231081</v>
      </c>
      <c r="E6" t="n">
        <v>-1147.58226681843</v>
      </c>
      <c r="F6" t="n">
        <v>-685461.43879988</v>
      </c>
    </row>
    <row r="7">
      <c r="B7" t="s">
        <v>525</v>
      </c>
      <c r="C7" t="n">
        <v>-45011.2327847219</v>
      </c>
      <c r="D7" t="n">
        <v>-43260.6972563671</v>
      </c>
      <c r="E7" t="n">
        <v>-1638.08257482057</v>
      </c>
      <c r="F7" t="n">
        <v>-1020837.58777219</v>
      </c>
    </row>
    <row r="8">
      <c r="B8" t="s">
        <v>526</v>
      </c>
      <c r="C8" t="n">
        <v>-59763.2124360973</v>
      </c>
      <c r="D8" t="n">
        <v>-55497.8905660733</v>
      </c>
      <c r="E8" t="n">
        <v>-2101.87509262494</v>
      </c>
      <c r="F8" t="n">
        <v>-1355406.85838514</v>
      </c>
    </row>
    <row r="9">
      <c r="B9" t="s">
        <v>527</v>
      </c>
      <c r="C9" t="n">
        <v>-1264101.16560348</v>
      </c>
      <c r="D9" t="n">
        <v>-317711.143398554</v>
      </c>
      <c r="E9" t="n">
        <v>-14735.0981735427</v>
      </c>
      <c r="F9" t="n">
        <v>-28669332.1812922</v>
      </c>
    </row>
    <row r="10">
      <c r="B10" t="s">
        <v>528</v>
      </c>
      <c r="C10" t="n">
        <v>-1257321.57506193</v>
      </c>
      <c r="D10" t="n">
        <v>-321431.163827371</v>
      </c>
      <c r="E10" t="n">
        <v>-14851.0825268327</v>
      </c>
      <c r="F10" t="n">
        <v>-28515573.6542236</v>
      </c>
    </row>
    <row r="11">
      <c r="B11" t="s">
        <v>529</v>
      </c>
      <c r="C11" t="n">
        <v>-1250751.1794902</v>
      </c>
      <c r="D11" t="n">
        <v>-324433.975091442</v>
      </c>
      <c r="E11" t="n">
        <v>-14940.3192848058</v>
      </c>
      <c r="F11" t="n">
        <v>-28366559.5892628</v>
      </c>
    </row>
    <row r="12">
      <c r="B12" t="s">
        <v>530</v>
      </c>
      <c r="C12" t="n">
        <v>-1244338.23920408</v>
      </c>
      <c r="D12" t="n">
        <v>-326573.454610425</v>
      </c>
      <c r="E12" t="n">
        <v>-14997.3013071468</v>
      </c>
      <c r="F12" t="n">
        <v>-28221116.5501104</v>
      </c>
    </row>
    <row r="13">
      <c r="B13" t="s">
        <v>531</v>
      </c>
      <c r="C13" t="n">
        <v>-1238074.50736113</v>
      </c>
      <c r="D13" t="n">
        <v>-327897.82783222</v>
      </c>
      <c r="E13" t="n">
        <v>-15023.8425741813</v>
      </c>
      <c r="F13" t="n">
        <v>-28079057.5015259</v>
      </c>
    </row>
    <row r="14">
      <c r="B14" t="s">
        <v>532</v>
      </c>
      <c r="C14" t="n">
        <v>-1232063.64320675</v>
      </c>
      <c r="D14" t="n">
        <v>-328744.050896683</v>
      </c>
      <c r="E14" t="n">
        <v>-15032.6335802664</v>
      </c>
      <c r="F14" t="n">
        <v>-27942733.3956493</v>
      </c>
    </row>
    <row r="15">
      <c r="B15" t="s">
        <v>533</v>
      </c>
      <c r="C15" t="n">
        <v>-1226316.44981601</v>
      </c>
      <c r="D15" t="n">
        <v>-329185.378281507</v>
      </c>
      <c r="E15" t="n">
        <v>-15026.4312149997</v>
      </c>
      <c r="F15" t="n">
        <v>-27812389.2421016</v>
      </c>
    </row>
    <row r="16">
      <c r="B16" t="s">
        <v>534</v>
      </c>
      <c r="C16" t="n">
        <v>-1221018.37721653</v>
      </c>
      <c r="D16" t="n">
        <v>-329732.904954926</v>
      </c>
      <c r="E16" t="n">
        <v>-15024.4858307257</v>
      </c>
      <c r="F16" t="n">
        <v>-27692230.9767599</v>
      </c>
    </row>
    <row r="17">
      <c r="B17" t="s">
        <v>535</v>
      </c>
      <c r="C17" t="n">
        <v>-1215982.70855161</v>
      </c>
      <c r="D17" t="n">
        <v>-329900.86478375</v>
      </c>
      <c r="E17" t="n">
        <v>-15008.4960456882</v>
      </c>
      <c r="F17" t="n">
        <v>-27578023.9325473</v>
      </c>
    </row>
    <row r="18">
      <c r="B18" t="s">
        <v>536</v>
      </c>
      <c r="C18" t="n">
        <v>-1211246.94711565</v>
      </c>
      <c r="D18" t="n">
        <v>-329932.261067075</v>
      </c>
      <c r="E18" t="n">
        <v>-14987.6132592201</v>
      </c>
      <c r="F18" t="n">
        <v>-27470618.6698725</v>
      </c>
    </row>
    <row r="20">
      <c r="B20" t="s">
        <v>177</v>
      </c>
      <c r="C20" t="n">
        <f xml:space="preserve"> SUM(C6:C18)</f>
        <v>-12496212.913735855</v>
      </c>
      <c r="D20" t="n">
        <f t="shared" ref="D20:F20" si="0" xml:space="preserve"> SUM(D6:D18)</f>
        <v>-3394616.121789502</v>
      </c>
      <c r="E20" t="n">
        <f t="shared" si="0"/>
        <v>-154514.84373167332</v>
      </c>
      <c r="F20" t="n">
        <f t="shared" si="0"/>
        <v>-283409341.57830274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537</v>
      </c>
      <c r="D2" t="s">
        <v>538</v>
      </c>
      <c r="E2" t="s">
        <v>539</v>
      </c>
      <c r="F2" t="s">
        <v>540</v>
      </c>
    </row>
    <row r="3">
      <c r="B3" t="s">
        <v>543</v>
      </c>
      <c r="C3" t="n">
        <v>0</v>
      </c>
      <c r="D3" t="n">
        <v>0</v>
      </c>
      <c r="E3" t="n">
        <v>0</v>
      </c>
      <c r="F3" t="n">
        <v>0</v>
      </c>
    </row>
    <row r="4">
      <c r="B4" t="s">
        <v>486</v>
      </c>
      <c r="C4" t="n">
        <v>-30223.6758876645</v>
      </c>
      <c r="D4" t="n">
        <v>-30314.5092231081</v>
      </c>
      <c r="E4" t="n">
        <v>-1147.58226681843</v>
      </c>
      <c r="F4" t="n">
        <v>-685461.43879988</v>
      </c>
    </row>
    <row r="5">
      <c r="B5" t="s">
        <v>525</v>
      </c>
      <c r="C5" t="n">
        <v>-45011.2327847219</v>
      </c>
      <c r="D5" t="n">
        <v>-43260.6972563671</v>
      </c>
      <c r="E5" t="n">
        <v>-1638.08257482057</v>
      </c>
      <c r="F5" t="n">
        <v>-1020837.58777219</v>
      </c>
    </row>
    <row r="6">
      <c r="B6" t="s">
        <v>526</v>
      </c>
      <c r="C6" t="n">
        <v>-59763.2124360973</v>
      </c>
      <c r="D6" t="n">
        <v>-55497.8905660733</v>
      </c>
      <c r="E6" t="n">
        <v>-2101.87509262494</v>
      </c>
      <c r="F6" t="n">
        <v>-1355406.85838514</v>
      </c>
    </row>
    <row r="7">
      <c r="B7" t="s">
        <v>527</v>
      </c>
      <c r="C7" t="n">
        <v>-74154.8586654254</v>
      </c>
      <c r="D7" t="n">
        <v>-65957.8159206262</v>
      </c>
      <c r="E7" t="n">
        <v>-2498.71793204266</v>
      </c>
      <c r="F7" t="n">
        <v>-1681803.90445327</v>
      </c>
    </row>
    <row r="8">
      <c r="B8" t="s">
        <v>528</v>
      </c>
      <c r="C8" t="n">
        <v>-88203.6378362764</v>
      </c>
      <c r="D8" t="n">
        <v>-74829.3108837943</v>
      </c>
      <c r="E8" t="n">
        <v>-2835.72459654984</v>
      </c>
      <c r="F8" t="n">
        <v>-2000424.85643891</v>
      </c>
    </row>
    <row r="9">
      <c r="B9" t="s">
        <v>529</v>
      </c>
      <c r="C9" t="n">
        <v>-102100.979761518</v>
      </c>
      <c r="D9" t="n">
        <v>-82890.6470487622</v>
      </c>
      <c r="E9" t="n">
        <v>-3142.2125865925</v>
      </c>
      <c r="F9" t="n">
        <v>-2315611.26946745</v>
      </c>
    </row>
    <row r="10">
      <c r="B10" t="s">
        <v>530</v>
      </c>
      <c r="C10" t="n">
        <v>-115794.619038246</v>
      </c>
      <c r="D10" t="n">
        <v>-89984.8837135798</v>
      </c>
      <c r="E10" t="n">
        <v>-3412.26993895152</v>
      </c>
      <c r="F10" t="n">
        <v>-2626177.78414026</v>
      </c>
    </row>
    <row r="11">
      <c r="B11" t="s">
        <v>531</v>
      </c>
      <c r="C11" t="n">
        <v>-129285.286251369</v>
      </c>
      <c r="D11" t="n">
        <v>-96165.4755729744</v>
      </c>
      <c r="E11" t="n">
        <v>-3647.91028819047</v>
      </c>
      <c r="F11" t="n">
        <v>-2932140.96984434</v>
      </c>
    </row>
    <row r="12">
      <c r="B12" t="s">
        <v>532</v>
      </c>
      <c r="C12" t="n">
        <v>-142640.828361845</v>
      </c>
      <c r="D12" t="n">
        <v>-101766.227312887</v>
      </c>
      <c r="E12" t="n">
        <v>-3861.708056126</v>
      </c>
      <c r="F12" t="n">
        <v>-3235039.56977062</v>
      </c>
    </row>
    <row r="13">
      <c r="B13" t="s">
        <v>533</v>
      </c>
      <c r="C13" t="n">
        <v>-155906.084870802</v>
      </c>
      <c r="D13" t="n">
        <v>-106869.81471147</v>
      </c>
      <c r="E13" t="n">
        <v>-4056.77764853807</v>
      </c>
      <c r="F13" t="n">
        <v>-3535890.52669842</v>
      </c>
    </row>
    <row r="14">
      <c r="B14" t="s">
        <v>534</v>
      </c>
      <c r="C14" t="n">
        <v>-169168.676035222</v>
      </c>
      <c r="D14" t="n">
        <v>-111960.107644543</v>
      </c>
      <c r="E14" t="n">
        <v>-4251.34643937876</v>
      </c>
      <c r="F14" t="n">
        <v>-3836681.03462892</v>
      </c>
    </row>
    <row r="15">
      <c r="B15" t="s">
        <v>535</v>
      </c>
      <c r="C15" t="n">
        <v>-182311.240042467</v>
      </c>
      <c r="D15" t="n">
        <v>-116570.608448295</v>
      </c>
      <c r="E15" t="n">
        <v>-4427.84145470836</v>
      </c>
      <c r="F15" t="n">
        <v>-4134749.37242508</v>
      </c>
    </row>
    <row r="16">
      <c r="B16" t="s">
        <v>536</v>
      </c>
      <c r="C16" t="n">
        <v>-195398.016400734</v>
      </c>
      <c r="D16" t="n">
        <v>-120951.722349472</v>
      </c>
      <c r="E16" t="n">
        <v>-4595.69546371936</v>
      </c>
      <c r="F16" t="n">
        <v>-4431552.46762539</v>
      </c>
    </row>
    <row r="17">
      <c r="B17" t="s">
        <v>161</v>
      </c>
      <c r="C17" t="n">
        <v>-204230.711078794</v>
      </c>
      <c r="D17" t="n">
        <v>-129734.779893499</v>
      </c>
      <c r="E17" t="n">
        <v>-4923.7586488711504</v>
      </c>
      <c r="F17" t="n">
        <v>-4631874.6132507799</v>
      </c>
    </row>
    <row r="18">
      <c r="B18" t="s">
        <v>162</v>
      </c>
      <c r="C18" t="n">
        <v>-219113.06734221001</v>
      </c>
      <c r="D18" t="n">
        <v>-135146.29351914901</v>
      </c>
      <c r="E18" t="n">
        <v>-5130.4137356737001</v>
      </c>
      <c r="F18" t="n">
        <v>-4969400.7756861402</v>
      </c>
    </row>
    <row r="20">
      <c r="B20" t="s">
        <v>26</v>
      </c>
      <c r="C20" t="n">
        <f xml:space="preserve"> SUM(C4:C18)</f>
        <v>-1913306.1267933925</v>
      </c>
      <c r="D20" t="n">
        <f t="shared" ref="D20:F20" si="0" xml:space="preserve"> SUM(D4:D18)</f>
        <v>-1361900.7840646005</v>
      </c>
      <c r="E20" t="n">
        <f t="shared" si="0"/>
        <v>-51671.916723606337</v>
      </c>
      <c r="F20" t="n">
        <f t="shared" si="0"/>
        <v>-43393053.029386781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537</v>
      </c>
      <c r="D2" t="s">
        <v>538</v>
      </c>
      <c r="E2" t="s">
        <v>539</v>
      </c>
      <c r="F2" t="s">
        <v>540</v>
      </c>
    </row>
    <row r="3">
      <c r="B3" t="s">
        <v>541</v>
      </c>
      <c r="C3" t="n">
        <v>0</v>
      </c>
      <c r="D3" t="n">
        <v>0</v>
      </c>
      <c r="E3" t="n">
        <v>0</v>
      </c>
      <c r="F3" t="n">
        <v>0</v>
      </c>
    </row>
    <row r="4">
      <c r="B4" t="s">
        <v>542</v>
      </c>
      <c r="C4" t="n">
        <v>0</v>
      </c>
      <c r="D4" t="n">
        <v>0</v>
      </c>
      <c r="E4" t="n">
        <v>0</v>
      </c>
      <c r="F4" t="n">
        <v>0</v>
      </c>
    </row>
    <row r="5">
      <c r="B5" t="s">
        <v>543</v>
      </c>
      <c r="C5" t="n">
        <v>0</v>
      </c>
      <c r="D5" t="n">
        <v>0</v>
      </c>
      <c r="E5" t="n">
        <v>0</v>
      </c>
      <c r="F5" t="n">
        <v>0</v>
      </c>
    </row>
    <row r="6">
      <c r="B6" t="s">
        <v>486</v>
      </c>
      <c r="C6" t="n">
        <v>0</v>
      </c>
      <c r="D6" t="n">
        <v>0</v>
      </c>
      <c r="E6" t="n">
        <v>0</v>
      </c>
      <c r="F6" t="n">
        <v>0</v>
      </c>
    </row>
    <row r="7">
      <c r="B7" t="s">
        <v>525</v>
      </c>
      <c r="C7" t="n">
        <v>0</v>
      </c>
      <c r="D7" t="n">
        <v>0</v>
      </c>
      <c r="E7" t="n">
        <v>0</v>
      </c>
      <c r="F7" t="n">
        <v>0</v>
      </c>
    </row>
    <row r="8">
      <c r="B8" t="s">
        <v>526</v>
      </c>
      <c r="C8" t="n">
        <v>0</v>
      </c>
      <c r="D8" t="n">
        <v>0</v>
      </c>
      <c r="E8" t="n">
        <v>0</v>
      </c>
      <c r="F8" t="n">
        <v>0</v>
      </c>
    </row>
    <row r="9">
      <c r="B9" t="s">
        <v>527</v>
      </c>
      <c r="C9" t="n">
        <v>-1189946.30693805</v>
      </c>
      <c r="D9" t="n">
        <v>-251753.327477928</v>
      </c>
      <c r="E9" t="n">
        <v>-12236.3802415</v>
      </c>
      <c r="F9" t="n">
        <v>-26987528.2768389</v>
      </c>
    </row>
    <row r="10">
      <c r="B10" t="s">
        <v>528</v>
      </c>
      <c r="C10" t="n">
        <v>-1169117.93722565</v>
      </c>
      <c r="D10" t="n">
        <v>-246601.852943577</v>
      </c>
      <c r="E10" t="n">
        <v>-12015.3579302829</v>
      </c>
      <c r="F10" t="n">
        <v>-26515148.7977847</v>
      </c>
    </row>
    <row r="11">
      <c r="B11" t="s">
        <v>529</v>
      </c>
      <c r="C11" t="n">
        <v>-1148650.19972868</v>
      </c>
      <c r="D11" t="n">
        <v>-241543.328042679</v>
      </c>
      <c r="E11" t="n">
        <v>-11798.1066982133</v>
      </c>
      <c r="F11" t="n">
        <v>-26050948.3197954</v>
      </c>
    </row>
    <row r="12">
      <c r="B12" t="s">
        <v>530</v>
      </c>
      <c r="C12" t="n">
        <v>-1128543.62016584</v>
      </c>
      <c r="D12" t="n">
        <v>-236588.570896846</v>
      </c>
      <c r="E12" t="n">
        <v>-11585.0313681953</v>
      </c>
      <c r="F12" t="n">
        <v>-25594938.7659701</v>
      </c>
    </row>
    <row r="13">
      <c r="B13" t="s">
        <v>531</v>
      </c>
      <c r="C13" t="n">
        <v>-1108789.22110976</v>
      </c>
      <c r="D13" t="n">
        <v>-231732.352259246</v>
      </c>
      <c r="E13" t="n">
        <v>-11375.9322859908</v>
      </c>
      <c r="F13" t="n">
        <v>-25146916.5316816</v>
      </c>
    </row>
    <row r="14">
      <c r="B14" t="s">
        <v>532</v>
      </c>
      <c r="C14" t="n">
        <v>-1089422.81484491</v>
      </c>
      <c r="D14" t="n">
        <v>-226977.823583796</v>
      </c>
      <c r="E14" t="n">
        <v>-11170.9255241404</v>
      </c>
      <c r="F14" t="n">
        <v>-24707693.8258786</v>
      </c>
    </row>
    <row r="15">
      <c r="B15" t="s">
        <v>533</v>
      </c>
      <c r="C15" t="n">
        <v>-1070410.36494521</v>
      </c>
      <c r="D15" t="n">
        <v>-222315.563570037</v>
      </c>
      <c r="E15" t="n">
        <v>-10969.6535664616</v>
      </c>
      <c r="F15" t="n">
        <v>-24276498.7154031</v>
      </c>
    </row>
    <row r="16">
      <c r="B16" t="s">
        <v>534</v>
      </c>
      <c r="C16" t="n">
        <v>-1051849.70118131</v>
      </c>
      <c r="D16" t="n">
        <v>-217772.797310383</v>
      </c>
      <c r="E16" t="n">
        <v>-10773.139391347</v>
      </c>
      <c r="F16" t="n">
        <v>-23855549.942131</v>
      </c>
    </row>
    <row r="17">
      <c r="B17" t="s">
        <v>535</v>
      </c>
      <c r="C17" t="n">
        <v>-1033671.46850915</v>
      </c>
      <c r="D17" t="n">
        <v>-213330.256335454</v>
      </c>
      <c r="E17" t="n">
        <v>-10580.6545909798</v>
      </c>
      <c r="F17" t="n">
        <v>-23443274.5601222</v>
      </c>
    </row>
    <row r="18">
      <c r="B18" t="s">
        <v>536</v>
      </c>
      <c r="C18" t="n">
        <v>-1015848.93071491</v>
      </c>
      <c r="D18" t="n">
        <v>-208980.538717603</v>
      </c>
      <c r="E18" t="n">
        <v>-10391.9177955007</v>
      </c>
      <c r="F18" t="n">
        <v>-23039066.2022472</v>
      </c>
    </row>
    <row r="20">
      <c r="B20" t="s">
        <v>26</v>
      </c>
      <c r="C20" t="n">
        <f xml:space="preserve"> SUM(C6:C18)</f>
        <v>-11006250.56536347</v>
      </c>
      <c r="D20" t="n">
        <f t="shared" ref="D20:F20" si="0" xml:space="preserve"> SUM(D6:D18)</f>
        <v>-2297596.4111375492</v>
      </c>
      <c r="E20" t="n">
        <f t="shared" si="0"/>
        <v>-112897.09939261178</v>
      </c>
      <c r="F20" t="n">
        <f t="shared" si="0"/>
        <v>-249617563.9378528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537</v>
      </c>
      <c r="D2" t="s">
        <v>538</v>
      </c>
      <c r="E2" t="s">
        <v>539</v>
      </c>
      <c r="F2" t="s">
        <v>540</v>
      </c>
    </row>
    <row r="3">
      <c r="B3" t="s">
        <v>541</v>
      </c>
      <c r="C3" t="n">
        <v>0</v>
      </c>
      <c r="D3" t="n">
        <v>0</v>
      </c>
      <c r="E3" t="n">
        <v>0</v>
      </c>
      <c r="F3" t="n">
        <v>0</v>
      </c>
    </row>
    <row r="4">
      <c r="B4" t="s">
        <v>542</v>
      </c>
      <c r="C4" t="n">
        <v>0</v>
      </c>
      <c r="D4" t="n">
        <v>0</v>
      </c>
      <c r="E4" t="n">
        <v>0</v>
      </c>
      <c r="F4" t="n">
        <v>0</v>
      </c>
    </row>
    <row r="5">
      <c r="B5" t="s">
        <v>543</v>
      </c>
      <c r="C5" t="n">
        <v>0</v>
      </c>
      <c r="D5" t="n">
        <v>0</v>
      </c>
      <c r="E5" t="n">
        <v>0</v>
      </c>
      <c r="F5" t="n">
        <v>0</v>
      </c>
    </row>
    <row r="6">
      <c r="B6" t="s">
        <v>486</v>
      </c>
      <c r="C6" t="n">
        <v>-144856.396333787</v>
      </c>
      <c r="D6" t="n">
        <v>-61489.5993468345</v>
      </c>
      <c r="E6" t="n">
        <v>-2321.34008764839</v>
      </c>
      <c r="F6" t="n">
        <v>-3285287.80613508</v>
      </c>
    </row>
    <row r="7">
      <c r="B7" t="s">
        <v>525</v>
      </c>
      <c r="C7" t="n">
        <v>-222414.20548926</v>
      </c>
      <c r="D7" t="n">
        <v>-91539.3764606787</v>
      </c>
      <c r="E7" t="n">
        <v>-3455.82868425077</v>
      </c>
      <c r="F7" t="n">
        <v>-5044269.32947703</v>
      </c>
    </row>
    <row r="8">
      <c r="B8" t="s">
        <v>526</v>
      </c>
      <c r="C8" t="n">
        <v>-304207.692822472</v>
      </c>
      <c r="D8" t="n">
        <v>-122067.459808732</v>
      </c>
      <c r="E8" t="n">
        <v>-4608.33511773428</v>
      </c>
      <c r="F8" t="n">
        <v>-6899314.41797885</v>
      </c>
    </row>
    <row r="9">
      <c r="B9" t="s">
        <v>527</v>
      </c>
      <c r="C9" t="n">
        <v>-3497194.16151915</v>
      </c>
      <c r="D9" t="n">
        <v>-927421.022381119</v>
      </c>
      <c r="E9" t="n">
        <v>-37693.1485491854</v>
      </c>
      <c r="F9" t="n">
        <v>-79315029.4036818</v>
      </c>
    </row>
    <row r="10">
      <c r="B10" t="s">
        <v>528</v>
      </c>
      <c r="C10" t="n">
        <v>-3500283.45201821</v>
      </c>
      <c r="D10" t="n">
        <v>-933598.070551991</v>
      </c>
      <c r="E10" t="n">
        <v>-37901.4369253743</v>
      </c>
      <c r="F10" t="n">
        <v>-79385093.3336361</v>
      </c>
    </row>
    <row r="11">
      <c r="B11" t="s">
        <v>529</v>
      </c>
      <c r="C11" t="n">
        <v>-3506191.19080444</v>
      </c>
      <c r="D11" t="n">
        <v>-939782.629157914</v>
      </c>
      <c r="E11" t="n">
        <v>-38110.2773765715</v>
      </c>
      <c r="F11" t="n">
        <v>-79519078.5955054</v>
      </c>
    </row>
    <row r="12">
      <c r="B12" t="s">
        <v>530</v>
      </c>
      <c r="C12" t="n">
        <v>-3511639.80923626</v>
      </c>
      <c r="D12" t="n">
        <v>-944931.882640366</v>
      </c>
      <c r="E12" t="n">
        <v>-38280.3843431435</v>
      </c>
      <c r="F12" t="n">
        <v>-79642651.1828912</v>
      </c>
    </row>
    <row r="13">
      <c r="B13" t="s">
        <v>531</v>
      </c>
      <c r="C13" t="n">
        <v>-3516591.11624702</v>
      </c>
      <c r="D13" t="n">
        <v>-949085.738519883</v>
      </c>
      <c r="E13" t="n">
        <v>-38413.2584742106</v>
      </c>
      <c r="F13" t="n">
        <v>-79754944.9369715</v>
      </c>
    </row>
    <row r="14">
      <c r="B14" t="s">
        <v>532</v>
      </c>
      <c r="C14" t="n">
        <v>-3521135.87401099</v>
      </c>
      <c r="D14" t="n">
        <v>-952577.573628198</v>
      </c>
      <c r="E14" t="n">
        <v>-38521.45543666</v>
      </c>
      <c r="F14" t="n">
        <v>-79858018.3092334</v>
      </c>
    </row>
    <row r="15">
      <c r="B15" t="s">
        <v>533</v>
      </c>
      <c r="C15" t="n">
        <v>-3526192.45593439</v>
      </c>
      <c r="D15" t="n">
        <v>-955732.929730122</v>
      </c>
      <c r="E15" t="n">
        <v>-38617.2357872116</v>
      </c>
      <c r="F15" t="n">
        <v>-79972699.6581701</v>
      </c>
    </row>
    <row r="16">
      <c r="B16" t="s">
        <v>534</v>
      </c>
      <c r="C16" t="n">
        <v>-3532498.75693571</v>
      </c>
      <c r="D16" t="n">
        <v>-959216.473135287</v>
      </c>
      <c r="E16" t="n">
        <v>-38725.6349156065</v>
      </c>
      <c r="F16" t="n">
        <v>-80115724.1590261</v>
      </c>
    </row>
    <row r="17">
      <c r="B17" t="s">
        <v>535</v>
      </c>
      <c r="C17" t="n">
        <v>-3538869.97823278</v>
      </c>
      <c r="D17" t="n">
        <v>-962265.001764265</v>
      </c>
      <c r="E17" t="n">
        <v>-38817.9004329102</v>
      </c>
      <c r="F17" t="n">
        <v>-80260221.0274229</v>
      </c>
    </row>
    <row r="18">
      <c r="B18" t="s">
        <v>536</v>
      </c>
      <c r="C18" t="n">
        <v>-3545888.94843847</v>
      </c>
      <c r="D18" t="n">
        <v>-965273.111084349</v>
      </c>
      <c r="E18" t="n">
        <v>-38908.8942202993</v>
      </c>
      <c r="F18" t="n">
        <v>-80419408.5939507</v>
      </c>
    </row>
    <row r="20">
      <c r="B20" t="s">
        <v>26</v>
      </c>
      <c r="C20" t="n">
        <f>SUM(C6:C18)</f>
        <v>-35867964.038022943</v>
      </c>
      <c r="D20" t="n">
        <f t="shared" ref="D20:F20" si="0">SUM(D6:D18)</f>
        <v>-9764980.8682097401</v>
      </c>
      <c r="E20" t="n">
        <f t="shared" si="0"/>
        <v>-394375.13035080628</v>
      </c>
      <c r="F20" t="n">
        <f t="shared" si="0"/>
        <v>-813471740.7540803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537</v>
      </c>
      <c r="D2" t="s">
        <v>538</v>
      </c>
      <c r="E2" t="s">
        <v>539</v>
      </c>
      <c r="F2" t="s">
        <v>540</v>
      </c>
    </row>
    <row r="3">
      <c r="B3" t="s">
        <v>543</v>
      </c>
      <c r="C3" t="n">
        <v>0</v>
      </c>
      <c r="D3" t="n">
        <v>0</v>
      </c>
      <c r="E3" t="n">
        <v>0</v>
      </c>
      <c r="F3" t="n">
        <v>0</v>
      </c>
    </row>
    <row r="4">
      <c r="B4" t="s">
        <v>486</v>
      </c>
      <c r="C4" t="n">
        <v>-144856.396333787</v>
      </c>
      <c r="D4" t="n">
        <v>-61489.5993468345</v>
      </c>
      <c r="E4" t="n">
        <v>-2321.34008764839</v>
      </c>
      <c r="F4" t="n">
        <v>-3285287.80613508</v>
      </c>
    </row>
    <row r="5">
      <c r="B5" t="s">
        <v>525</v>
      </c>
      <c r="C5" t="n">
        <v>-222414.20548926</v>
      </c>
      <c r="D5" t="n">
        <v>-91539.3764606787</v>
      </c>
      <c r="E5" t="n">
        <v>-3455.82868425077</v>
      </c>
      <c r="F5" t="n">
        <v>-5044269.32947703</v>
      </c>
    </row>
    <row r="6">
      <c r="B6" t="s">
        <v>526</v>
      </c>
      <c r="C6" t="n">
        <v>-304207.692822472</v>
      </c>
      <c r="D6" t="n">
        <v>-122067.459808732</v>
      </c>
      <c r="E6" t="n">
        <v>-4608.33511773428</v>
      </c>
      <c r="F6" t="n">
        <v>-6899314.41797885</v>
      </c>
    </row>
    <row r="7">
      <c r="B7" t="s">
        <v>527</v>
      </c>
      <c r="C7" t="n">
        <v>-386046.15114968</v>
      </c>
      <c r="D7" t="n">
        <v>-150930.939576307</v>
      </c>
      <c r="E7" t="n">
        <v>-5698.13593982513</v>
      </c>
      <c r="F7" t="n">
        <v>-8755379.43146808</v>
      </c>
    </row>
    <row r="8">
      <c r="B8" t="s">
        <v>528</v>
      </c>
      <c r="C8" t="n">
        <v>-467192.363215104</v>
      </c>
      <c r="D8" t="n">
        <v>-178108.870372223</v>
      </c>
      <c r="E8" t="n">
        <v>-6724.44213008653</v>
      </c>
      <c r="F8" t="n">
        <v>-10595744.563832</v>
      </c>
    </row>
    <row r="9">
      <c r="B9" t="s">
        <v>529</v>
      </c>
      <c r="C9" t="n">
        <v>-548832.758222471</v>
      </c>
      <c r="D9" t="n">
        <v>-204656.108449825</v>
      </c>
      <c r="E9" t="n">
        <v>-7726.9901331127</v>
      </c>
      <c r="F9" t="n">
        <v>-12447317.5767884</v>
      </c>
    </row>
    <row r="10">
      <c r="B10" t="s">
        <v>530</v>
      </c>
      <c r="C10" t="n">
        <v>-629992.99809058</v>
      </c>
      <c r="D10" t="n">
        <v>-230159.400228268</v>
      </c>
      <c r="E10" t="n">
        <v>-8690.21267953659</v>
      </c>
      <c r="F10" t="n">
        <v>-14288000.8543656</v>
      </c>
    </row>
    <row r="11">
      <c r="B11" t="s">
        <v>531</v>
      </c>
      <c r="C11" t="n">
        <v>-710337.472766159</v>
      </c>
      <c r="D11" t="n">
        <v>-254578.706213275</v>
      </c>
      <c r="E11" t="n">
        <v>-9612.60147782194</v>
      </c>
      <c r="F11" t="n">
        <v>-16110182.8885906</v>
      </c>
    </row>
    <row r="12">
      <c r="B12" t="s">
        <v>532</v>
      </c>
      <c r="C12" t="n">
        <v>-789771.971744517</v>
      </c>
      <c r="D12" t="n">
        <v>-278202.783214903</v>
      </c>
      <c r="E12" t="n">
        <v>-10505.0339963009</v>
      </c>
      <c r="F12" t="n">
        <v>-17911727.0211584</v>
      </c>
    </row>
    <row r="13">
      <c r="B13" t="s">
        <v>533</v>
      </c>
      <c r="C13" t="n">
        <v>-868974.117831907</v>
      </c>
      <c r="D13" t="n">
        <v>-301290.204762612</v>
      </c>
      <c r="E13" t="n">
        <v>-11377.2507090451</v>
      </c>
      <c r="F13" t="n">
        <v>-19708001.4788017</v>
      </c>
    </row>
    <row r="14">
      <c r="B14" t="s">
        <v>534</v>
      </c>
      <c r="C14" t="n">
        <v>-947305.082370588</v>
      </c>
      <c r="D14" t="n">
        <v>-324122.906310905</v>
      </c>
      <c r="E14" t="n">
        <v>-12239.8721203558</v>
      </c>
      <c r="F14" t="n">
        <v>-21484517.871276</v>
      </c>
    </row>
    <row r="15">
      <c r="B15" t="s">
        <v>535</v>
      </c>
      <c r="C15" t="n">
        <v>-1023269.78749595</v>
      </c>
      <c r="D15" t="n">
        <v>-345851.419985606</v>
      </c>
      <c r="E15" t="n">
        <v>-13060.8987684686</v>
      </c>
      <c r="F15" t="n">
        <v>-23207368.4029841</v>
      </c>
    </row>
    <row r="16">
      <c r="B16" t="s">
        <v>536</v>
      </c>
      <c r="C16" t="n">
        <v>-1096896.04090202</v>
      </c>
      <c r="D16" t="n">
        <v>-366716.023890739</v>
      </c>
      <c r="E16" t="n">
        <v>-13849.3819338632</v>
      </c>
      <c r="F16" t="n">
        <v>-24877183.7418183</v>
      </c>
    </row>
    <row r="17">
      <c r="B17" t="s">
        <v>161</v>
      </c>
      <c r="C17" t="n">
        <v>-948165.86015469802</v>
      </c>
      <c r="D17" t="n">
        <v>-336529.93200913398</v>
      </c>
      <c r="E17" t="n">
        <v>-12713.7320290671</v>
      </c>
      <c r="F17" t="n">
        <v>-21504039.983032901</v>
      </c>
    </row>
    <row r="18">
      <c r="B18" t="s">
        <v>162</v>
      </c>
      <c r="C18" t="n">
        <v>-1017078.50640253</v>
      </c>
      <c r="D18" t="n">
        <v>-356960.49944620603</v>
      </c>
      <c r="E18" t="n">
        <v>-13486.154872945899</v>
      </c>
      <c r="F18" t="n">
        <v>-23066952.509759199</v>
      </c>
    </row>
    <row r="20">
      <c r="B20" t="s">
        <v>26</v>
      </c>
      <c r="C20" t="n">
        <f>SUM(C4:C18)</f>
        <v>-10105341.404991722</v>
      </c>
      <c r="D20" t="n">
        <f t="shared" ref="D20:F20" si="0">SUM(D4:D18)</f>
        <v>-3603204.2300762478</v>
      </c>
      <c r="E20" t="n">
        <f t="shared" si="0"/>
        <v>-136070.21068006291</v>
      </c>
      <c r="F20" t="n">
        <f t="shared" si="0"/>
        <v>-229185287.87746626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3" max="3" width="12.7109375" hidden="0" customWidth="1"/>
  </cols>
  <sheetData>
    <row r="2">
      <c r="B2" t="s">
        <v>481</v>
      </c>
      <c r="C2" t="s">
        <v>537</v>
      </c>
      <c r="D2" t="s">
        <v>538</v>
      </c>
      <c r="E2" t="s">
        <v>539</v>
      </c>
      <c r="F2" t="s">
        <v>540</v>
      </c>
    </row>
    <row r="3">
      <c r="B3" t="s">
        <v>541</v>
      </c>
      <c r="C3" t="n">
        <v>0</v>
      </c>
      <c r="D3" t="n">
        <v>0</v>
      </c>
      <c r="E3" t="n">
        <v>0</v>
      </c>
      <c r="F3" t="n">
        <v>0</v>
      </c>
    </row>
    <row r="4">
      <c r="B4" t="s">
        <v>542</v>
      </c>
      <c r="C4" t="n">
        <v>0</v>
      </c>
      <c r="D4" t="n">
        <v>0</v>
      </c>
      <c r="E4" t="n">
        <v>0</v>
      </c>
      <c r="F4" t="n">
        <v>0</v>
      </c>
    </row>
    <row r="5">
      <c r="B5" t="s">
        <v>543</v>
      </c>
      <c r="C5" t="n">
        <v>0</v>
      </c>
      <c r="D5" t="n">
        <v>0</v>
      </c>
      <c r="E5" t="n">
        <v>0</v>
      </c>
      <c r="F5" t="n">
        <v>0</v>
      </c>
    </row>
    <row r="6">
      <c r="B6" t="s">
        <v>486</v>
      </c>
      <c r="C6" t="n">
        <v>0</v>
      </c>
      <c r="D6" t="n">
        <v>0</v>
      </c>
      <c r="E6" t="n">
        <v>0</v>
      </c>
      <c r="F6" t="n">
        <v>0</v>
      </c>
    </row>
    <row r="7">
      <c r="B7" t="s">
        <v>525</v>
      </c>
      <c r="C7" t="n">
        <v>0</v>
      </c>
      <c r="D7" t="n">
        <v>0</v>
      </c>
      <c r="E7" t="n">
        <v>0</v>
      </c>
      <c r="F7" t="n">
        <v>0</v>
      </c>
    </row>
    <row r="8">
      <c r="B8" t="s">
        <v>526</v>
      </c>
      <c r="C8" t="n">
        <v>0</v>
      </c>
      <c r="D8" t="n">
        <v>0</v>
      </c>
      <c r="E8" t="n">
        <v>0</v>
      </c>
      <c r="F8" t="n">
        <v>0</v>
      </c>
    </row>
    <row r="9">
      <c r="B9" t="s">
        <v>527</v>
      </c>
      <c r="C9" t="n">
        <v>-3111148.01036947</v>
      </c>
      <c r="D9" t="n">
        <v>-776490.082804812</v>
      </c>
      <c r="E9" t="n">
        <v>-31995.0126093603</v>
      </c>
      <c r="F9" t="n">
        <v>-70559649.9722137</v>
      </c>
    </row>
    <row r="10">
      <c r="B10" t="s">
        <v>528</v>
      </c>
      <c r="C10" t="n">
        <v>-3033091.08880311</v>
      </c>
      <c r="D10" t="n">
        <v>-755489.200179767</v>
      </c>
      <c r="E10" t="n">
        <v>-31176.9947952878</v>
      </c>
      <c r="F10" t="n">
        <v>-68789348.7698041</v>
      </c>
    </row>
    <row r="11">
      <c r="B11" t="s">
        <v>529</v>
      </c>
      <c r="C11" t="n">
        <v>-2957358.43258197</v>
      </c>
      <c r="D11" t="n">
        <v>-735126.52070809</v>
      </c>
      <c r="E11" t="n">
        <v>-30383.2872434588</v>
      </c>
      <c r="F11" t="n">
        <v>-67071761.018717</v>
      </c>
    </row>
    <row r="12">
      <c r="B12" t="s">
        <v>530</v>
      </c>
      <c r="C12" t="n">
        <v>-2881646.81114568</v>
      </c>
      <c r="D12" t="n">
        <v>-714772.482412097</v>
      </c>
      <c r="E12" t="n">
        <v>-29590.1716636069</v>
      </c>
      <c r="F12" t="n">
        <v>-65354650.3285256</v>
      </c>
    </row>
    <row r="13">
      <c r="B13" t="s">
        <v>531</v>
      </c>
      <c r="C13" t="n">
        <v>-2806253.64348086</v>
      </c>
      <c r="D13" t="n">
        <v>-694507.032306608</v>
      </c>
      <c r="E13" t="n">
        <v>-28800.6569963887</v>
      </c>
      <c r="F13" t="n">
        <v>-63644762.0483809</v>
      </c>
    </row>
    <row r="14">
      <c r="B14" t="s">
        <v>532</v>
      </c>
      <c r="C14" t="n">
        <v>-2731363.90226647</v>
      </c>
      <c r="D14" t="n">
        <v>-674374.790413294</v>
      </c>
      <c r="E14" t="n">
        <v>-28016.4214403591</v>
      </c>
      <c r="F14" t="n">
        <v>-61946291.2880749</v>
      </c>
    </row>
    <row r="15">
      <c r="B15" t="s">
        <v>533</v>
      </c>
      <c r="C15" t="n">
        <v>-2657218.33810248</v>
      </c>
      <c r="D15" t="n">
        <v>-654442.72496751</v>
      </c>
      <c r="E15" t="n">
        <v>-27239.9850781665</v>
      </c>
      <c r="F15" t="n">
        <v>-60264698.1793684</v>
      </c>
    </row>
    <row r="16">
      <c r="B16" t="s">
        <v>534</v>
      </c>
      <c r="C16" t="n">
        <v>-2585193.67456512</v>
      </c>
      <c r="D16" t="n">
        <v>-635093.566824382</v>
      </c>
      <c r="E16" t="n">
        <v>-26485.7627952508</v>
      </c>
      <c r="F16" t="n">
        <v>-58631206.2877501</v>
      </c>
    </row>
    <row r="17">
      <c r="B17" t="s">
        <v>535</v>
      </c>
      <c r="C17" t="n">
        <v>-2515600.19073684</v>
      </c>
      <c r="D17" t="n">
        <v>-616413.581778659</v>
      </c>
      <c r="E17" t="n">
        <v>-25757.0016644417</v>
      </c>
      <c r="F17" t="n">
        <v>-57052852.6244388</v>
      </c>
    </row>
    <row r="18">
      <c r="B18" t="s">
        <v>536</v>
      </c>
      <c r="C18" t="n">
        <v>-2448992.90753645</v>
      </c>
      <c r="D18" t="n">
        <v>-598557.087193609</v>
      </c>
      <c r="E18" t="n">
        <v>-25059.5122864361</v>
      </c>
      <c r="F18" t="n">
        <v>-55542224.8521325</v>
      </c>
    </row>
    <row r="20">
      <c r="B20" t="s">
        <v>26</v>
      </c>
      <c r="C20" t="n">
        <f xml:space="preserve"> SUM(C6:C18)</f>
        <v>-27727866.999588452</v>
      </c>
      <c r="D20" t="n">
        <f t="shared" ref="D20:F20" si="0" xml:space="preserve"> SUM(D6:D18)</f>
        <v>-6855267.0695888279</v>
      </c>
      <c r="E20" t="n">
        <f t="shared" si="0"/>
        <v>-284504.80657275667</v>
      </c>
      <c r="F20" t="n">
        <f t="shared" si="0"/>
        <v>-628857445.36940598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576</v>
      </c>
      <c r="D2" t="s">
        <v>577</v>
      </c>
      <c r="E2" t="s">
        <v>578</v>
      </c>
      <c r="F2" t="s">
        <v>579</v>
      </c>
      <c r="G2" t="s">
        <v>580</v>
      </c>
    </row>
    <row r="3">
      <c r="B3" t="s">
        <v>581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541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B5" t="s">
        <v>542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B6" t="s">
        <v>543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B7" t="s">
        <v>486</v>
      </c>
      <c r="C7" t="n">
        <v>20.8264785154041</v>
      </c>
      <c r="D7" t="n">
        <v>55.0414075049966</v>
      </c>
      <c r="E7" t="n">
        <v>10.1157181360534</v>
      </c>
      <c r="F7" t="n">
        <v>0.380827035710247</v>
      </c>
      <c r="G7" t="n">
        <v>43381.8008391464</v>
      </c>
    </row>
    <row r="8">
      <c r="B8" t="s">
        <v>525</v>
      </c>
      <c r="C8" t="n">
        <v>29.3364813822545</v>
      </c>
      <c r="D8" t="n">
        <v>77.5321293673869</v>
      </c>
      <c r="E8" t="n">
        <v>14.2491480999522</v>
      </c>
      <c r="F8" t="n">
        <v>0.536438516704082</v>
      </c>
      <c r="G8" t="n">
        <v>61108.2373673961</v>
      </c>
    </row>
    <row r="9">
      <c r="B9" t="s">
        <v>526</v>
      </c>
      <c r="C9" t="n">
        <v>37.2204254613809</v>
      </c>
      <c r="D9" t="n">
        <v>98.3682672907925</v>
      </c>
      <c r="E9" t="n">
        <v>18.0784923669565</v>
      </c>
      <c r="F9" t="n">
        <v>0.680602065579537</v>
      </c>
      <c r="G9" t="n">
        <v>77530.5860431292</v>
      </c>
    </row>
    <row r="10">
      <c r="B10" t="s">
        <v>527</v>
      </c>
      <c r="C10" t="n">
        <v>43.6588972773715</v>
      </c>
      <c r="D10" t="n">
        <v>115.384228518767</v>
      </c>
      <c r="E10" t="n">
        <v>21.2057501061519</v>
      </c>
      <c r="F10" t="n">
        <v>0.798334121643364</v>
      </c>
      <c r="G10" t="n">
        <v>90941.9989146412</v>
      </c>
    </row>
    <row r="11">
      <c r="B11" t="s">
        <v>528</v>
      </c>
      <c r="C11" t="n">
        <v>48.7183680783405</v>
      </c>
      <c r="D11" t="n">
        <v>128.755687064186</v>
      </c>
      <c r="E11" t="n">
        <v>23.6632073523368</v>
      </c>
      <c r="F11" t="n">
        <v>0.890850159146798</v>
      </c>
      <c r="G11" t="n">
        <v>101480.936377198</v>
      </c>
    </row>
    <row r="12">
      <c r="B12" t="s">
        <v>529</v>
      </c>
      <c r="C12" t="n">
        <v>53.09973514911</v>
      </c>
      <c r="D12" t="n">
        <v>140.335014322648</v>
      </c>
      <c r="E12" t="n">
        <v>25.7912999295677</v>
      </c>
      <c r="F12" t="n">
        <v>0.970966585583725</v>
      </c>
      <c r="G12" t="n">
        <v>110607.375757083</v>
      </c>
    </row>
    <row r="13">
      <c r="B13" t="s">
        <v>530</v>
      </c>
      <c r="C13" t="n">
        <v>56.6884337552718</v>
      </c>
      <c r="D13" t="n">
        <v>149.819432067504</v>
      </c>
      <c r="E13" t="n">
        <v>27.5343821097034</v>
      </c>
      <c r="F13" t="n">
        <v>1.03658850295354</v>
      </c>
      <c r="G13" t="n">
        <v>118082.677358795</v>
      </c>
    </row>
    <row r="14">
      <c r="B14" t="s">
        <v>531</v>
      </c>
      <c r="C14" t="n">
        <v>59.5298738798152</v>
      </c>
      <c r="D14" t="n">
        <v>157.328952396654</v>
      </c>
      <c r="E14" t="n">
        <v>28.9145101701959</v>
      </c>
      <c r="F14" t="n">
        <v>1.08854626523091</v>
      </c>
      <c r="G14" t="n">
        <v>124001.430713479</v>
      </c>
    </row>
    <row r="15">
      <c r="B15" t="s">
        <v>532</v>
      </c>
      <c r="C15" t="n">
        <v>61.8940732833054</v>
      </c>
      <c r="D15" t="n">
        <v>163.577193677307</v>
      </c>
      <c r="E15" t="n">
        <v>30.0628355947483</v>
      </c>
      <c r="F15" t="n">
        <v>1.13177734003758</v>
      </c>
      <c r="G15" t="n">
        <v>128926.086006998</v>
      </c>
    </row>
    <row r="16">
      <c r="B16" t="s">
        <v>533</v>
      </c>
      <c r="C16" t="n">
        <v>63.8487614926179</v>
      </c>
      <c r="D16" t="n">
        <v>168.743155373347</v>
      </c>
      <c r="E16" t="n">
        <v>31.0122555821287</v>
      </c>
      <c r="F16" t="n">
        <v>1.16752021015073</v>
      </c>
      <c r="G16" t="n">
        <v>132997.724644144</v>
      </c>
    </row>
    <row r="17">
      <c r="B17" t="s">
        <v>534</v>
      </c>
      <c r="C17" t="n">
        <v>65.7907233816958</v>
      </c>
      <c r="D17" t="n">
        <v>173.875483223053</v>
      </c>
      <c r="E17" t="n">
        <v>31.9554942139665</v>
      </c>
      <c r="F17" t="n">
        <v>1.20303037040815</v>
      </c>
      <c r="G17" t="n">
        <v>137042.854205865</v>
      </c>
    </row>
    <row r="18">
      <c r="B18" t="s">
        <v>535</v>
      </c>
      <c r="C18" t="n">
        <v>67.3397517702226</v>
      </c>
      <c r="D18" t="n">
        <v>177.96934396416</v>
      </c>
      <c r="E18" t="n">
        <v>32.707879431251</v>
      </c>
      <c r="F18" t="n">
        <v>1.23135546094121</v>
      </c>
      <c r="G18" t="n">
        <v>140269.498642923</v>
      </c>
    </row>
    <row r="19">
      <c r="B19" t="s">
        <v>536</v>
      </c>
      <c r="C19" t="n">
        <v>68.7012833388702</v>
      </c>
      <c r="D19" t="n">
        <v>181.567677395585</v>
      </c>
      <c r="E19" t="n">
        <v>33.3691947645941</v>
      </c>
      <c r="F19" t="n">
        <v>1.25625203819648</v>
      </c>
      <c r="G19" t="n">
        <v>143105.584988658</v>
      </c>
    </row>
    <row r="20">
      <c r="B20" t="s">
        <v>582</v>
      </c>
      <c r="C20" t="n">
        <v>676.65328676566</v>
      </c>
      <c r="D20" t="n">
        <v>1788.29797216639</v>
      </c>
      <c r="E20" t="n">
        <v>328.660167857606</v>
      </c>
      <c r="F20" t="n">
        <v>12.3730886722864</v>
      </c>
      <c r="G20" t="n">
        <v>1409476.79185946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544</v>
      </c>
      <c r="D2" t="s">
        <v>545</v>
      </c>
    </row>
    <row r="3">
      <c r="B3" t="s">
        <v>541</v>
      </c>
      <c r="C3" t="n">
        <v>0</v>
      </c>
      <c r="D3" t="n">
        <v>0</v>
      </c>
    </row>
    <row r="4">
      <c r="B4" t="s">
        <v>542</v>
      </c>
      <c r="C4" t="n">
        <v>0</v>
      </c>
      <c r="D4" t="n">
        <v>0</v>
      </c>
    </row>
    <row r="5">
      <c r="B5" t="s">
        <v>543</v>
      </c>
      <c r="C5" t="n">
        <v>0</v>
      </c>
      <c r="D5" t="n">
        <v>0</v>
      </c>
    </row>
    <row r="6">
      <c r="B6" t="s">
        <v>486</v>
      </c>
      <c r="C6" t="n">
        <v>8025345.94472469</v>
      </c>
      <c r="D6" t="n">
        <v>24821600.1049305</v>
      </c>
    </row>
    <row r="7">
      <c r="B7" t="s">
        <v>525</v>
      </c>
      <c r="C7" t="n">
        <v>12362809.9806365</v>
      </c>
      <c r="D7" t="n">
        <v>34751511.7738718</v>
      </c>
    </row>
    <row r="8">
      <c r="B8" t="s">
        <v>526</v>
      </c>
      <c r="C8" t="n">
        <v>16954611.0455693</v>
      </c>
      <c r="D8" t="n">
        <v>45047365.7984324</v>
      </c>
    </row>
    <row r="9">
      <c r="B9" t="s">
        <v>527</v>
      </c>
      <c r="C9" t="n">
        <v>198076481.382619</v>
      </c>
      <c r="D9" t="n">
        <v>522295879.842603</v>
      </c>
    </row>
    <row r="10">
      <c r="B10" t="s">
        <v>528</v>
      </c>
      <c r="C10" t="n">
        <v>198216890.901295</v>
      </c>
      <c r="D10" t="n">
        <v>539761338.954709</v>
      </c>
    </row>
    <row r="11">
      <c r="B11" t="s">
        <v>529</v>
      </c>
      <c r="C11" t="n">
        <v>198529346.175609</v>
      </c>
      <c r="D11" t="n">
        <v>570714666.362019</v>
      </c>
    </row>
    <row r="12">
      <c r="B12" t="s">
        <v>530</v>
      </c>
      <c r="C12" t="n">
        <v>198825629.675083</v>
      </c>
      <c r="D12" t="n">
        <v>592320829.833717</v>
      </c>
    </row>
    <row r="13">
      <c r="B13" t="s">
        <v>531</v>
      </c>
      <c r="C13" t="n">
        <v>199102866.826158</v>
      </c>
      <c r="D13" t="n">
        <v>609887007.973702</v>
      </c>
    </row>
    <row r="14">
      <c r="B14" t="s">
        <v>532</v>
      </c>
      <c r="C14" t="n">
        <v>199362341.476772</v>
      </c>
      <c r="D14" t="n">
        <v>625542302.055244</v>
      </c>
    </row>
    <row r="15">
      <c r="B15" t="s">
        <v>533</v>
      </c>
      <c r="C15" t="n">
        <v>199656209.186193</v>
      </c>
      <c r="D15" t="n">
        <v>632393958.628565</v>
      </c>
    </row>
    <row r="16">
      <c r="B16" t="s">
        <v>534</v>
      </c>
      <c r="C16" t="n">
        <v>200021445.958882</v>
      </c>
      <c r="D16" t="n">
        <v>645664383.833204</v>
      </c>
    </row>
    <row r="17">
      <c r="B17" t="s">
        <v>535</v>
      </c>
      <c r="C17" t="n">
        <v>200395013.151045</v>
      </c>
      <c r="D17" t="n">
        <v>645860319.728179</v>
      </c>
    </row>
    <row r="18">
      <c r="B18" t="s">
        <v>536</v>
      </c>
      <c r="C18" t="n">
        <v>200807673.971588</v>
      </c>
      <c r="D18" t="n">
        <v>646801461.321627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3" max="3" width="12.28515625" hidden="0" customWidth="1"/>
    <col min="4" max="4" width="12.28515625" hidden="0" customWidth="1"/>
    <col min="5" max="5" width="12.28515625" hidden="0" customWidth="1"/>
    <col min="6" max="6" width="11.7109375" hidden="0" customWidth="1"/>
    <col min="7" max="7" width="12.28515625" hidden="0" customWidth="1"/>
  </cols>
  <sheetData>
    <row r="2">
      <c r="B2" t="s">
        <v>481</v>
      </c>
      <c r="C2" t="s">
        <v>546</v>
      </c>
      <c r="D2" t="s">
        <v>547</v>
      </c>
      <c r="E2" t="s">
        <v>548</v>
      </c>
      <c r="F2" t="s">
        <v>545</v>
      </c>
      <c r="G2" t="s">
        <v>549</v>
      </c>
    </row>
    <row r="3">
      <c r="B3" t="s">
        <v>541</v>
      </c>
      <c r="C3" s="67" t="n">
        <v>0</v>
      </c>
      <c r="D3" s="67" t="n">
        <v>0</v>
      </c>
      <c r="E3" s="67" t="n">
        <v>0</v>
      </c>
      <c r="F3" s="67" t="n">
        <v>0</v>
      </c>
      <c r="G3" s="67" t="n">
        <v>0</v>
      </c>
    </row>
    <row r="4">
      <c r="B4" t="s">
        <v>542</v>
      </c>
      <c r="C4" s="67" t="n">
        <v>0</v>
      </c>
      <c r="D4" s="67" t="n">
        <v>0</v>
      </c>
      <c r="E4" s="67" t="n">
        <v>0</v>
      </c>
      <c r="F4" s="67" t="n">
        <v>0</v>
      </c>
      <c r="G4" s="67" t="n">
        <v>0</v>
      </c>
    </row>
    <row r="5">
      <c r="B5" t="s">
        <v>543</v>
      </c>
      <c r="C5" s="67" t="n">
        <v>0</v>
      </c>
      <c r="D5" s="67" t="n">
        <v>0</v>
      </c>
      <c r="E5" s="67" t="n">
        <v>0</v>
      </c>
      <c r="F5" s="67" t="n">
        <v>0</v>
      </c>
      <c r="G5" s="67" t="n">
        <v>0</v>
      </c>
    </row>
    <row r="6">
      <c r="B6" t="s">
        <v>486</v>
      </c>
      <c r="C6" s="67" t="n">
        <v>483397720.811875</v>
      </c>
      <c r="D6" s="67" t="n">
        <v>66405589.8529185</v>
      </c>
      <c r="E6" s="67" t="n">
        <v>119889009.700772</v>
      </c>
      <c r="F6" s="67" t="n">
        <v>24821600.1049305</v>
      </c>
      <c r="G6" s="67" t="n">
        <v>95067409.5958416</v>
      </c>
    </row>
    <row r="7">
      <c r="B7" t="s">
        <v>525</v>
      </c>
      <c r="C7" s="67" t="n">
        <v>269229332.556923</v>
      </c>
      <c r="D7" s="67" t="n">
        <v>103490669.510752</v>
      </c>
      <c r="E7" s="67" t="n">
        <v>186580374.449254</v>
      </c>
      <c r="F7" s="67" t="n">
        <v>34751511.7738718</v>
      </c>
      <c r="G7" s="67" t="n">
        <v>151828862.675382</v>
      </c>
    </row>
    <row r="8">
      <c r="B8" t="s">
        <v>526</v>
      </c>
      <c r="C8" s="67" t="n">
        <v>290468410.234024</v>
      </c>
      <c r="D8" s="67" t="n">
        <v>143647831.272954</v>
      </c>
      <c r="E8" s="67" t="n">
        <v>258664147.660917</v>
      </c>
      <c r="F8" s="67" t="n">
        <v>45047365.7984324</v>
      </c>
      <c r="G8" s="67" t="n">
        <v>213616781.862484</v>
      </c>
    </row>
    <row r="9">
      <c r="B9" t="s">
        <v>527</v>
      </c>
      <c r="C9" s="67" t="n">
        <v>11557965226.2165</v>
      </c>
      <c r="D9" s="67" t="n">
        <v>1303706676.12682</v>
      </c>
      <c r="E9" s="67" t="n">
        <v>2763532988.70421</v>
      </c>
      <c r="F9" s="67" t="n">
        <v>522295879.842603</v>
      </c>
      <c r="G9" s="67" t="n">
        <v>2241237108.8616</v>
      </c>
    </row>
    <row r="10">
      <c r="B10" t="s">
        <v>528</v>
      </c>
      <c r="C10" s="67" t="n">
        <v>306088516.407211</v>
      </c>
      <c r="D10" s="67" t="n">
        <v>1307116247.19844</v>
      </c>
      <c r="E10" s="67" t="n">
        <v>2747382903.62927</v>
      </c>
      <c r="F10" s="67" t="n">
        <v>539761338.954709</v>
      </c>
      <c r="G10" s="67" t="n">
        <v>2207621564.67456</v>
      </c>
    </row>
    <row r="11">
      <c r="B11" t="s">
        <v>529</v>
      </c>
      <c r="C11" s="67" t="n">
        <v>304601695.306954</v>
      </c>
      <c r="D11" s="67" t="n">
        <v>1311869492.22738</v>
      </c>
      <c r="E11" s="67" t="n">
        <v>2741550516.88299</v>
      </c>
      <c r="F11" s="67" t="n">
        <v>570714666.362019</v>
      </c>
      <c r="G11" s="67" t="n">
        <v>2170835850.52097</v>
      </c>
    </row>
    <row r="12">
      <c r="B12" t="s">
        <v>530</v>
      </c>
      <c r="C12" s="67" t="n">
        <v>320467720.18299</v>
      </c>
      <c r="D12" s="67" t="n">
        <v>1317301517.13222</v>
      </c>
      <c r="E12" s="67" t="n">
        <v>2736624118.92076</v>
      </c>
      <c r="F12" s="67" t="n">
        <v>592320829.833717</v>
      </c>
      <c r="G12" s="67" t="n">
        <v>2144303289.08705</v>
      </c>
    </row>
    <row r="13">
      <c r="B13" t="s">
        <v>531</v>
      </c>
      <c r="C13" s="67" t="n">
        <v>664307416.783817</v>
      </c>
      <c r="D13" s="67" t="n">
        <v>1323011349.77828</v>
      </c>
      <c r="E13" s="67" t="n">
        <v>2657642967.2436</v>
      </c>
      <c r="F13" s="67" t="n">
        <v>609887007.973702</v>
      </c>
      <c r="G13" s="67" t="n">
        <v>2047755959.2699</v>
      </c>
    </row>
    <row r="14">
      <c r="B14" t="s">
        <v>532</v>
      </c>
      <c r="C14" s="67" t="n">
        <v>309472296.632558</v>
      </c>
      <c r="D14" s="67" t="n">
        <v>1329872389.69642</v>
      </c>
      <c r="E14" s="67" t="n">
        <v>2657612420.00905</v>
      </c>
      <c r="F14" s="67" t="n">
        <v>625542302.055244</v>
      </c>
      <c r="G14" s="67" t="n">
        <v>2032070117.9538</v>
      </c>
    </row>
    <row r="15">
      <c r="B15" t="s">
        <v>533</v>
      </c>
      <c r="C15" s="67" t="n">
        <v>331699608.742132</v>
      </c>
      <c r="D15" s="67" t="n">
        <v>1336569597.67211</v>
      </c>
      <c r="E15" s="67" t="n">
        <v>2654786517.17649</v>
      </c>
      <c r="F15" s="67" t="n">
        <v>632393958.628565</v>
      </c>
      <c r="G15" s="67" t="n">
        <v>2022392558.54792</v>
      </c>
    </row>
    <row r="16">
      <c r="B16" t="s">
        <v>534</v>
      </c>
      <c r="C16" s="67" t="n">
        <v>324772668.424347</v>
      </c>
      <c r="D16" s="67" t="n">
        <v>1345596405.46976</v>
      </c>
      <c r="E16" s="67" t="n">
        <v>2658070081.97004</v>
      </c>
      <c r="F16" s="67" t="n">
        <v>645664383.833204</v>
      </c>
      <c r="G16" s="67" t="n">
        <v>2012405698.13684</v>
      </c>
    </row>
    <row r="17">
      <c r="B17" t="s">
        <v>535</v>
      </c>
      <c r="C17" s="67" t="n">
        <v>860752399.711594</v>
      </c>
      <c r="D17" s="67" t="n">
        <v>1354872024.52359</v>
      </c>
      <c r="E17" s="67" t="n">
        <v>2662303351.30126</v>
      </c>
      <c r="F17" s="67" t="n">
        <v>645860319.728179</v>
      </c>
      <c r="G17" s="67" t="n">
        <v>2016443031.57308</v>
      </c>
    </row>
    <row r="18">
      <c r="B18" t="s">
        <v>536</v>
      </c>
      <c r="C18" s="67" t="n">
        <v>344635586.044465</v>
      </c>
      <c r="D18" s="67" t="n">
        <v>1364607089.33389</v>
      </c>
      <c r="E18" s="67" t="n">
        <v>2667726158.95576</v>
      </c>
      <c r="F18" s="67" t="n">
        <v>646801461.321627</v>
      </c>
      <c r="G18" s="67" t="n">
        <v>2020924697.63413</v>
      </c>
    </row>
    <row r="19">
      <c r="C19" s="67"/>
      <c r="D19" s="67"/>
      <c r="E19" s="67"/>
      <c r="F19" s="67"/>
      <c r="G19" s="67"/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548</v>
      </c>
      <c r="F2" t="s">
        <v>545</v>
      </c>
      <c r="G2" t="s">
        <v>549</v>
      </c>
    </row>
    <row r="3">
      <c r="B3" t="s">
        <v>542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543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B5" t="s">
        <v>486</v>
      </c>
      <c r="C5" t="n">
        <v>483397720.811875</v>
      </c>
      <c r="D5" t="n">
        <v>66405589.8529185</v>
      </c>
      <c r="E5" t="n">
        <v>119889009.700772</v>
      </c>
      <c r="F5" t="n">
        <v>24821600.1049305</v>
      </c>
      <c r="G5" t="n">
        <v>95067409.5958416</v>
      </c>
    </row>
    <row r="6">
      <c r="B6" t="s">
        <v>525</v>
      </c>
      <c r="C6" t="n">
        <v>269229332.556923</v>
      </c>
      <c r="D6" t="n">
        <v>103490669.510752</v>
      </c>
      <c r="E6" t="n">
        <v>186580374.449254</v>
      </c>
      <c r="F6" t="n">
        <v>34751511.7738718</v>
      </c>
      <c r="G6" t="n">
        <v>151828862.675382</v>
      </c>
    </row>
    <row r="7">
      <c r="B7" t="s">
        <v>526</v>
      </c>
      <c r="C7" t="n">
        <v>290468410.234024</v>
      </c>
      <c r="D7" t="n">
        <v>143647831.272954</v>
      </c>
      <c r="E7" t="n">
        <v>258664147.660917</v>
      </c>
      <c r="F7" t="n">
        <v>45047365.7984324</v>
      </c>
      <c r="G7" t="n">
        <v>213616781.862484</v>
      </c>
    </row>
    <row r="8">
      <c r="B8" t="s">
        <v>527</v>
      </c>
      <c r="C8" t="n">
        <v>11557965226.2165</v>
      </c>
      <c r="D8" t="n">
        <v>1303706676.12682</v>
      </c>
      <c r="E8" t="n">
        <v>2763532988.70421</v>
      </c>
      <c r="F8" t="n">
        <v>522295879.842603</v>
      </c>
      <c r="G8" t="n">
        <v>2241237108.8616</v>
      </c>
    </row>
    <row r="9">
      <c r="B9" t="s">
        <v>528</v>
      </c>
      <c r="C9" t="n">
        <v>306088516.407211</v>
      </c>
      <c r="D9" t="n">
        <v>1307116247.19844</v>
      </c>
      <c r="E9" t="n">
        <v>2747382903.62927</v>
      </c>
      <c r="F9" t="n">
        <v>539761338.954709</v>
      </c>
      <c r="G9" t="n">
        <v>2207621564.67456</v>
      </c>
    </row>
    <row r="10">
      <c r="B10" t="s">
        <v>529</v>
      </c>
      <c r="C10" t="n">
        <v>304601695.306954</v>
      </c>
      <c r="D10" t="n">
        <v>1311869492.22738</v>
      </c>
      <c r="E10" t="n">
        <v>2741550516.88299</v>
      </c>
      <c r="F10" t="n">
        <v>570714666.362019</v>
      </c>
      <c r="G10" t="n">
        <v>2170835850.52097</v>
      </c>
    </row>
    <row r="11">
      <c r="B11" t="s">
        <v>530</v>
      </c>
      <c r="C11" t="n">
        <v>320467720.18299</v>
      </c>
      <c r="D11" t="n">
        <v>1317301517.13222</v>
      </c>
      <c r="E11" t="n">
        <v>2736624118.92076</v>
      </c>
      <c r="F11" t="n">
        <v>592320829.833717</v>
      </c>
      <c r="G11" t="n">
        <v>2144303289.08705</v>
      </c>
    </row>
    <row r="12">
      <c r="B12" t="s">
        <v>531</v>
      </c>
      <c r="C12" t="n">
        <v>664307416.783817</v>
      </c>
      <c r="D12" t="n">
        <v>1323011349.77828</v>
      </c>
      <c r="E12" t="n">
        <v>2657642967.2436</v>
      </c>
      <c r="F12" t="n">
        <v>609887007.973702</v>
      </c>
      <c r="G12" t="n">
        <v>2047755959.2699</v>
      </c>
    </row>
    <row r="13">
      <c r="B13" t="s">
        <v>532</v>
      </c>
      <c r="C13" t="n">
        <v>309472296.632558</v>
      </c>
      <c r="D13" t="n">
        <v>1329872389.69642</v>
      </c>
      <c r="E13" t="n">
        <v>2657612420.00905</v>
      </c>
      <c r="F13" t="n">
        <v>625542302.055244</v>
      </c>
      <c r="G13" t="n">
        <v>2032070117.9538</v>
      </c>
    </row>
    <row r="14">
      <c r="B14" t="s">
        <v>533</v>
      </c>
      <c r="C14" t="n">
        <v>331699608.742132</v>
      </c>
      <c r="D14" t="n">
        <v>1336569597.67211</v>
      </c>
      <c r="E14" t="n">
        <v>2654786517.17649</v>
      </c>
      <c r="F14" t="n">
        <v>632393958.628565</v>
      </c>
      <c r="G14" t="n">
        <v>2022392558.54792</v>
      </c>
    </row>
    <row r="15">
      <c r="B15" t="s">
        <v>534</v>
      </c>
      <c r="C15" t="n">
        <v>324772668.424347</v>
      </c>
      <c r="D15" t="n">
        <v>1345596405.46976</v>
      </c>
      <c r="E15" t="n">
        <v>2658070081.97004</v>
      </c>
      <c r="F15" t="n">
        <v>645664383.833204</v>
      </c>
      <c r="G15" t="n">
        <v>2012405698.13684</v>
      </c>
    </row>
    <row r="16">
      <c r="B16" t="s">
        <v>535</v>
      </c>
      <c r="C16" t="n">
        <v>860752399.711594</v>
      </c>
      <c r="D16" t="n">
        <v>1354872024.52359</v>
      </c>
      <c r="E16" t="n">
        <v>2662303351.30126</v>
      </c>
      <c r="F16" t="n">
        <v>645860319.728179</v>
      </c>
      <c r="G16" t="n">
        <v>2016443031.57308</v>
      </c>
    </row>
    <row r="17">
      <c r="B17" t="s">
        <v>536</v>
      </c>
      <c r="C17" t="n">
        <v>344635586.044465</v>
      </c>
      <c r="D17" t="n">
        <v>1364607089.33389</v>
      </c>
      <c r="E17" t="n">
        <v>2667726158.95576</v>
      </c>
      <c r="F17" t="n">
        <v>646801461.321627</v>
      </c>
      <c r="G17" t="n">
        <v>2020924697.63413</v>
      </c>
    </row>
    <row r="18">
      <c r="B18" t="s">
        <v>550</v>
      </c>
      <c r="C18" t="n">
        <v>10995709064.7562</v>
      </c>
      <c r="D18" t="n">
        <v>7355795688.70992</v>
      </c>
      <c r="E18" t="n">
        <v>14932865970.6859</v>
      </c>
      <c r="F18" t="n">
        <v>3272328654.36057</v>
      </c>
      <c r="G18" t="n">
        <v>11660537316.3253</v>
      </c>
    </row>
    <row r="19">
      <c r="B19" t="s">
        <v>551</v>
      </c>
      <c r="C19" t="n">
        <v>1315645915.45762</v>
      </c>
      <c r="D19" t="n">
        <v>880127192.871167</v>
      </c>
      <c r="E19" t="n">
        <v>1786730078.49762</v>
      </c>
      <c r="F19" t="n">
        <v>391536898.87482</v>
      </c>
      <c r="G19" t="n">
        <v>1395193179.6228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552</v>
      </c>
      <c r="F2" t="s">
        <v>545</v>
      </c>
      <c r="G2" t="s">
        <v>553</v>
      </c>
    </row>
    <row r="3">
      <c r="B3" t="s">
        <v>542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543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B5" t="s">
        <v>486</v>
      </c>
      <c r="C5" t="n">
        <v>483397720.811875</v>
      </c>
      <c r="D5" t="n">
        <v>66405589.8529185</v>
      </c>
      <c r="E5" t="n">
        <v>109758836.674887</v>
      </c>
      <c r="F5" t="n">
        <v>24821600.1049305</v>
      </c>
      <c r="G5" t="n">
        <v>84937236.5699561</v>
      </c>
    </row>
    <row r="6">
      <c r="B6" t="s">
        <v>525</v>
      </c>
      <c r="C6" t="n">
        <v>269229332.556923</v>
      </c>
      <c r="D6" t="n">
        <v>103490669.510752</v>
      </c>
      <c r="E6" t="n">
        <v>170842695.836303</v>
      </c>
      <c r="F6" t="n">
        <v>34751511.7738718</v>
      </c>
      <c r="G6" t="n">
        <v>136091184.062431</v>
      </c>
    </row>
    <row r="7">
      <c r="B7" t="s">
        <v>526</v>
      </c>
      <c r="C7" t="n">
        <v>290468410.234024</v>
      </c>
      <c r="D7" t="n">
        <v>143647831.272954</v>
      </c>
      <c r="E7" t="n">
        <v>236878126.093598</v>
      </c>
      <c r="F7" t="n">
        <v>45047365.7984324</v>
      </c>
      <c r="G7" t="n">
        <v>191830760.295166</v>
      </c>
    </row>
    <row r="8">
      <c r="B8" t="s">
        <v>527</v>
      </c>
      <c r="C8" t="n">
        <v>11557965226.2165</v>
      </c>
      <c r="D8" t="n">
        <v>1303706676.12682</v>
      </c>
      <c r="E8" t="n">
        <v>2502461910.95452</v>
      </c>
      <c r="F8" t="n">
        <v>522295879.842603</v>
      </c>
      <c r="G8" t="n">
        <v>1980166031.11192</v>
      </c>
    </row>
    <row r="9">
      <c r="B9" t="s">
        <v>528</v>
      </c>
      <c r="C9" t="n">
        <v>306088516.407211</v>
      </c>
      <c r="D9" t="n">
        <v>1307116247.19844</v>
      </c>
      <c r="E9" t="n">
        <v>2489432093.61564</v>
      </c>
      <c r="F9" t="n">
        <v>539761338.954709</v>
      </c>
      <c r="G9" t="n">
        <v>1949670754.66093</v>
      </c>
    </row>
    <row r="10">
      <c r="B10" t="s">
        <v>529</v>
      </c>
      <c r="C10" t="n">
        <v>304601695.306954</v>
      </c>
      <c r="D10" t="n">
        <v>1311869492.22738</v>
      </c>
      <c r="E10" t="n">
        <v>2485025593.9964</v>
      </c>
      <c r="F10" t="n">
        <v>570714666.362019</v>
      </c>
      <c r="G10" t="n">
        <v>1914310927.63438</v>
      </c>
    </row>
    <row r="11">
      <c r="B11" t="s">
        <v>530</v>
      </c>
      <c r="C11" t="n">
        <v>320467720.18299</v>
      </c>
      <c r="D11" t="n">
        <v>1317301517.13222</v>
      </c>
      <c r="E11" t="n">
        <v>2481481307.4068</v>
      </c>
      <c r="F11" t="n">
        <v>592320829.833717</v>
      </c>
      <c r="G11" t="n">
        <v>1889160477.57308</v>
      </c>
    </row>
    <row r="12">
      <c r="B12" t="s">
        <v>531</v>
      </c>
      <c r="C12" t="n">
        <v>664307416.783817</v>
      </c>
      <c r="D12" t="n">
        <v>1323011349.77828</v>
      </c>
      <c r="E12" t="n">
        <v>2407835816.35524</v>
      </c>
      <c r="F12" t="n">
        <v>609887007.973702</v>
      </c>
      <c r="G12" t="n">
        <v>1797948808.38154</v>
      </c>
    </row>
    <row r="13">
      <c r="B13" t="s">
        <v>532</v>
      </c>
      <c r="C13" t="n">
        <v>309472296.632558</v>
      </c>
      <c r="D13" t="n">
        <v>1329872389.69642</v>
      </c>
      <c r="E13" t="n">
        <v>2408930196.82315</v>
      </c>
      <c r="F13" t="n">
        <v>625542302.055244</v>
      </c>
      <c r="G13" t="n">
        <v>1783387894.76791</v>
      </c>
    </row>
    <row r="14">
      <c r="B14" t="s">
        <v>533</v>
      </c>
      <c r="C14" t="n">
        <v>331699608.742132</v>
      </c>
      <c r="D14" t="n">
        <v>1336569597.67211</v>
      </c>
      <c r="E14" t="n">
        <v>2407439599.62921</v>
      </c>
      <c r="F14" t="n">
        <v>632393958.628565</v>
      </c>
      <c r="G14" t="n">
        <v>1775045641.00065</v>
      </c>
    </row>
    <row r="15">
      <c r="B15" t="s">
        <v>534</v>
      </c>
      <c r="C15" t="n">
        <v>324772668.424347</v>
      </c>
      <c r="D15" t="n">
        <v>1345596405.46976</v>
      </c>
      <c r="E15" t="n">
        <v>2411610383.57286</v>
      </c>
      <c r="F15" t="n">
        <v>645664383.833204</v>
      </c>
      <c r="G15" t="n">
        <v>1765945999.73966</v>
      </c>
    </row>
    <row r="16">
      <c r="B16" t="s">
        <v>535</v>
      </c>
      <c r="C16" t="n">
        <v>860752399.711594</v>
      </c>
      <c r="D16" t="n">
        <v>1354872024.52359</v>
      </c>
      <c r="E16" t="n">
        <v>2416608982.73707</v>
      </c>
      <c r="F16" t="n">
        <v>645860319.728179</v>
      </c>
      <c r="G16" t="n">
        <v>1770748663.00889</v>
      </c>
    </row>
    <row r="17">
      <c r="B17" t="s">
        <v>536</v>
      </c>
      <c r="C17" t="n">
        <v>344635586.044465</v>
      </c>
      <c r="D17" t="n">
        <v>1364607089.33389</v>
      </c>
      <c r="E17" t="n">
        <v>2422655893.72929</v>
      </c>
      <c r="F17" t="n">
        <v>646801461.321627</v>
      </c>
      <c r="G17" t="n">
        <v>1775854432.40766</v>
      </c>
    </row>
    <row r="18">
      <c r="B18" t="s">
        <v>550</v>
      </c>
      <c r="C18" t="n">
        <v>13707908855.2761</v>
      </c>
      <c r="D18" t="n">
        <v>10348406052.1078</v>
      </c>
      <c r="E18" t="n">
        <v>19009000557.631</v>
      </c>
      <c r="F18" t="n">
        <v>4639440817.40773</v>
      </c>
      <c r="G18" t="n">
        <v>14369559740.2233</v>
      </c>
    </row>
    <row r="19">
      <c r="B19" t="s">
        <v>551</v>
      </c>
      <c r="C19" t="n">
        <v>1288948418.24282</v>
      </c>
      <c r="D19" t="n">
        <v>973055901.744255</v>
      </c>
      <c r="E19" t="n">
        <v>1787407653.48062</v>
      </c>
      <c r="F19" t="n">
        <v>436244504.268583</v>
      </c>
      <c r="G19" t="n">
        <v>1351163149.21204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548</v>
      </c>
      <c r="F2" t="s">
        <v>545</v>
      </c>
      <c r="G2" t="s">
        <v>549</v>
      </c>
    </row>
    <row r="3">
      <c r="B3" t="s">
        <v>542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543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B5" t="s">
        <v>486</v>
      </c>
      <c r="C5" t="n">
        <v>164340208.110679</v>
      </c>
      <c r="D5" t="n">
        <v>62597022.2645976</v>
      </c>
      <c r="E5" t="n">
        <v>79456946.528888</v>
      </c>
      <c r="F5" t="n">
        <v>4346653.47377321</v>
      </c>
      <c r="G5" t="n">
        <v>75110293.0551148</v>
      </c>
    </row>
    <row r="6">
      <c r="B6" t="s">
        <v>525</v>
      </c>
      <c r="C6" t="n">
        <v>93142294.2612788</v>
      </c>
      <c r="D6" t="n">
        <v>97392441.2955817</v>
      </c>
      <c r="E6" t="n">
        <v>123724462.243524</v>
      </c>
      <c r="F6" t="n">
        <v>5951322.76398793</v>
      </c>
      <c r="G6" t="n">
        <v>117773139.479536</v>
      </c>
    </row>
    <row r="7">
      <c r="B7" t="s">
        <v>526</v>
      </c>
      <c r="C7" t="n">
        <v>101524116.201199</v>
      </c>
      <c r="D7" t="n">
        <v>134959935.609628</v>
      </c>
      <c r="E7" t="n">
        <v>171592728.955282</v>
      </c>
      <c r="F7" t="n">
        <v>7535373.04771347</v>
      </c>
      <c r="G7" t="n">
        <v>164057355.907569</v>
      </c>
    </row>
    <row r="8">
      <c r="B8" t="s">
        <v>527</v>
      </c>
      <c r="C8" t="n">
        <v>533757607.087089</v>
      </c>
      <c r="D8" t="n">
        <v>1051269753.3053</v>
      </c>
      <c r="E8" t="n">
        <v>1175936672.84659</v>
      </c>
      <c r="F8" t="n">
        <v>185312211.161573</v>
      </c>
      <c r="G8" t="n">
        <v>990624461.685017</v>
      </c>
    </row>
    <row r="9">
      <c r="B9" t="s">
        <v>528</v>
      </c>
      <c r="C9" t="n">
        <v>102471291.595968</v>
      </c>
      <c r="D9" t="n">
        <v>1062622591.50802</v>
      </c>
      <c r="E9" t="n">
        <v>1195808439.40464</v>
      </c>
      <c r="F9" t="n">
        <v>190097785.575466</v>
      </c>
      <c r="G9" t="n">
        <v>1005710653.82917</v>
      </c>
    </row>
    <row r="10">
      <c r="B10" t="s">
        <v>529</v>
      </c>
      <c r="C10" t="n">
        <v>104094842.186834</v>
      </c>
      <c r="D10" t="n">
        <v>1075036788.62217</v>
      </c>
      <c r="E10" t="n">
        <v>1216922900.31105</v>
      </c>
      <c r="F10" t="n">
        <v>199399161.6777</v>
      </c>
      <c r="G10" t="n">
        <v>1017523738.63335</v>
      </c>
    </row>
    <row r="11">
      <c r="B11" t="s">
        <v>530</v>
      </c>
      <c r="C11" t="n">
        <v>118773879.522054</v>
      </c>
      <c r="D11" t="n">
        <v>1087785362.54683</v>
      </c>
      <c r="E11" t="n">
        <v>1238320525.72295</v>
      </c>
      <c r="F11" t="n">
        <v>205370609.287035</v>
      </c>
      <c r="G11" t="n">
        <v>1032949916.43592</v>
      </c>
    </row>
    <row r="12">
      <c r="B12" t="s">
        <v>531</v>
      </c>
      <c r="C12" t="n">
        <v>193009348.836127</v>
      </c>
      <c r="D12" t="n">
        <v>1100511241.30705</v>
      </c>
      <c r="E12" t="n">
        <v>1259523672.51502</v>
      </c>
      <c r="F12" t="n">
        <v>209921389.812453</v>
      </c>
      <c r="G12" t="n">
        <v>1049602282.70257</v>
      </c>
    </row>
    <row r="13">
      <c r="B13" t="s">
        <v>532</v>
      </c>
      <c r="C13" t="n">
        <v>95827741.622788</v>
      </c>
      <c r="D13" t="n">
        <v>1114099866.64985</v>
      </c>
      <c r="E13" t="n">
        <v>1281736692.76169</v>
      </c>
      <c r="F13" t="n">
        <v>213821380.44968</v>
      </c>
      <c r="G13" t="n">
        <v>1067915312.31201</v>
      </c>
    </row>
    <row r="14">
      <c r="B14" t="s">
        <v>533</v>
      </c>
      <c r="C14" t="n">
        <v>119034634.824301</v>
      </c>
      <c r="D14" t="n">
        <v>1127175438.6439</v>
      </c>
      <c r="E14" t="n">
        <v>1303058504.2901</v>
      </c>
      <c r="F14" t="n">
        <v>214692360.179411</v>
      </c>
      <c r="G14" t="n">
        <v>1088366144.11069</v>
      </c>
    </row>
    <row r="15">
      <c r="B15" t="s">
        <v>534</v>
      </c>
      <c r="C15" t="n">
        <v>105597957.360183</v>
      </c>
      <c r="D15" t="n">
        <v>1142309148.11876</v>
      </c>
      <c r="E15" t="n">
        <v>1326992810.45533</v>
      </c>
      <c r="F15" t="n">
        <v>217706423.688756</v>
      </c>
      <c r="G15" t="n">
        <v>1109286386.76657</v>
      </c>
    </row>
    <row r="16">
      <c r="B16" t="s">
        <v>535</v>
      </c>
      <c r="C16" t="n">
        <v>397254223.958112</v>
      </c>
      <c r="D16" t="n">
        <v>1157481323.55398</v>
      </c>
      <c r="E16" t="n">
        <v>1350835668.97119</v>
      </c>
      <c r="F16" t="n">
        <v>216344364.081433</v>
      </c>
      <c r="G16" t="n">
        <v>1134491304.88976</v>
      </c>
    </row>
    <row r="17">
      <c r="B17" t="s">
        <v>536</v>
      </c>
      <c r="C17" t="n">
        <v>118109984.080693</v>
      </c>
      <c r="D17" t="n">
        <v>1172927111.83159</v>
      </c>
      <c r="E17" t="n">
        <v>1374936024.51079</v>
      </c>
      <c r="F17" t="n">
        <v>215257103.819153</v>
      </c>
      <c r="G17" t="n">
        <v>1159678920.69164</v>
      </c>
    </row>
    <row r="18">
      <c r="B18" t="s">
        <v>550</v>
      </c>
      <c r="C18" t="n">
        <v>1347609465.7552</v>
      </c>
      <c r="D18" t="n">
        <v>6140191054.12812</v>
      </c>
      <c r="E18" t="n">
        <v>7053814979.40667</v>
      </c>
      <c r="F18" t="n">
        <v>1111699814.94445</v>
      </c>
      <c r="G18" t="n">
        <v>5942115164.46222</v>
      </c>
    </row>
    <row r="19">
      <c r="B19" t="s">
        <v>551</v>
      </c>
      <c r="C19" t="n">
        <v>161242615.534058</v>
      </c>
      <c r="D19" t="n">
        <v>734679067.345089</v>
      </c>
      <c r="E19" t="n">
        <v>843994944.882244</v>
      </c>
      <c r="F19" t="n">
        <v>133015825.731023</v>
      </c>
      <c r="G19" t="n">
        <v>710979119.151221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552</v>
      </c>
      <c r="F2" t="s">
        <v>545</v>
      </c>
      <c r="G2" t="s">
        <v>553</v>
      </c>
    </row>
    <row r="3">
      <c r="B3" t="s">
        <v>542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543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B5" t="s">
        <v>486</v>
      </c>
      <c r="C5" t="n">
        <v>164340208.110679</v>
      </c>
      <c r="D5" t="n">
        <v>62597022.2645976</v>
      </c>
      <c r="E5" t="n">
        <v>75959084.8067995</v>
      </c>
      <c r="F5" t="n">
        <v>4346653.47377321</v>
      </c>
      <c r="G5" t="n">
        <v>71612431.3330263</v>
      </c>
    </row>
    <row r="6">
      <c r="B6" t="s">
        <v>525</v>
      </c>
      <c r="C6" t="n">
        <v>93142294.2612788</v>
      </c>
      <c r="D6" t="n">
        <v>97392441.2955817</v>
      </c>
      <c r="E6" t="n">
        <v>118261811.627788</v>
      </c>
      <c r="F6" t="n">
        <v>5951322.76398793</v>
      </c>
      <c r="G6" t="n">
        <v>112310488.8638</v>
      </c>
    </row>
    <row r="7">
      <c r="B7" t="s">
        <v>526</v>
      </c>
      <c r="C7" t="n">
        <v>101524116.201199</v>
      </c>
      <c r="D7" t="n">
        <v>134959935.609628</v>
      </c>
      <c r="E7" t="n">
        <v>163993640.589412</v>
      </c>
      <c r="F7" t="n">
        <v>7535373.04771347</v>
      </c>
      <c r="G7" t="n">
        <v>156458267.541698</v>
      </c>
    </row>
    <row r="8">
      <c r="B8" t="s">
        <v>527</v>
      </c>
      <c r="C8" t="n">
        <v>533757607.087089</v>
      </c>
      <c r="D8" t="n">
        <v>1051269753.3053</v>
      </c>
      <c r="E8" t="n">
        <v>1158525584.34458</v>
      </c>
      <c r="F8" t="n">
        <v>185312211.161573</v>
      </c>
      <c r="G8" t="n">
        <v>973213373.183005</v>
      </c>
    </row>
    <row r="9">
      <c r="B9" t="s">
        <v>528</v>
      </c>
      <c r="C9" t="n">
        <v>102471291.595968</v>
      </c>
      <c r="D9" t="n">
        <v>1062622591.50802</v>
      </c>
      <c r="E9" t="n">
        <v>1176467165.22075</v>
      </c>
      <c r="F9" t="n">
        <v>190097785.575466</v>
      </c>
      <c r="G9" t="n">
        <v>986369379.64528</v>
      </c>
    </row>
    <row r="10">
      <c r="B10" t="s">
        <v>529</v>
      </c>
      <c r="C10" t="n">
        <v>104094842.186834</v>
      </c>
      <c r="D10" t="n">
        <v>1075036788.62217</v>
      </c>
      <c r="E10" t="n">
        <v>1195617027.1803</v>
      </c>
      <c r="F10" t="n">
        <v>199399161.6777</v>
      </c>
      <c r="G10" t="n">
        <v>996217865.502596</v>
      </c>
    </row>
    <row r="11">
      <c r="B11" t="s">
        <v>530</v>
      </c>
      <c r="C11" t="n">
        <v>118773879.522054</v>
      </c>
      <c r="D11" t="n">
        <v>1087785362.54683</v>
      </c>
      <c r="E11" t="n">
        <v>1215063846.39601</v>
      </c>
      <c r="F11" t="n">
        <v>205370609.287035</v>
      </c>
      <c r="G11" t="n">
        <v>1009693237.10898</v>
      </c>
    </row>
    <row r="12">
      <c r="B12" t="s">
        <v>531</v>
      </c>
      <c r="C12" t="n">
        <v>193009348.836127</v>
      </c>
      <c r="D12" t="n">
        <v>1100511241.30705</v>
      </c>
      <c r="E12" t="n">
        <v>1234355095.34019</v>
      </c>
      <c r="F12" t="n">
        <v>209921389.812453</v>
      </c>
      <c r="G12" t="n">
        <v>1024433705.52774</v>
      </c>
    </row>
    <row r="13">
      <c r="B13" t="s">
        <v>532</v>
      </c>
      <c r="C13" t="n">
        <v>95827741.622788</v>
      </c>
      <c r="D13" t="n">
        <v>1114099866.64985</v>
      </c>
      <c r="E13" t="n">
        <v>1254629003.03985</v>
      </c>
      <c r="F13" t="n">
        <v>213821380.44968</v>
      </c>
      <c r="G13" t="n">
        <v>1040807622.59017</v>
      </c>
    </row>
    <row r="14">
      <c r="B14" t="s">
        <v>533</v>
      </c>
      <c r="C14" t="n">
        <v>119034634.824301</v>
      </c>
      <c r="D14" t="n">
        <v>1127175438.6439</v>
      </c>
      <c r="E14" t="n">
        <v>1274093481.07014</v>
      </c>
      <c r="F14" t="n">
        <v>214692360.179411</v>
      </c>
      <c r="G14" t="n">
        <v>1059401120.89073</v>
      </c>
    </row>
    <row r="15">
      <c r="B15" t="s">
        <v>534</v>
      </c>
      <c r="C15" t="n">
        <v>105597957.360183</v>
      </c>
      <c r="D15" t="n">
        <v>1142309148.11876</v>
      </c>
      <c r="E15" t="n">
        <v>1296058851.88373</v>
      </c>
      <c r="F15" t="n">
        <v>217706423.688756</v>
      </c>
      <c r="G15" t="n">
        <v>1078352428.19498</v>
      </c>
    </row>
    <row r="16">
      <c r="B16" t="s">
        <v>535</v>
      </c>
      <c r="C16" t="n">
        <v>397254223.958112</v>
      </c>
      <c r="D16" t="n">
        <v>1157481323.55398</v>
      </c>
      <c r="E16" t="n">
        <v>1317962928.2035</v>
      </c>
      <c r="F16" t="n">
        <v>216344364.081433</v>
      </c>
      <c r="G16" t="n">
        <v>1101618564.12206</v>
      </c>
    </row>
    <row r="17">
      <c r="B17" t="s">
        <v>536</v>
      </c>
      <c r="C17" t="n">
        <v>118109984.080693</v>
      </c>
      <c r="D17" t="n">
        <v>1172927111.83159</v>
      </c>
      <c r="E17" t="n">
        <v>1340130409.00449</v>
      </c>
      <c r="F17" t="n">
        <v>215257103.819153</v>
      </c>
      <c r="G17" t="n">
        <v>1124873305.18534</v>
      </c>
    </row>
    <row r="18">
      <c r="B18" t="s">
        <v>550</v>
      </c>
      <c r="C18" t="n">
        <v>1782872866.85963</v>
      </c>
      <c r="D18" t="n">
        <v>8649181835.19091</v>
      </c>
      <c r="E18" t="n">
        <v>9733993754.57547</v>
      </c>
      <c r="F18" t="n">
        <v>1576959564.29738</v>
      </c>
      <c r="G18" t="n">
        <v>8157034190.2781</v>
      </c>
    </row>
    <row r="19">
      <c r="B19" t="s">
        <v>551</v>
      </c>
      <c r="C19" t="n">
        <v>167642722.60114</v>
      </c>
      <c r="D19" t="n">
        <v>813278623.549708</v>
      </c>
      <c r="E19" t="n">
        <v>915282993.606743</v>
      </c>
      <c r="F19" t="n">
        <v>148280788.666875</v>
      </c>
      <c r="G19" t="n">
        <v>767002204.939867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548</v>
      </c>
      <c r="F2" t="s">
        <v>545</v>
      </c>
      <c r="G2" t="s">
        <v>549</v>
      </c>
    </row>
    <row r="3">
      <c r="B3" t="s">
        <v>542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543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B5" t="s">
        <v>486</v>
      </c>
      <c r="C5" t="n">
        <v>483666089.141746</v>
      </c>
      <c r="D5" t="n">
        <v>66995124.2053968</v>
      </c>
      <c r="E5" t="n">
        <v>120520546.897855</v>
      </c>
      <c r="F5" t="n">
        <v>24840723.5252019</v>
      </c>
      <c r="G5" t="n">
        <v>95679823.3726532</v>
      </c>
    </row>
    <row r="6">
      <c r="B6" t="s">
        <v>525</v>
      </c>
      <c r="C6" t="n">
        <v>269380992.364225</v>
      </c>
      <c r="D6" t="n">
        <v>104413360.410942</v>
      </c>
      <c r="E6" t="n">
        <v>187568804.762822</v>
      </c>
      <c r="F6" t="n">
        <v>34778713.9210655</v>
      </c>
      <c r="G6" t="n">
        <v>152790090.841757</v>
      </c>
    </row>
    <row r="7">
      <c r="B7" t="s">
        <v>526</v>
      </c>
      <c r="C7" t="n">
        <v>290633705.219066</v>
      </c>
      <c r="D7" t="n">
        <v>144933631.605695</v>
      </c>
      <c r="E7" t="n">
        <v>260041558.043762</v>
      </c>
      <c r="F7" t="n">
        <v>45083195.6940978</v>
      </c>
      <c r="G7" t="n">
        <v>214958362.349664</v>
      </c>
    </row>
    <row r="8">
      <c r="B8" t="s">
        <v>527</v>
      </c>
      <c r="C8" t="n">
        <v>11592067484.3954</v>
      </c>
      <c r="D8" t="n">
        <v>1379906132.26681</v>
      </c>
      <c r="E8" t="n">
        <v>2845161465.05608</v>
      </c>
      <c r="F8" t="n">
        <v>525833303.232002</v>
      </c>
      <c r="G8" t="n">
        <v>2319328161.82408</v>
      </c>
    </row>
    <row r="9">
      <c r="B9" t="s">
        <v>528</v>
      </c>
      <c r="C9" t="n">
        <v>306255352.215352</v>
      </c>
      <c r="D9" t="n">
        <v>1380991402.57299</v>
      </c>
      <c r="E9" t="n">
        <v>2826521478.61338</v>
      </c>
      <c r="F9" t="n">
        <v>543294687.173773</v>
      </c>
      <c r="G9" t="n">
        <v>2283226791.43961</v>
      </c>
    </row>
    <row r="10">
      <c r="B10" t="s">
        <v>529</v>
      </c>
      <c r="C10" t="n">
        <v>304771452.308949</v>
      </c>
      <c r="D10" t="n">
        <v>1383480411.34325</v>
      </c>
      <c r="E10" t="n">
        <v>2818263534.45161</v>
      </c>
      <c r="F10" t="n">
        <v>574321283.274655</v>
      </c>
      <c r="G10" t="n">
        <v>2243942251.17696</v>
      </c>
    </row>
    <row r="11">
      <c r="B11" t="s">
        <v>530</v>
      </c>
      <c r="C11" t="n">
        <v>320638105.223371</v>
      </c>
      <c r="D11" t="n">
        <v>1386703701.5827</v>
      </c>
      <c r="E11" t="n">
        <v>2810971035.01655</v>
      </c>
      <c r="F11" t="n">
        <v>595933402.45391</v>
      </c>
      <c r="G11" t="n">
        <v>2215037632.56264</v>
      </c>
    </row>
    <row r="12">
      <c r="B12" t="s">
        <v>531</v>
      </c>
      <c r="C12" t="n">
        <v>664477208.327416</v>
      </c>
      <c r="D12" t="n">
        <v>1390258717.61033</v>
      </c>
      <c r="E12" t="n">
        <v>2729681541.4392</v>
      </c>
      <c r="F12" t="n">
        <v>613476031.738027</v>
      </c>
      <c r="G12" t="n">
        <v>2116205509.70117</v>
      </c>
    </row>
    <row r="13">
      <c r="B13" t="s">
        <v>532</v>
      </c>
      <c r="C13" t="n">
        <v>309890842.933983</v>
      </c>
      <c r="D13" t="n">
        <v>1395019528.67129</v>
      </c>
      <c r="E13" t="n">
        <v>2727401129.30683</v>
      </c>
      <c r="F13" t="n">
        <v>629093256.213027</v>
      </c>
      <c r="G13" t="n">
        <v>2098307873.09381</v>
      </c>
    </row>
    <row r="14">
      <c r="B14" t="s">
        <v>533</v>
      </c>
      <c r="C14" t="n">
        <v>332012972.983851</v>
      </c>
      <c r="D14" t="n">
        <v>1399677952.25164</v>
      </c>
      <c r="E14" t="n">
        <v>2722391183.80215</v>
      </c>
      <c r="F14" t="n">
        <v>635855350.056707</v>
      </c>
      <c r="G14" t="n">
        <v>2086535833.74544</v>
      </c>
    </row>
    <row r="15">
      <c r="B15" t="s">
        <v>534</v>
      </c>
      <c r="C15" t="n">
        <v>325099634.142237</v>
      </c>
      <c r="D15" t="n">
        <v>1406724432.44696</v>
      </c>
      <c r="E15" t="n">
        <v>2723553327.61655</v>
      </c>
      <c r="F15" t="n">
        <v>649069809.008815</v>
      </c>
      <c r="G15" t="n">
        <v>2074483518.60774</v>
      </c>
    </row>
    <row r="16">
      <c r="B16" t="s">
        <v>535</v>
      </c>
      <c r="C16" t="n">
        <v>886002014.902251</v>
      </c>
      <c r="D16" t="n">
        <v>1414072113.56255</v>
      </c>
      <c r="E16" t="n">
        <v>2725721298.26492</v>
      </c>
      <c r="F16" t="n">
        <v>649141706.142585</v>
      </c>
      <c r="G16" t="n">
        <v>2076579592.12234</v>
      </c>
    </row>
    <row r="17">
      <c r="B17" t="s">
        <v>536</v>
      </c>
      <c r="C17" t="n">
        <v>344962448.410693</v>
      </c>
      <c r="D17" t="n">
        <v>1421927936.64833</v>
      </c>
      <c r="E17" t="n">
        <v>2729130972.93344</v>
      </c>
      <c r="F17" t="n">
        <v>649965462.340914</v>
      </c>
      <c r="G17" t="n">
        <v>2079165510.59253</v>
      </c>
    </row>
    <row r="18">
      <c r="B18" t="s">
        <v>550</v>
      </c>
      <c r="C18" t="n">
        <v>11032027493.0053</v>
      </c>
      <c r="D18" t="n">
        <v>7720203870.67967</v>
      </c>
      <c r="E18" t="n">
        <v>15323237322.0208</v>
      </c>
      <c r="F18" t="n">
        <v>3291122580.65777</v>
      </c>
      <c r="G18" t="n">
        <v>12032114741.363</v>
      </c>
    </row>
    <row r="19">
      <c r="B19" t="s">
        <v>551</v>
      </c>
      <c r="C19" t="n">
        <v>1319991446.20059</v>
      </c>
      <c r="D19" t="n">
        <v>923728940.911639</v>
      </c>
      <c r="E19" t="n">
        <v>1833438341.77294</v>
      </c>
      <c r="F19" t="n">
        <v>393785608.09609</v>
      </c>
      <c r="G19" t="n">
        <v>1439652733.67684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552</v>
      </c>
      <c r="F2" t="s">
        <v>545</v>
      </c>
      <c r="G2" t="s">
        <v>553</v>
      </c>
    </row>
    <row r="3">
      <c r="B3" t="s">
        <v>542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543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B5" t="s">
        <v>486</v>
      </c>
      <c r="C5" t="n">
        <v>483666089.141746</v>
      </c>
      <c r="D5" t="n">
        <v>66995124.2053968</v>
      </c>
      <c r="E5" t="n">
        <v>110385488.292558</v>
      </c>
      <c r="F5" t="n">
        <v>24840723.5252019</v>
      </c>
      <c r="G5" t="n">
        <v>85544764.7673564</v>
      </c>
    </row>
    <row r="6">
      <c r="B6" t="s">
        <v>525</v>
      </c>
      <c r="C6" t="n">
        <v>269380992.364225</v>
      </c>
      <c r="D6" t="n">
        <v>104413360.410942</v>
      </c>
      <c r="E6" t="n">
        <v>171823479.640985</v>
      </c>
      <c r="F6" t="n">
        <v>34778713.9210655</v>
      </c>
      <c r="G6" t="n">
        <v>137044765.71992</v>
      </c>
    </row>
    <row r="7">
      <c r="B7" t="s">
        <v>526</v>
      </c>
      <c r="C7" t="n">
        <v>290633705.219066</v>
      </c>
      <c r="D7" t="n">
        <v>144933631.605695</v>
      </c>
      <c r="E7" t="n">
        <v>238244880.813027</v>
      </c>
      <c r="F7" t="n">
        <v>45083195.6940978</v>
      </c>
      <c r="G7" t="n">
        <v>193161685.118929</v>
      </c>
    </row>
    <row r="8">
      <c r="B8" t="s">
        <v>527</v>
      </c>
      <c r="C8" t="n">
        <v>11592067484.3954</v>
      </c>
      <c r="D8" t="n">
        <v>1379906132.26681</v>
      </c>
      <c r="E8" t="n">
        <v>2583458908.42394</v>
      </c>
      <c r="F8" t="n">
        <v>525833303.232002</v>
      </c>
      <c r="G8" t="n">
        <v>2057625605.19194</v>
      </c>
    </row>
    <row r="9">
      <c r="B9" t="s">
        <v>528</v>
      </c>
      <c r="C9" t="n">
        <v>306255352.215352</v>
      </c>
      <c r="D9" t="n">
        <v>1380991402.57299</v>
      </c>
      <c r="E9" t="n">
        <v>2567958451.62445</v>
      </c>
      <c r="F9" t="n">
        <v>543294687.173773</v>
      </c>
      <c r="G9" t="n">
        <v>2024663764.45067</v>
      </c>
    </row>
    <row r="10">
      <c r="B10" t="s">
        <v>529</v>
      </c>
      <c r="C10" t="n">
        <v>304771452.308949</v>
      </c>
      <c r="D10" t="n">
        <v>1383480411.34325</v>
      </c>
      <c r="E10" t="n">
        <v>2561145158.73129</v>
      </c>
      <c r="F10" t="n">
        <v>574321283.274655</v>
      </c>
      <c r="G10" t="n">
        <v>1986823875.45663</v>
      </c>
    </row>
    <row r="11">
      <c r="B11" t="s">
        <v>530</v>
      </c>
      <c r="C11" t="n">
        <v>320638105.223371</v>
      </c>
      <c r="D11" t="n">
        <v>1386703701.5827</v>
      </c>
      <c r="E11" t="n">
        <v>2555253074.85853</v>
      </c>
      <c r="F11" t="n">
        <v>595933402.45391</v>
      </c>
      <c r="G11" t="n">
        <v>1959319672.40462</v>
      </c>
    </row>
    <row r="12">
      <c r="B12" t="s">
        <v>531</v>
      </c>
      <c r="C12" t="n">
        <v>664477208.327416</v>
      </c>
      <c r="D12" t="n">
        <v>1390258717.61033</v>
      </c>
      <c r="E12" t="n">
        <v>2479317099.2677</v>
      </c>
      <c r="F12" t="n">
        <v>613476031.738027</v>
      </c>
      <c r="G12" t="n">
        <v>1865841067.52967</v>
      </c>
    </row>
    <row r="13">
      <c r="B13" t="s">
        <v>532</v>
      </c>
      <c r="C13" t="n">
        <v>309890842.933983</v>
      </c>
      <c r="D13" t="n">
        <v>1395019528.67129</v>
      </c>
      <c r="E13" t="n">
        <v>2478179019.81992</v>
      </c>
      <c r="F13" t="n">
        <v>629093256.213027</v>
      </c>
      <c r="G13" t="n">
        <v>1849085763.60689</v>
      </c>
    </row>
    <row r="14">
      <c r="B14" t="s">
        <v>533</v>
      </c>
      <c r="C14" t="n">
        <v>332012972.983851</v>
      </c>
      <c r="D14" t="n">
        <v>1399677952.25164</v>
      </c>
      <c r="E14" t="n">
        <v>2474521275.73444</v>
      </c>
      <c r="F14" t="n">
        <v>635855350.056707</v>
      </c>
      <c r="G14" t="n">
        <v>1838665925.67773</v>
      </c>
    </row>
    <row r="15">
      <c r="B15" t="s">
        <v>534</v>
      </c>
      <c r="C15" t="n">
        <v>325099634.142237</v>
      </c>
      <c r="D15" t="n">
        <v>1406724432.44696</v>
      </c>
      <c r="E15" t="n">
        <v>2476587050.03735</v>
      </c>
      <c r="F15" t="n">
        <v>649069809.008815</v>
      </c>
      <c r="G15" t="n">
        <v>1827517241.02853</v>
      </c>
    </row>
    <row r="16">
      <c r="B16" t="s">
        <v>535</v>
      </c>
      <c r="C16" t="n">
        <v>886002014.902251</v>
      </c>
      <c r="D16" t="n">
        <v>1414072113.56255</v>
      </c>
      <c r="E16" t="n">
        <v>2479536327.69435</v>
      </c>
      <c r="F16" t="n">
        <v>649141706.142585</v>
      </c>
      <c r="G16" t="n">
        <v>1830394621.55176</v>
      </c>
    </row>
    <row r="17">
      <c r="B17" t="s">
        <v>536</v>
      </c>
      <c r="C17" t="n">
        <v>344962448.410693</v>
      </c>
      <c r="D17" t="n">
        <v>1421927936.64833</v>
      </c>
      <c r="E17" t="n">
        <v>2483585679.32176</v>
      </c>
      <c r="F17" t="n">
        <v>649965462.340914</v>
      </c>
      <c r="G17" t="n">
        <v>1833620216.98085</v>
      </c>
    </row>
    <row r="18">
      <c r="B18" t="s">
        <v>550</v>
      </c>
      <c r="C18" t="n">
        <v>13756583763.0002</v>
      </c>
      <c r="D18" t="n">
        <v>10858249206.8341</v>
      </c>
      <c r="E18" t="n">
        <v>19550943595.0892</v>
      </c>
      <c r="F18" t="n">
        <v>4665918667.71081</v>
      </c>
      <c r="G18" t="n">
        <v>14885024927.3784</v>
      </c>
    </row>
    <row r="19">
      <c r="B19" t="s">
        <v>551</v>
      </c>
      <c r="C19" t="n">
        <v>1293525297.61818</v>
      </c>
      <c r="D19" t="n">
        <v>1020996221.07191</v>
      </c>
      <c r="E19" t="n">
        <v>1838366310.14258</v>
      </c>
      <c r="F19" t="n">
        <v>438734204.457499</v>
      </c>
      <c r="G19" t="n">
        <v>1399632105.68508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548</v>
      </c>
      <c r="F2" t="s">
        <v>545</v>
      </c>
      <c r="G2" t="s">
        <v>549</v>
      </c>
    </row>
    <row r="3">
      <c r="B3" t="s">
        <v>542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543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B5" t="s">
        <v>486</v>
      </c>
      <c r="C5" t="n">
        <v>422218290.516093</v>
      </c>
      <c r="D5" t="n">
        <v>58001213.9513656</v>
      </c>
      <c r="E5" t="n">
        <v>104715704.166977</v>
      </c>
      <c r="F5" t="n">
        <v>21680146.8293567</v>
      </c>
      <c r="G5" t="n">
        <v>83035557.3376204</v>
      </c>
    </row>
    <row r="6">
      <c r="B6" t="s">
        <v>525</v>
      </c>
      <c r="C6" t="n">
        <v>219771332.562957</v>
      </c>
      <c r="D6" t="n">
        <v>84479213.79964</v>
      </c>
      <c r="E6" t="n">
        <v>152305163.532426</v>
      </c>
      <c r="F6" t="n">
        <v>28367585.279759</v>
      </c>
      <c r="G6" t="n">
        <v>123937578.252667</v>
      </c>
    </row>
    <row r="7">
      <c r="B7" t="s">
        <v>526</v>
      </c>
      <c r="C7" t="n">
        <v>221596959.418593</v>
      </c>
      <c r="D7" t="n">
        <v>109588242.699148</v>
      </c>
      <c r="E7" t="n">
        <v>197333639.778867</v>
      </c>
      <c r="F7" t="n">
        <v>34366419.6829775</v>
      </c>
      <c r="G7" t="n">
        <v>162967220.09589</v>
      </c>
    </row>
    <row r="8">
      <c r="B8" t="s">
        <v>527</v>
      </c>
      <c r="C8" t="n">
        <v>8240669469.24519</v>
      </c>
      <c r="D8" t="n">
        <v>929524842.179014</v>
      </c>
      <c r="E8" t="n">
        <v>1970360827.4933</v>
      </c>
      <c r="F8" t="n">
        <v>372389743.929039</v>
      </c>
      <c r="G8" t="n">
        <v>1597971083.56426</v>
      </c>
    </row>
    <row r="9">
      <c r="B9" t="s">
        <v>528</v>
      </c>
      <c r="C9" t="n">
        <v>203959702.707478</v>
      </c>
      <c r="D9" t="n">
        <v>870986746.944905</v>
      </c>
      <c r="E9" t="n">
        <v>1830697233.6798</v>
      </c>
      <c r="F9" t="n">
        <v>359665770.929259</v>
      </c>
      <c r="G9" t="n">
        <v>1471031462.75054</v>
      </c>
    </row>
    <row r="10">
      <c r="B10" t="s">
        <v>529</v>
      </c>
      <c r="C10" t="n">
        <v>189690627.130015</v>
      </c>
      <c r="D10" t="n">
        <v>816966387.670869</v>
      </c>
      <c r="E10" t="n">
        <v>1707299876.75245</v>
      </c>
      <c r="F10" t="n">
        <v>355412411.166698</v>
      </c>
      <c r="G10" t="n">
        <v>1351887465.58575</v>
      </c>
    </row>
    <row r="11">
      <c r="B11" t="s">
        <v>530</v>
      </c>
      <c r="C11" t="n">
        <v>186515130.865701</v>
      </c>
      <c r="D11" t="n">
        <v>766681476.428292</v>
      </c>
      <c r="E11" t="n">
        <v>1592740152.98416</v>
      </c>
      <c r="F11" t="n">
        <v>344736115.786742</v>
      </c>
      <c r="G11" t="n">
        <v>1248004037.19742</v>
      </c>
    </row>
    <row r="12">
      <c r="B12" t="s">
        <v>531</v>
      </c>
      <c r="C12" t="n">
        <v>361339219.437629</v>
      </c>
      <c r="D12" t="n">
        <v>719630514.966205</v>
      </c>
      <c r="E12" t="n">
        <v>1445581685.62525</v>
      </c>
      <c r="F12" t="n">
        <v>331738122.800584</v>
      </c>
      <c r="G12" t="n">
        <v>1113843562.82467</v>
      </c>
    </row>
    <row r="13">
      <c r="B13" t="s">
        <v>532</v>
      </c>
      <c r="C13" t="n">
        <v>157320022.928466</v>
      </c>
      <c r="D13" t="n">
        <v>676039687.931681</v>
      </c>
      <c r="E13" t="n">
        <v>1350995392.48003</v>
      </c>
      <c r="F13" t="n">
        <v>317993986.450105</v>
      </c>
      <c r="G13" t="n">
        <v>1033001406.02993</v>
      </c>
    </row>
    <row r="14">
      <c r="B14" t="s">
        <v>533</v>
      </c>
      <c r="C14" t="n">
        <v>157588094.677968</v>
      </c>
      <c r="D14" t="n">
        <v>634994587.724674</v>
      </c>
      <c r="E14" t="n">
        <v>1261269950.25744</v>
      </c>
      <c r="F14" t="n">
        <v>300445814.223461</v>
      </c>
      <c r="G14" t="n">
        <v>960824136.033977</v>
      </c>
    </row>
    <row r="15">
      <c r="B15" t="s">
        <v>534</v>
      </c>
      <c r="C15" t="n">
        <v>144202948.814936</v>
      </c>
      <c r="D15" t="n">
        <v>597460896.33992</v>
      </c>
      <c r="E15" t="n">
        <v>1180214904.8947</v>
      </c>
      <c r="F15" t="n">
        <v>286682708.077743</v>
      </c>
      <c r="G15" t="n">
        <v>893532196.816957</v>
      </c>
    </row>
    <row r="16">
      <c r="B16" t="s">
        <v>535</v>
      </c>
      <c r="C16" t="n">
        <v>357181644.315055</v>
      </c>
      <c r="D16" t="n">
        <v>562223721.616057</v>
      </c>
      <c r="E16" t="n">
        <v>1104761240.28453</v>
      </c>
      <c r="F16" t="n">
        <v>268009070.989118</v>
      </c>
      <c r="G16" t="n">
        <v>836752169.295412</v>
      </c>
    </row>
    <row r="17">
      <c r="B17" t="s">
        <v>536</v>
      </c>
      <c r="C17" t="n">
        <v>133655622.136153</v>
      </c>
      <c r="D17" t="n">
        <v>529218156.458151</v>
      </c>
      <c r="E17" t="n">
        <v>1034590198.75597</v>
      </c>
      <c r="F17" t="n">
        <v>250840758.215727</v>
      </c>
      <c r="G17" t="n">
        <v>783749440.54024</v>
      </c>
    </row>
    <row r="18">
      <c r="B18" t="s">
        <v>550</v>
      </c>
      <c r="C18" t="n">
        <v>10995709064.7562</v>
      </c>
      <c r="D18" t="n">
        <v>7355795688.70992</v>
      </c>
      <c r="E18" t="n">
        <v>14932865970.6859</v>
      </c>
      <c r="F18" t="n">
        <v>3272328654.36057</v>
      </c>
      <c r="G18" t="n">
        <v>11660537316.3253</v>
      </c>
    </row>
    <row r="19">
      <c r="B19" t="s">
        <v>551</v>
      </c>
      <c r="C19" t="n">
        <v>1315645915.45762</v>
      </c>
      <c r="D19" t="n">
        <v>880127192.871167</v>
      </c>
      <c r="E19" t="n">
        <v>1786730078.49762</v>
      </c>
      <c r="F19" t="n">
        <v>391536898.87482</v>
      </c>
      <c r="G19" t="n">
        <v>1395193179.6228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3" max="3" width="12.28515625" hidden="0" customWidth="1"/>
    <col min="4" max="4" width="12.28515625" hidden="0" customWidth="1"/>
    <col min="5" max="5" width="12.28515625" hidden="0" customWidth="1"/>
    <col min="6" max="6" width="11.7109375" hidden="0" customWidth="1"/>
    <col min="7" max="7" width="12.28515625" hidden="0" customWidth="1"/>
  </cols>
  <sheetData>
    <row r="2">
      <c r="B2" t="s">
        <v>481</v>
      </c>
      <c r="C2" t="s">
        <v>546</v>
      </c>
      <c r="D2" t="s">
        <v>547</v>
      </c>
      <c r="E2" t="s">
        <v>548</v>
      </c>
      <c r="F2" t="s">
        <v>545</v>
      </c>
      <c r="G2" t="s">
        <v>549</v>
      </c>
    </row>
    <row r="3">
      <c r="B3" t="s">
        <v>543</v>
      </c>
      <c r="C3" s="67" t="n">
        <v>0</v>
      </c>
      <c r="D3" s="67" t="n">
        <v>0</v>
      </c>
      <c r="E3" s="67" t="n">
        <v>0</v>
      </c>
      <c r="F3" s="67" t="n">
        <v>0</v>
      </c>
      <c r="G3" s="67" t="n">
        <v>0</v>
      </c>
    </row>
    <row r="4">
      <c r="B4" t="s">
        <v>486</v>
      </c>
      <c r="C4" s="67" t="n">
        <v>422218290.516093</v>
      </c>
      <c r="D4" s="67" t="n">
        <v>58001213.9513656</v>
      </c>
      <c r="E4" s="67" t="n">
        <v>104715704.166977</v>
      </c>
      <c r="F4" s="67" t="n">
        <v>21680146.8293567</v>
      </c>
      <c r="G4" s="67" t="n">
        <v>83035557.3376204</v>
      </c>
    </row>
    <row r="5">
      <c r="B5" t="s">
        <v>525</v>
      </c>
      <c r="C5" s="67" t="n">
        <v>219771332.562957</v>
      </c>
      <c r="D5" s="67" t="n">
        <v>84479213.79964</v>
      </c>
      <c r="E5" s="67" t="n">
        <v>152305163.532426</v>
      </c>
      <c r="F5" s="67" t="n">
        <v>28367585.279759</v>
      </c>
      <c r="G5" s="67" t="n">
        <v>123937578.252667</v>
      </c>
    </row>
    <row r="6">
      <c r="B6" t="s">
        <v>526</v>
      </c>
      <c r="C6" s="67" t="n">
        <v>221596959.418593</v>
      </c>
      <c r="D6" s="67" t="n">
        <v>109588242.699148</v>
      </c>
      <c r="E6" s="67" t="n">
        <v>197333639.778867</v>
      </c>
      <c r="F6" s="67" t="n">
        <v>34366419.6829775</v>
      </c>
      <c r="G6" s="67" t="n">
        <v>162967220.09589</v>
      </c>
    </row>
    <row r="7">
      <c r="B7" t="s">
        <v>527</v>
      </c>
      <c r="C7" s="67" t="n">
        <v>209123544.629634</v>
      </c>
      <c r="D7" s="67" t="n">
        <v>131273116.7464</v>
      </c>
      <c r="E7" s="67" t="n">
        <v>236209782.577329</v>
      </c>
      <c r="F7" s="67" t="n">
        <v>40553772.1432134</v>
      </c>
      <c r="G7" s="67" t="n">
        <v>195656010.434116</v>
      </c>
    </row>
    <row r="8">
      <c r="B8" t="s">
        <v>528</v>
      </c>
      <c r="C8" s="67" t="n">
        <v>203959702.707478</v>
      </c>
      <c r="D8" s="67" t="n">
        <v>149430111.811431</v>
      </c>
      <c r="E8" s="67" t="n">
        <v>267557751.950036</v>
      </c>
      <c r="F8" s="67" t="n">
        <v>47478991.6459905</v>
      </c>
      <c r="G8" s="67" t="n">
        <v>220078760.304045</v>
      </c>
    </row>
    <row r="9">
      <c r="B9" t="s">
        <v>529</v>
      </c>
      <c r="C9" s="67" t="n">
        <v>189690627.130015</v>
      </c>
      <c r="D9" s="67" t="n">
        <v>164951140.701686</v>
      </c>
      <c r="E9" s="67" t="n">
        <v>294811199.146753</v>
      </c>
      <c r="F9" s="67" t="n">
        <v>55139774.8645952</v>
      </c>
      <c r="G9" s="67" t="n">
        <v>239671424.282157</v>
      </c>
    </row>
    <row r="10">
      <c r="B10" t="s">
        <v>530</v>
      </c>
      <c r="C10" s="67" t="n">
        <v>178246593.929523</v>
      </c>
      <c r="D10" s="67" t="n">
        <v>177633674.514079</v>
      </c>
      <c r="E10" s="67" t="n">
        <v>317017605.363415</v>
      </c>
      <c r="F10" s="67" t="n">
        <v>61410858.7360855</v>
      </c>
      <c r="G10" s="67" t="n">
        <v>255606746.62733</v>
      </c>
    </row>
    <row r="11">
      <c r="B11" t="s">
        <v>531</v>
      </c>
      <c r="C11" s="67" t="n">
        <v>166114077.081366</v>
      </c>
      <c r="D11" s="67" t="n">
        <v>187566341.250517</v>
      </c>
      <c r="E11" s="67" t="n">
        <v>334435843.011873</v>
      </c>
      <c r="F11" s="67" t="n">
        <v>66647428.2162182</v>
      </c>
      <c r="G11" s="67" t="n">
        <v>267788414.795654</v>
      </c>
    </row>
    <row r="12">
      <c r="B12" t="s">
        <v>532</v>
      </c>
      <c r="C12" s="67" t="n">
        <v>161487363.545976</v>
      </c>
      <c r="D12" s="67" t="n">
        <v>195527678.943345</v>
      </c>
      <c r="E12" s="67" t="n">
        <v>348224930.872836</v>
      </c>
      <c r="F12" s="67" t="n">
        <v>71038721.6211655</v>
      </c>
      <c r="G12" s="67" t="n">
        <v>277186209.25167</v>
      </c>
    </row>
    <row r="13">
      <c r="B13" t="s">
        <v>533</v>
      </c>
      <c r="C13" s="67" t="n">
        <v>149768765.942642</v>
      </c>
      <c r="D13" s="67" t="n">
        <v>201116485.633457</v>
      </c>
      <c r="E13" s="67" t="n">
        <v>358043248.24268</v>
      </c>
      <c r="F13" s="67" t="n">
        <v>73834884.3708155</v>
      </c>
      <c r="G13" s="67" t="n">
        <v>284208363.871864</v>
      </c>
    </row>
    <row r="14">
      <c r="B14" t="s">
        <v>534</v>
      </c>
      <c r="C14" s="67" t="n">
        <v>144202948.814936</v>
      </c>
      <c r="D14" s="67" t="n">
        <v>205770323.548541</v>
      </c>
      <c r="E14" s="67" t="n">
        <v>365618030.806105</v>
      </c>
      <c r="F14" s="67" t="n">
        <v>76743014.8764032</v>
      </c>
      <c r="G14" s="67" t="n">
        <v>288875015.929702</v>
      </c>
    </row>
    <row r="15">
      <c r="B15" t="s">
        <v>535</v>
      </c>
      <c r="C15" s="67" t="n">
        <v>132429739.835787</v>
      </c>
      <c r="D15" s="67" t="n">
        <v>208712754.882741</v>
      </c>
      <c r="E15" s="67" t="n">
        <v>370210587.998701</v>
      </c>
      <c r="F15" s="67" t="n">
        <v>77424697.3116973</v>
      </c>
      <c r="G15" s="67" t="n">
        <v>292785890.687003</v>
      </c>
    </row>
    <row r="16">
      <c r="B16" t="s">
        <v>536</v>
      </c>
      <c r="C16" s="67" t="n">
        <v>128468372.221198</v>
      </c>
      <c r="D16" s="67" t="n">
        <v>210330692.751155</v>
      </c>
      <c r="E16" s="67" t="n">
        <v>372345347.063124</v>
      </c>
      <c r="F16" s="67" t="n">
        <v>77580901.2761343</v>
      </c>
      <c r="G16" s="67" t="n">
        <v>294764445.786989</v>
      </c>
    </row>
    <row r="17">
      <c r="B17" t="s">
        <v>550</v>
      </c>
      <c r="C17" s="67" t="n">
        <v>2527078318.3362</v>
      </c>
      <c r="D17" s="67" t="n">
        <v>2084380991.23351</v>
      </c>
      <c r="E17" s="67" t="n">
        <v>3718828834.51112</v>
      </c>
      <c r="F17" s="67" t="n">
        <v>732267196.854412</v>
      </c>
      <c r="G17" s="67" t="n">
        <v>2986561637.65671</v>
      </c>
    </row>
    <row r="18">
      <c r="B18" t="s">
        <v>551</v>
      </c>
      <c r="C18" s="67" t="n">
        <v>302367064.095673</v>
      </c>
      <c r="D18" s="67" t="n">
        <v>249397953.440182</v>
      </c>
      <c r="E18" s="67" t="n">
        <v>444961024.122825</v>
      </c>
      <c r="F18" s="67" t="n">
        <v>87616391.16599</v>
      </c>
      <c r="G18" s="67" t="n">
        <v>357344632.956835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548</v>
      </c>
      <c r="F2" t="s">
        <v>545</v>
      </c>
      <c r="G2" t="s">
        <v>549</v>
      </c>
    </row>
    <row r="3">
      <c r="B3" t="s">
        <v>542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543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B5" t="s">
        <v>486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B6" t="s">
        <v>525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B7" t="s">
        <v>526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B8" t="s">
        <v>527</v>
      </c>
      <c r="C8" t="n">
        <v>8031545924.61555</v>
      </c>
      <c r="D8" t="n">
        <v>798251725.432614</v>
      </c>
      <c r="E8" t="n">
        <v>1734151044.91597</v>
      </c>
      <c r="F8" t="n">
        <v>331835971.785826</v>
      </c>
      <c r="G8" t="n">
        <v>1402315073.13014</v>
      </c>
    </row>
    <row r="9">
      <c r="B9" t="s">
        <v>528</v>
      </c>
      <c r="C9" t="n">
        <v>0</v>
      </c>
      <c r="D9" t="n">
        <v>721556635.133474</v>
      </c>
      <c r="E9" t="n">
        <v>1563139481.72976</v>
      </c>
      <c r="F9" t="n">
        <v>312186779.283269</v>
      </c>
      <c r="G9" t="n">
        <v>1250952702.44649</v>
      </c>
    </row>
    <row r="10">
      <c r="B10" t="s">
        <v>529</v>
      </c>
      <c r="C10" t="n">
        <v>0</v>
      </c>
      <c r="D10" t="n">
        <v>652015246.969183</v>
      </c>
      <c r="E10" t="n">
        <v>1412488677.6057</v>
      </c>
      <c r="F10" t="n">
        <v>300272636.302103</v>
      </c>
      <c r="G10" t="n">
        <v>1112216041.30359</v>
      </c>
    </row>
    <row r="11">
      <c r="B11" t="s">
        <v>530</v>
      </c>
      <c r="C11" t="n">
        <v>8268536.9361777</v>
      </c>
      <c r="D11" t="n">
        <v>589047801.914213</v>
      </c>
      <c r="E11" t="n">
        <v>1275722547.62074</v>
      </c>
      <c r="F11" t="n">
        <v>283325257.050657</v>
      </c>
      <c r="G11" t="n">
        <v>992397290.570088</v>
      </c>
    </row>
    <row r="12">
      <c r="B12" t="s">
        <v>531</v>
      </c>
      <c r="C12" t="n">
        <v>195225142.356263</v>
      </c>
      <c r="D12" t="n">
        <v>532064173.715688</v>
      </c>
      <c r="E12" t="n">
        <v>1111145842.61338</v>
      </c>
      <c r="F12" t="n">
        <v>265090694.584365</v>
      </c>
      <c r="G12" t="n">
        <v>846055148.029015</v>
      </c>
    </row>
    <row r="13">
      <c r="B13" t="s">
        <v>532</v>
      </c>
      <c r="C13" t="n">
        <v>-4167340.61750978</v>
      </c>
      <c r="D13" t="n">
        <v>480512008.988336</v>
      </c>
      <c r="E13" t="n">
        <v>1002770461.6072</v>
      </c>
      <c r="F13" t="n">
        <v>246955264.82894</v>
      </c>
      <c r="G13" t="n">
        <v>755815196.778258</v>
      </c>
    </row>
    <row r="14">
      <c r="B14" t="s">
        <v>533</v>
      </c>
      <c r="C14" t="n">
        <v>7819328.73532596</v>
      </c>
      <c r="D14" t="n">
        <v>433878102.091217</v>
      </c>
      <c r="E14" t="n">
        <v>903226702.014758</v>
      </c>
      <c r="F14" t="n">
        <v>226610929.852645</v>
      </c>
      <c r="G14" t="n">
        <v>676615772.162113</v>
      </c>
    </row>
    <row r="15">
      <c r="B15" t="s">
        <v>534</v>
      </c>
      <c r="C15" t="n">
        <v>0</v>
      </c>
      <c r="D15" t="n">
        <v>391690572.79138</v>
      </c>
      <c r="E15" t="n">
        <v>814596874.088595</v>
      </c>
      <c r="F15" t="n">
        <v>209939693.20134</v>
      </c>
      <c r="G15" t="n">
        <v>604657180.887256</v>
      </c>
    </row>
    <row r="16">
      <c r="B16" t="s">
        <v>535</v>
      </c>
      <c r="C16" t="n">
        <v>224751904.479269</v>
      </c>
      <c r="D16" t="n">
        <v>353510966.733316</v>
      </c>
      <c r="E16" t="n">
        <v>734550652.28583</v>
      </c>
      <c r="F16" t="n">
        <v>190584373.677421</v>
      </c>
      <c r="G16" t="n">
        <v>543966278.608409</v>
      </c>
    </row>
    <row r="17">
      <c r="B17" t="s">
        <v>536</v>
      </c>
      <c r="C17" t="n">
        <v>5187249.91495577</v>
      </c>
      <c r="D17" t="n">
        <v>318887463.706996</v>
      </c>
      <c r="E17" t="n">
        <v>662244851.692843</v>
      </c>
      <c r="F17" t="n">
        <v>173259856.939593</v>
      </c>
      <c r="G17" t="n">
        <v>488984994.75325</v>
      </c>
    </row>
    <row r="18">
      <c r="B18" t="s">
        <v>550</v>
      </c>
      <c r="C18" t="n">
        <v>8468630746.42004</v>
      </c>
      <c r="D18" t="n">
        <v>5271414697.47642</v>
      </c>
      <c r="E18" t="n">
        <v>11214037136.1748</v>
      </c>
      <c r="F18" t="n">
        <v>2540061457.50616</v>
      </c>
      <c r="G18" t="n">
        <v>8673975678.66862</v>
      </c>
    </row>
    <row r="19">
      <c r="B19" t="s">
        <v>551</v>
      </c>
      <c r="C19" t="n">
        <v>1013278851.36194</v>
      </c>
      <c r="D19" t="n">
        <v>630729239.430985</v>
      </c>
      <c r="E19" t="n">
        <v>1341769054.3748</v>
      </c>
      <c r="F19" t="n">
        <v>303920507.70883</v>
      </c>
      <c r="G19" t="n">
        <v>1037848546.66597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552</v>
      </c>
      <c r="F2" t="s">
        <v>545</v>
      </c>
      <c r="G2" t="s">
        <v>553</v>
      </c>
    </row>
    <row r="3">
      <c r="B3" t="s">
        <v>542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543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B5" t="s">
        <v>486</v>
      </c>
      <c r="C5" t="n">
        <v>455648714.121854</v>
      </c>
      <c r="D5" t="n">
        <v>62593637.3389749</v>
      </c>
      <c r="E5" t="n">
        <v>103458230.441028</v>
      </c>
      <c r="F5" t="n">
        <v>23396738.7170615</v>
      </c>
      <c r="G5" t="n">
        <v>80061491.7239666</v>
      </c>
    </row>
    <row r="6">
      <c r="B6" t="s">
        <v>525</v>
      </c>
      <c r="C6" t="n">
        <v>246382978.142686</v>
      </c>
      <c r="D6" t="n">
        <v>94708623.0236394</v>
      </c>
      <c r="E6" t="n">
        <v>156345268.156002</v>
      </c>
      <c r="F6" t="n">
        <v>31802556.1497719</v>
      </c>
      <c r="G6" t="n">
        <v>124542712.00623</v>
      </c>
    </row>
    <row r="7">
      <c r="B7" t="s">
        <v>526</v>
      </c>
      <c r="C7" t="n">
        <v>258077420.321591</v>
      </c>
      <c r="D7" t="n">
        <v>127629237.547198</v>
      </c>
      <c r="E7" t="n">
        <v>210463146.968701</v>
      </c>
      <c r="F7" t="n">
        <v>40024001.0546273</v>
      </c>
      <c r="G7" t="n">
        <v>170439145.914074</v>
      </c>
    </row>
    <row r="8">
      <c r="B8" t="s">
        <v>527</v>
      </c>
      <c r="C8" t="n">
        <v>9970002333.74104</v>
      </c>
      <c r="D8" t="n">
        <v>1124588831.08728</v>
      </c>
      <c r="E8" t="n">
        <v>2158645626.97615</v>
      </c>
      <c r="F8" t="n">
        <v>450537013.999885</v>
      </c>
      <c r="G8" t="n">
        <v>1708108612.97627</v>
      </c>
    </row>
    <row r="9">
      <c r="B9" t="s">
        <v>528</v>
      </c>
      <c r="C9" t="n">
        <v>256344313.642696</v>
      </c>
      <c r="D9" t="n">
        <v>1094689278.68412</v>
      </c>
      <c r="E9" t="n">
        <v>2084860186.48612</v>
      </c>
      <c r="F9" t="n">
        <v>452041623.741058</v>
      </c>
      <c r="G9" t="n">
        <v>1632818562.74507</v>
      </c>
    </row>
    <row r="10">
      <c r="B10" t="s">
        <v>529</v>
      </c>
      <c r="C10" t="n">
        <v>247669052.794879</v>
      </c>
      <c r="D10" t="n">
        <v>1066669948.1204</v>
      </c>
      <c r="E10" t="n">
        <v>2020553215.94945</v>
      </c>
      <c r="F10" t="n">
        <v>464043250.618112</v>
      </c>
      <c r="G10" t="n">
        <v>1556509965.33134</v>
      </c>
    </row>
    <row r="11">
      <c r="B11" t="s">
        <v>530</v>
      </c>
      <c r="C11" t="n">
        <v>252980177.611986</v>
      </c>
      <c r="D11" t="n">
        <v>1039889981.99993</v>
      </c>
      <c r="E11" t="n">
        <v>1958904258.84435</v>
      </c>
      <c r="F11" t="n">
        <v>467583532.74723</v>
      </c>
      <c r="G11" t="n">
        <v>1491320726.09712</v>
      </c>
    </row>
    <row r="12">
      <c r="B12" t="s">
        <v>531</v>
      </c>
      <c r="C12" t="n">
        <v>509136319.643089</v>
      </c>
      <c r="D12" t="n">
        <v>1013978035.5506</v>
      </c>
      <c r="E12" t="n">
        <v>1845405658.39093</v>
      </c>
      <c r="F12" t="n">
        <v>467427607.750036</v>
      </c>
      <c r="G12" t="n">
        <v>1377978050.6409</v>
      </c>
    </row>
    <row r="13">
      <c r="B13" t="s">
        <v>532</v>
      </c>
      <c r="C13" t="n">
        <v>230276452.753401</v>
      </c>
      <c r="D13" t="n">
        <v>989549952.762273</v>
      </c>
      <c r="E13" t="n">
        <v>1792470300.86708</v>
      </c>
      <c r="F13" t="n">
        <v>465462220.469797</v>
      </c>
      <c r="G13" t="n">
        <v>1327008080.39728</v>
      </c>
    </row>
    <row r="14">
      <c r="B14" t="s">
        <v>533</v>
      </c>
      <c r="C14" t="n">
        <v>239626854.794801</v>
      </c>
      <c r="D14" t="n">
        <v>965566315.01338</v>
      </c>
      <c r="E14" t="n">
        <v>1739185588.89855</v>
      </c>
      <c r="F14" t="n">
        <v>456854850.905793</v>
      </c>
      <c r="G14" t="n">
        <v>1282330737.99276</v>
      </c>
    </row>
    <row r="15">
      <c r="B15" t="s">
        <v>534</v>
      </c>
      <c r="C15" t="n">
        <v>227789015.269421</v>
      </c>
      <c r="D15" t="n">
        <v>943774245.656478</v>
      </c>
      <c r="E15" t="n">
        <v>1691455001.90246</v>
      </c>
      <c r="F15" t="n">
        <v>452856008.177802</v>
      </c>
      <c r="G15" t="n">
        <v>1238598993.72466</v>
      </c>
    </row>
    <row r="16">
      <c r="B16" t="s">
        <v>535</v>
      </c>
      <c r="C16" t="n">
        <v>586130499.985953</v>
      </c>
      <c r="D16" t="n">
        <v>922601920.618609</v>
      </c>
      <c r="E16" t="n">
        <v>1645593125.03436</v>
      </c>
      <c r="F16" t="n">
        <v>439799450.167326</v>
      </c>
      <c r="G16" t="n">
        <v>1205793674.86703</v>
      </c>
    </row>
    <row r="17">
      <c r="B17" t="s">
        <v>536</v>
      </c>
      <c r="C17" t="n">
        <v>227844722.452731</v>
      </c>
      <c r="D17" t="n">
        <v>902166044.704954</v>
      </c>
      <c r="E17" t="n">
        <v>1601660948.71585</v>
      </c>
      <c r="F17" t="n">
        <v>427611962.909231</v>
      </c>
      <c r="G17" t="n">
        <v>1174048985.80662</v>
      </c>
    </row>
    <row r="18">
      <c r="B18" t="s">
        <v>550</v>
      </c>
      <c r="C18" t="n">
        <v>13707908855.2761</v>
      </c>
      <c r="D18" t="n">
        <v>10348406052.1078</v>
      </c>
      <c r="E18" t="n">
        <v>19009000557.631</v>
      </c>
      <c r="F18" t="n">
        <v>4639440817.40773</v>
      </c>
      <c r="G18" t="n">
        <v>14369559740.2233</v>
      </c>
    </row>
    <row r="19">
      <c r="B19" t="s">
        <v>551</v>
      </c>
      <c r="C19" t="n">
        <v>1288948418.24282</v>
      </c>
      <c r="D19" t="n">
        <v>973055901.744255</v>
      </c>
      <c r="E19" t="n">
        <v>1787407653.48062</v>
      </c>
      <c r="F19" t="n">
        <v>436244504.268583</v>
      </c>
      <c r="G19" t="n">
        <v>1351163149.21204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5" max="5" width="11.5703125" hidden="0" customWidth="1"/>
    <col min="9" max="9" width="12.28515625" hidden="0" customWidth="1"/>
  </cols>
  <sheetData>
    <row r="2">
      <c r="B2" t="s">
        <v>481</v>
      </c>
      <c r="C2" t="s">
        <v>546</v>
      </c>
      <c r="D2" t="s">
        <v>547</v>
      </c>
      <c r="E2" t="s">
        <v>552</v>
      </c>
      <c r="F2" t="s">
        <v>545</v>
      </c>
      <c r="G2" t="s">
        <v>553</v>
      </c>
      <c r="I2" s="67"/>
    </row>
    <row r="3">
      <c r="B3" t="s">
        <v>543</v>
      </c>
      <c r="C3" s="67" t="n">
        <v>0</v>
      </c>
      <c r="D3" s="67" t="n">
        <v>0</v>
      </c>
      <c r="E3" s="67" t="n">
        <v>0</v>
      </c>
      <c r="F3" s="67" t="n">
        <v>0</v>
      </c>
      <c r="G3" s="67" t="n">
        <v>0</v>
      </c>
    </row>
    <row r="4">
      <c r="B4" t="s">
        <v>486</v>
      </c>
      <c r="C4" s="67" t="n">
        <v>455648714.121854</v>
      </c>
      <c r="D4" s="67" t="n">
        <v>62593637.3389749</v>
      </c>
      <c r="E4" s="67" t="n">
        <v>103458230.441028</v>
      </c>
      <c r="F4" s="67" t="n">
        <v>23396738.7170615</v>
      </c>
      <c r="G4" s="67" t="n">
        <v>80061491.7239666</v>
      </c>
    </row>
    <row r="5">
      <c r="B5" t="s">
        <v>525</v>
      </c>
      <c r="C5" s="67" t="n">
        <v>246382978.142686</v>
      </c>
      <c r="D5" s="67" t="n">
        <v>94708623.0236394</v>
      </c>
      <c r="E5" s="67" t="n">
        <v>156345268.156002</v>
      </c>
      <c r="F5" s="67" t="n">
        <v>31802556.1497719</v>
      </c>
      <c r="G5" s="67" t="n">
        <v>124542712.00623</v>
      </c>
    </row>
    <row r="6">
      <c r="B6" t="s">
        <v>526</v>
      </c>
      <c r="C6" s="67" t="n">
        <v>258077420.321591</v>
      </c>
      <c r="D6" s="67" t="n">
        <v>127629237.547198</v>
      </c>
      <c r="E6" s="67" t="n">
        <v>210463146.968701</v>
      </c>
      <c r="F6" s="67" t="n">
        <v>40024001.0546273</v>
      </c>
      <c r="G6" s="67" t="n">
        <v>170439145.914074</v>
      </c>
    </row>
    <row r="7">
      <c r="B7" t="s">
        <v>527</v>
      </c>
      <c r="C7" s="67" t="n">
        <v>253008840.577685</v>
      </c>
      <c r="D7" s="67" t="n">
        <v>158821232.328707</v>
      </c>
      <c r="E7" s="67" t="n">
        <v>261730779.664519</v>
      </c>
      <c r="F7" s="67" t="n">
        <v>49064120.8725575</v>
      </c>
      <c r="G7" s="67" t="n">
        <v>212666658.791962</v>
      </c>
    </row>
    <row r="8">
      <c r="B8" t="s">
        <v>528</v>
      </c>
      <c r="C8" s="67" t="n">
        <v>256344313.642696</v>
      </c>
      <c r="D8" s="67" t="n">
        <v>187809449.324364</v>
      </c>
      <c r="E8" s="67" t="n">
        <v>307945872.622132</v>
      </c>
      <c r="F8" s="67" t="n">
        <v>59673402.9534966</v>
      </c>
      <c r="G8" s="67" t="n">
        <v>248272469.668636</v>
      </c>
    </row>
    <row r="9">
      <c r="B9" t="s">
        <v>529</v>
      </c>
      <c r="C9" s="67" t="n">
        <v>247669052.794879</v>
      </c>
      <c r="D9" s="67" t="n">
        <v>215368009.443189</v>
      </c>
      <c r="E9" s="67" t="n">
        <v>352489080.120114</v>
      </c>
      <c r="F9" s="67" t="n">
        <v>71993097.4906684</v>
      </c>
      <c r="G9" s="67" t="n">
        <v>280495982.629446</v>
      </c>
    </row>
    <row r="10">
      <c r="B10" t="s">
        <v>530</v>
      </c>
      <c r="C10" s="67" t="n">
        <v>241765130.698652</v>
      </c>
      <c r="D10" s="67" t="n">
        <v>240933796.201224</v>
      </c>
      <c r="E10" s="67" t="n">
        <v>393754646.345765</v>
      </c>
      <c r="F10" s="67" t="n">
        <v>83294743.3178808</v>
      </c>
      <c r="G10" s="67" t="n">
        <v>310459903.027884</v>
      </c>
    </row>
    <row r="11">
      <c r="B11" t="s">
        <v>531</v>
      </c>
      <c r="C11" s="67" t="n">
        <v>234059037.31608</v>
      </c>
      <c r="D11" s="67" t="n">
        <v>264285833.189751</v>
      </c>
      <c r="E11" s="67" t="n">
        <v>431507575.967296</v>
      </c>
      <c r="F11" s="67" t="n">
        <v>93907952.6670074</v>
      </c>
      <c r="G11" s="67" t="n">
        <v>337599623.300289</v>
      </c>
    </row>
    <row r="12">
      <c r="B12" t="s">
        <v>532</v>
      </c>
      <c r="C12" s="67" t="n">
        <v>236376378.223484</v>
      </c>
      <c r="D12" s="67" t="n">
        <v>286202731.756862</v>
      </c>
      <c r="E12" s="67" t="n">
        <v>466757439.910218</v>
      </c>
      <c r="F12" s="67" t="n">
        <v>103982598.772545</v>
      </c>
      <c r="G12" s="67" t="n">
        <v>362774841.137673</v>
      </c>
    </row>
    <row r="13">
      <c r="B13" t="s">
        <v>533</v>
      </c>
      <c r="C13" s="67" t="n">
        <v>227736863.007784</v>
      </c>
      <c r="D13" s="67" t="n">
        <v>305815683.590893</v>
      </c>
      <c r="E13" s="67" t="n">
        <v>498534618.715328</v>
      </c>
      <c r="F13" s="67" t="n">
        <v>112272574.600713</v>
      </c>
      <c r="G13" s="67" t="n">
        <v>386262044.114616</v>
      </c>
    </row>
    <row r="14">
      <c r="B14" t="s">
        <v>534</v>
      </c>
      <c r="C14" s="67" t="n">
        <v>227789015.269421</v>
      </c>
      <c r="D14" s="67" t="n">
        <v>325043418.029863</v>
      </c>
      <c r="E14" s="67" t="n">
        <v>528911764.114702</v>
      </c>
      <c r="F14" s="67" t="n">
        <v>121226479.286058</v>
      </c>
      <c r="G14" s="67" t="n">
        <v>407685284.828643</v>
      </c>
    </row>
    <row r="15">
      <c r="B15" t="s">
        <v>535</v>
      </c>
      <c r="C15" s="67" t="n">
        <v>217315505.593263</v>
      </c>
      <c r="D15" s="67" t="n">
        <v>342494955.493743</v>
      </c>
      <c r="E15" s="67" t="n">
        <v>556419398.230936</v>
      </c>
      <c r="F15" s="67" t="n">
        <v>127052935.862901</v>
      </c>
      <c r="G15" s="67" t="n">
        <v>429366462.368035</v>
      </c>
    </row>
    <row r="16">
      <c r="B16" t="s">
        <v>536</v>
      </c>
      <c r="C16" s="67" t="n">
        <v>219001940.545943</v>
      </c>
      <c r="D16" s="67" t="n">
        <v>358553853.158225</v>
      </c>
      <c r="E16" s="67" t="n">
        <v>581453501.795648</v>
      </c>
      <c r="F16" s="67" t="n">
        <v>132253313.6757</v>
      </c>
      <c r="G16" s="67" t="n">
        <v>449200188.119948</v>
      </c>
    </row>
    <row r="17">
      <c r="B17" t="s">
        <v>550</v>
      </c>
      <c r="C17" s="67" t="n">
        <v>3321175190.25602</v>
      </c>
      <c r="D17" s="67" t="n">
        <v>2970260460.42663</v>
      </c>
      <c r="E17" s="67" t="n">
        <v>4849771323.05239</v>
      </c>
      <c r="F17" s="67" t="n">
        <v>1049944515.42099</v>
      </c>
      <c r="G17" s="67" t="n">
        <v>3799826807.6314</v>
      </c>
    </row>
    <row r="18">
      <c r="B18" t="s">
        <v>551</v>
      </c>
      <c r="C18" s="67" t="n">
        <v>312288588.535523</v>
      </c>
      <c r="D18" s="67" t="n">
        <v>279292236.522459</v>
      </c>
      <c r="E18" s="67" t="n">
        <v>456021785.794244</v>
      </c>
      <c r="F18" s="67" t="n">
        <v>98725803.9634334</v>
      </c>
      <c r="G18" s="67" t="n">
        <v>357295981.83081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552</v>
      </c>
      <c r="F2" t="s">
        <v>545</v>
      </c>
      <c r="G2" t="s">
        <v>553</v>
      </c>
    </row>
    <row r="3">
      <c r="B3" t="s">
        <v>542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543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B5" t="s">
        <v>486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B6" t="s">
        <v>525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B7" t="s">
        <v>526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B8" t="s">
        <v>527</v>
      </c>
      <c r="C8" t="n">
        <v>9716993493.16336</v>
      </c>
      <c r="D8" t="n">
        <v>965767598.758569</v>
      </c>
      <c r="E8" t="n">
        <v>1896914847.31164</v>
      </c>
      <c r="F8" t="n">
        <v>401472893.127328</v>
      </c>
      <c r="G8" t="n">
        <v>1495441954.18431</v>
      </c>
    </row>
    <row r="9">
      <c r="B9" t="s">
        <v>528</v>
      </c>
      <c r="C9" t="n">
        <v>0</v>
      </c>
      <c r="D9" t="n">
        <v>906879829.359751</v>
      </c>
      <c r="E9" t="n">
        <v>1776914313.86399</v>
      </c>
      <c r="F9" t="n">
        <v>392368220.787562</v>
      </c>
      <c r="G9" t="n">
        <v>1384546093.07643</v>
      </c>
    </row>
    <row r="10">
      <c r="B10" t="s">
        <v>529</v>
      </c>
      <c r="C10" t="n">
        <v>0</v>
      </c>
      <c r="D10" t="n">
        <v>851301938.677208</v>
      </c>
      <c r="E10" t="n">
        <v>1668064135.82933</v>
      </c>
      <c r="F10" t="n">
        <v>392050153.127444</v>
      </c>
      <c r="G10" t="n">
        <v>1276013982.70189</v>
      </c>
    </row>
    <row r="11">
      <c r="B11" t="s">
        <v>530</v>
      </c>
      <c r="C11" t="n">
        <v>11215046.9133342</v>
      </c>
      <c r="D11" t="n">
        <v>798956185.798711</v>
      </c>
      <c r="E11" t="n">
        <v>1565149612.49858</v>
      </c>
      <c r="F11" t="n">
        <v>384288789.429349</v>
      </c>
      <c r="G11" t="n">
        <v>1180860823.06923</v>
      </c>
    </row>
    <row r="12">
      <c r="B12" t="s">
        <v>531</v>
      </c>
      <c r="C12" t="n">
        <v>275077282.327009</v>
      </c>
      <c r="D12" t="n">
        <v>749692202.36085</v>
      </c>
      <c r="E12" t="n">
        <v>1413898082.42364</v>
      </c>
      <c r="F12" t="n">
        <v>373519655.083028</v>
      </c>
      <c r="G12" t="n">
        <v>1040378427.34061</v>
      </c>
    </row>
    <row r="13">
      <c r="B13" t="s">
        <v>532</v>
      </c>
      <c r="C13" t="n">
        <v>-6099925.47008253</v>
      </c>
      <c r="D13" t="n">
        <v>703347221.005411</v>
      </c>
      <c r="E13" t="n">
        <v>1325712860.95686</v>
      </c>
      <c r="F13" t="n">
        <v>361479621.697251</v>
      </c>
      <c r="G13" t="n">
        <v>964233239.259609</v>
      </c>
    </row>
    <row r="14">
      <c r="B14" t="s">
        <v>533</v>
      </c>
      <c r="C14" t="n">
        <v>11889991.7870175</v>
      </c>
      <c r="D14" t="n">
        <v>659750631.422487</v>
      </c>
      <c r="E14" t="n">
        <v>1240650970.18322</v>
      </c>
      <c r="F14" t="n">
        <v>344582276.30508</v>
      </c>
      <c r="G14" t="n">
        <v>896068693.87814</v>
      </c>
    </row>
    <row r="15">
      <c r="B15" t="s">
        <v>534</v>
      </c>
      <c r="C15" t="n">
        <v>0</v>
      </c>
      <c r="D15" t="n">
        <v>618730827.626615</v>
      </c>
      <c r="E15" t="n">
        <v>1162543237.78776</v>
      </c>
      <c r="F15" t="n">
        <v>331629528.891744</v>
      </c>
      <c r="G15" t="n">
        <v>830913708.896019</v>
      </c>
    </row>
    <row r="16">
      <c r="B16" t="s">
        <v>535</v>
      </c>
      <c r="C16" t="n">
        <v>368814994.39269</v>
      </c>
      <c r="D16" t="n">
        <v>580106965.124866</v>
      </c>
      <c r="E16" t="n">
        <v>1089173726.80342</v>
      </c>
      <c r="F16" t="n">
        <v>312746514.304425</v>
      </c>
      <c r="G16" t="n">
        <v>776427212.498995</v>
      </c>
    </row>
    <row r="17">
      <c r="B17" t="s">
        <v>536</v>
      </c>
      <c r="C17" t="n">
        <v>8842781.90678784</v>
      </c>
      <c r="D17" t="n">
        <v>543612191.546728</v>
      </c>
      <c r="E17" t="n">
        <v>1020207446.9202</v>
      </c>
      <c r="F17" t="n">
        <v>295358649.233531</v>
      </c>
      <c r="G17" t="n">
        <v>724848797.686673</v>
      </c>
    </row>
    <row r="18">
      <c r="B18" t="s">
        <v>550</v>
      </c>
      <c r="C18" t="n">
        <v>10386733665.0201</v>
      </c>
      <c r="D18" t="n">
        <v>7378145591.6812</v>
      </c>
      <c r="E18" t="n">
        <v>14159229234.5786</v>
      </c>
      <c r="F18" t="n">
        <v>3589496301.98674</v>
      </c>
      <c r="G18" t="n">
        <v>10569732932.5919</v>
      </c>
    </row>
    <row r="19">
      <c r="B19" t="s">
        <v>551</v>
      </c>
      <c r="C19" t="n">
        <v>976659829.707294</v>
      </c>
      <c r="D19" t="n">
        <v>693763665.221797</v>
      </c>
      <c r="E19" t="n">
        <v>1331385867.68638</v>
      </c>
      <c r="F19" t="n">
        <v>337518700.30515</v>
      </c>
      <c r="G19" t="n">
        <v>993867167.381229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548</v>
      </c>
      <c r="F2" t="s">
        <v>545</v>
      </c>
      <c r="G2" t="s">
        <v>549</v>
      </c>
    </row>
    <row r="3">
      <c r="B3" t="s">
        <v>542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543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B5" t="s">
        <v>486</v>
      </c>
      <c r="C5" t="n">
        <v>143541102.376347</v>
      </c>
      <c r="D5" t="n">
        <v>54674663.5204801</v>
      </c>
      <c r="E5" t="n">
        <v>69400774.3286645</v>
      </c>
      <c r="F5" t="n">
        <v>3796535.48237681</v>
      </c>
      <c r="G5" t="n">
        <v>65604238.8462877</v>
      </c>
    </row>
    <row r="6">
      <c r="B6" t="s">
        <v>525</v>
      </c>
      <c r="C6" t="n">
        <v>76031857.0542249</v>
      </c>
      <c r="D6" t="n">
        <v>79501243.0548003</v>
      </c>
      <c r="E6" t="n">
        <v>100996015.848851</v>
      </c>
      <c r="F6" t="n">
        <v>4858052.13693554</v>
      </c>
      <c r="G6" t="n">
        <v>96137963.7119153</v>
      </c>
    </row>
    <row r="7">
      <c r="B7" t="s">
        <v>526</v>
      </c>
      <c r="C7" t="n">
        <v>77452262.1572516</v>
      </c>
      <c r="D7" t="n">
        <v>102960288.694827</v>
      </c>
      <c r="E7" t="n">
        <v>130907271.342153</v>
      </c>
      <c r="F7" t="n">
        <v>5748700.01909257</v>
      </c>
      <c r="G7" t="n">
        <v>125158571.323061</v>
      </c>
    </row>
    <row r="8">
      <c r="B8" t="s">
        <v>527</v>
      </c>
      <c r="C8" t="n">
        <v>380561797.047368</v>
      </c>
      <c r="D8" t="n">
        <v>749540805.015881</v>
      </c>
      <c r="E8" t="n">
        <v>838426595.687627</v>
      </c>
      <c r="F8" t="n">
        <v>132125045.447761</v>
      </c>
      <c r="G8" t="n">
        <v>706301550.239866</v>
      </c>
    </row>
    <row r="9">
      <c r="B9" t="s">
        <v>528</v>
      </c>
      <c r="C9" t="n">
        <v>68280948.3194073</v>
      </c>
      <c r="D9" t="n">
        <v>708070300.703117</v>
      </c>
      <c r="E9" t="n">
        <v>796817654.771441</v>
      </c>
      <c r="F9" t="n">
        <v>126670181.182951</v>
      </c>
      <c r="G9" t="n">
        <v>670147473.588491</v>
      </c>
    </row>
    <row r="10">
      <c r="B10" t="s">
        <v>529</v>
      </c>
      <c r="C10" t="n">
        <v>64825036.1033683</v>
      </c>
      <c r="D10" t="n">
        <v>669478882.630895</v>
      </c>
      <c r="E10" t="n">
        <v>757838422.062153</v>
      </c>
      <c r="F10" t="n">
        <v>124175776.466791</v>
      </c>
      <c r="G10" t="n">
        <v>633662645.595362</v>
      </c>
    </row>
    <row r="11">
      <c r="B11" t="s">
        <v>530</v>
      </c>
      <c r="C11" t="n">
        <v>69127479.2663462</v>
      </c>
      <c r="D11" t="n">
        <v>633100984.814837</v>
      </c>
      <c r="E11" t="n">
        <v>720713820.340524</v>
      </c>
      <c r="F11" t="n">
        <v>119527564.415124</v>
      </c>
      <c r="G11" t="n">
        <v>601186255.9254</v>
      </c>
    </row>
    <row r="12">
      <c r="B12" t="s">
        <v>531</v>
      </c>
      <c r="C12" t="n">
        <v>104984297.466164</v>
      </c>
      <c r="D12" t="n">
        <v>598605198.240072</v>
      </c>
      <c r="E12" t="n">
        <v>685097425.064427</v>
      </c>
      <c r="F12" t="n">
        <v>114183327.209154</v>
      </c>
      <c r="G12" t="n">
        <v>570914097.855274</v>
      </c>
    </row>
    <row r="13">
      <c r="B13" t="s">
        <v>532</v>
      </c>
      <c r="C13" t="n">
        <v>48713964.6208129</v>
      </c>
      <c r="D13" t="n">
        <v>566351878.578837</v>
      </c>
      <c r="E13" t="n">
        <v>651569940.4685</v>
      </c>
      <c r="F13" t="n">
        <v>108695947.394863</v>
      </c>
      <c r="G13" t="n">
        <v>542873993.073637</v>
      </c>
    </row>
    <row r="14">
      <c r="B14" t="s">
        <v>533</v>
      </c>
      <c r="C14" t="n">
        <v>56552497.5256522</v>
      </c>
      <c r="D14" t="n">
        <v>535512931.164733</v>
      </c>
      <c r="E14" t="n">
        <v>619073708.659808</v>
      </c>
      <c r="F14" t="n">
        <v>101998793.760687</v>
      </c>
      <c r="G14" t="n">
        <v>517074914.899121</v>
      </c>
    </row>
    <row r="15">
      <c r="B15" t="s">
        <v>534</v>
      </c>
      <c r="C15" t="n">
        <v>46886755.9393143</v>
      </c>
      <c r="D15" t="n">
        <v>507198922.914824</v>
      </c>
      <c r="E15" t="n">
        <v>589200677.66864</v>
      </c>
      <c r="F15" t="n">
        <v>96664255.7213382</v>
      </c>
      <c r="G15" t="n">
        <v>492536421.947302</v>
      </c>
    </row>
    <row r="16">
      <c r="B16" t="s">
        <v>535</v>
      </c>
      <c r="C16" t="n">
        <v>164846379.716167</v>
      </c>
      <c r="D16" t="n">
        <v>480313598.369871</v>
      </c>
      <c r="E16" t="n">
        <v>560548777.562774</v>
      </c>
      <c r="F16" t="n">
        <v>89775219.5948488</v>
      </c>
      <c r="G16" t="n">
        <v>470773557.967925</v>
      </c>
    </row>
    <row r="17">
      <c r="B17" t="s">
        <v>536</v>
      </c>
      <c r="C17" t="n">
        <v>45805088.1627745</v>
      </c>
      <c r="D17" t="n">
        <v>454881356.424948</v>
      </c>
      <c r="E17" t="n">
        <v>533223895.601103</v>
      </c>
      <c r="F17" t="n">
        <v>83480416.1125236</v>
      </c>
      <c r="G17" t="n">
        <v>449743479.488579</v>
      </c>
    </row>
    <row r="18">
      <c r="B18" t="s">
        <v>550</v>
      </c>
      <c r="C18" t="n">
        <v>1347609465.7552</v>
      </c>
      <c r="D18" t="n">
        <v>6140191054.12812</v>
      </c>
      <c r="E18" t="n">
        <v>7053814979.40667</v>
      </c>
      <c r="F18" t="n">
        <v>1111699814.94445</v>
      </c>
      <c r="G18" t="n">
        <v>5942115164.46222</v>
      </c>
    </row>
    <row r="19">
      <c r="B19" t="s">
        <v>551</v>
      </c>
      <c r="C19" t="n">
        <v>161242615.534058</v>
      </c>
      <c r="D19" t="n">
        <v>734679067.345089</v>
      </c>
      <c r="E19" t="n">
        <v>843994944.882244</v>
      </c>
      <c r="F19" t="n">
        <v>133015825.731023</v>
      </c>
      <c r="G19" t="n">
        <v>710979119.151221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548</v>
      </c>
      <c r="F2" t="s">
        <v>545</v>
      </c>
      <c r="G2" t="s">
        <v>549</v>
      </c>
    </row>
    <row r="3">
      <c r="B3" t="s">
        <v>543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486</v>
      </c>
      <c r="C4" t="n">
        <v>143541102.376347</v>
      </c>
      <c r="D4" t="n">
        <v>54674663.5204801</v>
      </c>
      <c r="E4" t="n">
        <v>69400774.3286645</v>
      </c>
      <c r="F4" t="n">
        <v>3796535.48237681</v>
      </c>
      <c r="G4" t="n">
        <v>65604238.8462877</v>
      </c>
    </row>
    <row r="5">
      <c r="B5" t="s">
        <v>525</v>
      </c>
      <c r="C5" t="n">
        <v>76031857.0542249</v>
      </c>
      <c r="D5" t="n">
        <v>79501243.0548003</v>
      </c>
      <c r="E5" t="n">
        <v>100996015.848851</v>
      </c>
      <c r="F5" t="n">
        <v>4858052.13693554</v>
      </c>
      <c r="G5" t="n">
        <v>96137963.7119153</v>
      </c>
    </row>
    <row r="6">
      <c r="B6" t="s">
        <v>526</v>
      </c>
      <c r="C6" t="n">
        <v>77452262.1572516</v>
      </c>
      <c r="D6" t="n">
        <v>102960288.694827</v>
      </c>
      <c r="E6" t="n">
        <v>130907271.342153</v>
      </c>
      <c r="F6" t="n">
        <v>5748700.01909257</v>
      </c>
      <c r="G6" t="n">
        <v>125158571.323061</v>
      </c>
    </row>
    <row r="7">
      <c r="B7" t="s">
        <v>527</v>
      </c>
      <c r="C7" t="n">
        <v>73183881.435571</v>
      </c>
      <c r="D7" t="n">
        <v>123198114.116528</v>
      </c>
      <c r="E7" t="n">
        <v>156713073.920489</v>
      </c>
      <c r="F7" t="n">
        <v>6685381.74308968</v>
      </c>
      <c r="G7" t="n">
        <v>150027692.1774</v>
      </c>
    </row>
    <row r="8">
      <c r="B8" t="s">
        <v>528</v>
      </c>
      <c r="C8" t="n">
        <v>68280948.3194073</v>
      </c>
      <c r="D8" t="n">
        <v>140157068.002641</v>
      </c>
      <c r="E8" t="n">
        <v>178332791.167052</v>
      </c>
      <c r="F8" t="n">
        <v>7757735.76794459</v>
      </c>
      <c r="G8" t="n">
        <v>170575055.399107</v>
      </c>
    </row>
    <row r="9">
      <c r="B9" t="s">
        <v>529</v>
      </c>
      <c r="C9" t="n">
        <v>64825036.1033683</v>
      </c>
      <c r="D9" t="n">
        <v>154659821.844838</v>
      </c>
      <c r="E9" t="n">
        <v>196831927.769004</v>
      </c>
      <c r="F9" t="n">
        <v>8943900.08124762</v>
      </c>
      <c r="G9" t="n">
        <v>187888027.687756</v>
      </c>
    </row>
    <row r="10">
      <c r="B10" t="s">
        <v>530</v>
      </c>
      <c r="C10" t="n">
        <v>60858942.3301685</v>
      </c>
      <c r="D10" t="n">
        <v>166512402.724004</v>
      </c>
      <c r="E10" t="n">
        <v>211942657.162068</v>
      </c>
      <c r="F10" t="n">
        <v>9911575.59404975</v>
      </c>
      <c r="G10" t="n">
        <v>202031081.568018</v>
      </c>
    </row>
    <row r="11">
      <c r="B11" t="s">
        <v>531</v>
      </c>
      <c r="C11" t="n">
        <v>56679070.3574074</v>
      </c>
      <c r="D11" t="n">
        <v>175800913.329787</v>
      </c>
      <c r="E11" t="n">
        <v>223768040.329342</v>
      </c>
      <c r="F11" t="n">
        <v>10723898.3881128</v>
      </c>
      <c r="G11" t="n">
        <v>213044141.94123</v>
      </c>
    </row>
    <row r="12">
      <c r="B12" t="s">
        <v>532</v>
      </c>
      <c r="C12" t="n">
        <v>52881305.2383227</v>
      </c>
      <c r="D12" t="n">
        <v>183281657.92505</v>
      </c>
      <c r="E12" t="n">
        <v>233313712.980193</v>
      </c>
      <c r="F12" t="n">
        <v>11413029.055304</v>
      </c>
      <c r="G12" t="n">
        <v>221900683.924889</v>
      </c>
    </row>
    <row r="13">
      <c r="B13" t="s">
        <v>533</v>
      </c>
      <c r="C13" t="n">
        <v>50003377.926882</v>
      </c>
      <c r="D13" t="n">
        <v>188493291.275591</v>
      </c>
      <c r="E13" t="n">
        <v>239916973.609733</v>
      </c>
      <c r="F13" t="n">
        <v>11850439.7704108</v>
      </c>
      <c r="G13" t="n">
        <v>228066533.839322</v>
      </c>
    </row>
    <row r="14">
      <c r="B14" t="s">
        <v>534</v>
      </c>
      <c r="C14" t="n">
        <v>46886755.9393143</v>
      </c>
      <c r="D14" t="n">
        <v>192870616.436916</v>
      </c>
      <c r="E14" t="n">
        <v>245517026.325199</v>
      </c>
      <c r="F14" t="n">
        <v>12318580.6830461</v>
      </c>
      <c r="G14" t="n">
        <v>233198445.642152</v>
      </c>
    </row>
    <row r="15">
      <c r="B15" t="s">
        <v>535</v>
      </c>
      <c r="C15" t="n">
        <v>43476652.8693398</v>
      </c>
      <c r="D15" t="n">
        <v>195634469.595956</v>
      </c>
      <c r="E15" t="n">
        <v>249053732.974017</v>
      </c>
      <c r="F15" t="n">
        <v>12455774.9661067</v>
      </c>
      <c r="G15" t="n">
        <v>236597958.00791</v>
      </c>
    </row>
    <row r="16">
      <c r="B16" t="s">
        <v>536</v>
      </c>
      <c r="C16" t="n">
        <v>40617838.2478187</v>
      </c>
      <c r="D16" t="n">
        <v>197139922.900803</v>
      </c>
      <c r="E16" t="n">
        <v>250987275.743784</v>
      </c>
      <c r="F16" t="n">
        <v>12530960.1826899</v>
      </c>
      <c r="G16" t="n">
        <v>238456315.561094</v>
      </c>
    </row>
    <row r="17">
      <c r="B17" t="s">
        <v>550</v>
      </c>
      <c r="C17" t="n">
        <v>854719030.355423</v>
      </c>
      <c r="D17" t="n">
        <v>1954884473.42222</v>
      </c>
      <c r="E17" t="n">
        <v>2487681273.50055</v>
      </c>
      <c r="F17" t="n">
        <v>118994563.870407</v>
      </c>
      <c r="G17" t="n">
        <v>2368686709.63014</v>
      </c>
    </row>
    <row r="18">
      <c r="B18" t="s">
        <v>551</v>
      </c>
      <c r="C18" t="n">
        <v>102267856.900226</v>
      </c>
      <c r="D18" t="n">
        <v>233903585.253369</v>
      </c>
      <c r="E18" t="n">
        <v>297653174.267025</v>
      </c>
      <c r="F18" t="n">
        <v>14237800.4906982</v>
      </c>
      <c r="G18" t="n">
        <v>283415373.776327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548</v>
      </c>
      <c r="F2" t="s">
        <v>545</v>
      </c>
      <c r="G2" t="s">
        <v>549</v>
      </c>
    </row>
    <row r="3">
      <c r="B3" t="s">
        <v>542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543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B5" t="s">
        <v>486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B6" t="s">
        <v>525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B7" t="s">
        <v>526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B8" t="s">
        <v>527</v>
      </c>
      <c r="C8" t="n">
        <v>307377915.611797</v>
      </c>
      <c r="D8" t="n">
        <v>626342690.899354</v>
      </c>
      <c r="E8" t="n">
        <v>681713521.767137</v>
      </c>
      <c r="F8" t="n">
        <v>125439663.704671</v>
      </c>
      <c r="G8" t="n">
        <v>556273858.062467</v>
      </c>
    </row>
    <row r="9">
      <c r="B9" t="s">
        <v>528</v>
      </c>
      <c r="C9" t="n">
        <v>0</v>
      </c>
      <c r="D9" t="n">
        <v>567913232.700475</v>
      </c>
      <c r="E9" t="n">
        <v>618484863.604389</v>
      </c>
      <c r="F9" t="n">
        <v>118912445.415006</v>
      </c>
      <c r="G9" t="n">
        <v>499572418.189383</v>
      </c>
    </row>
    <row r="10">
      <c r="B10" t="s">
        <v>529</v>
      </c>
      <c r="C10" t="n">
        <v>0</v>
      </c>
      <c r="D10" t="n">
        <v>514819060.786057</v>
      </c>
      <c r="E10" t="n">
        <v>561006494.293149</v>
      </c>
      <c r="F10" t="n">
        <v>115231876.385544</v>
      </c>
      <c r="G10" t="n">
        <v>445774617.907606</v>
      </c>
    </row>
    <row r="11">
      <c r="B11" t="s">
        <v>530</v>
      </c>
      <c r="C11" t="n">
        <v>8268536.9361777</v>
      </c>
      <c r="D11" t="n">
        <v>466588582.090833</v>
      </c>
      <c r="E11" t="n">
        <v>508771163.178456</v>
      </c>
      <c r="F11" t="n">
        <v>109615988.821074</v>
      </c>
      <c r="G11" t="n">
        <v>399155174.357382</v>
      </c>
    </row>
    <row r="12">
      <c r="B12" t="s">
        <v>531</v>
      </c>
      <c r="C12" t="n">
        <v>48305227.1087565</v>
      </c>
      <c r="D12" t="n">
        <v>422804284.910285</v>
      </c>
      <c r="E12" t="n">
        <v>461329384.735085</v>
      </c>
      <c r="F12" t="n">
        <v>103459428.821041</v>
      </c>
      <c r="G12" t="n">
        <v>357869955.914044</v>
      </c>
    </row>
    <row r="13">
      <c r="B13" t="s">
        <v>532</v>
      </c>
      <c r="C13" t="n">
        <v>-4167340.61750978</v>
      </c>
      <c r="D13" t="n">
        <v>383070220.653787</v>
      </c>
      <c r="E13" t="n">
        <v>418256227.488307</v>
      </c>
      <c r="F13" t="n">
        <v>97282918.3395589</v>
      </c>
      <c r="G13" t="n">
        <v>320973309.148748</v>
      </c>
    </row>
    <row r="14">
      <c r="B14" t="s">
        <v>533</v>
      </c>
      <c r="C14" t="n">
        <v>6549119.59877024</v>
      </c>
      <c r="D14" t="n">
        <v>347019639.889143</v>
      </c>
      <c r="E14" t="n">
        <v>379156735.050075</v>
      </c>
      <c r="F14" t="n">
        <v>90148353.9902767</v>
      </c>
      <c r="G14" t="n">
        <v>289008381.059798</v>
      </c>
    </row>
    <row r="15">
      <c r="B15" t="s">
        <v>534</v>
      </c>
      <c r="C15" t="n">
        <v>0</v>
      </c>
      <c r="D15" t="n">
        <v>314328306.477908</v>
      </c>
      <c r="E15" t="n">
        <v>343683651.343441</v>
      </c>
      <c r="F15" t="n">
        <v>84345675.0382921</v>
      </c>
      <c r="G15" t="n">
        <v>259337976.305149</v>
      </c>
    </row>
    <row r="16">
      <c r="B16" t="s">
        <v>535</v>
      </c>
      <c r="C16" t="n">
        <v>121369726.846827</v>
      </c>
      <c r="D16" t="n">
        <v>284679128.773915</v>
      </c>
      <c r="E16" t="n">
        <v>311495044.588757</v>
      </c>
      <c r="F16" t="n">
        <v>77319444.6287421</v>
      </c>
      <c r="G16" t="n">
        <v>234175599.960015</v>
      </c>
    </row>
    <row r="17">
      <c r="B17" t="s">
        <v>536</v>
      </c>
      <c r="C17" t="n">
        <v>5187249.91495577</v>
      </c>
      <c r="D17" t="n">
        <v>257741433.524145</v>
      </c>
      <c r="E17" t="n">
        <v>282236619.857319</v>
      </c>
      <c r="F17" t="n">
        <v>70949455.9298337</v>
      </c>
      <c r="G17" t="n">
        <v>211287163.927485</v>
      </c>
    </row>
    <row r="18">
      <c r="B18" t="s">
        <v>550</v>
      </c>
      <c r="C18" t="n">
        <v>492890435.399775</v>
      </c>
      <c r="D18" t="n">
        <v>4185306580.7059</v>
      </c>
      <c r="E18" t="n">
        <v>4566133705.90612</v>
      </c>
      <c r="F18" t="n">
        <v>992705251.074039</v>
      </c>
      <c r="G18" t="n">
        <v>3573428454.83208</v>
      </c>
    </row>
    <row r="19">
      <c r="B19" t="s">
        <v>551</v>
      </c>
      <c r="C19" t="n">
        <v>58974758.6338322</v>
      </c>
      <c r="D19" t="n">
        <v>500775482.09172</v>
      </c>
      <c r="E19" t="n">
        <v>546341770.615218</v>
      </c>
      <c r="F19" t="n">
        <v>118778025.240325</v>
      </c>
      <c r="G19" t="n">
        <v>427563745.374893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552</v>
      </c>
      <c r="F2" t="s">
        <v>545</v>
      </c>
      <c r="G2" t="s">
        <v>553</v>
      </c>
    </row>
    <row r="3">
      <c r="B3" t="s">
        <v>542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543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B5" t="s">
        <v>486</v>
      </c>
      <c r="C5" t="n">
        <v>154906407.871316</v>
      </c>
      <c r="D5" t="n">
        <v>59003697.1105643</v>
      </c>
      <c r="E5" t="n">
        <v>71598722.6004331</v>
      </c>
      <c r="F5" t="n">
        <v>4097137.78280065</v>
      </c>
      <c r="G5" t="n">
        <v>67501584.8176324</v>
      </c>
    </row>
    <row r="6">
      <c r="B6" t="s">
        <v>525</v>
      </c>
      <c r="C6" t="n">
        <v>85238393.726227</v>
      </c>
      <c r="D6" t="n">
        <v>89127880.3356939</v>
      </c>
      <c r="E6" t="n">
        <v>108226310.531164</v>
      </c>
      <c r="F6" t="n">
        <v>5446303.38958214</v>
      </c>
      <c r="G6" t="n">
        <v>102780007.141582</v>
      </c>
    </row>
    <row r="7">
      <c r="B7" t="s">
        <v>526</v>
      </c>
      <c r="C7" t="n">
        <v>90202862.295853</v>
      </c>
      <c r="D7" t="n">
        <v>119910154.77669</v>
      </c>
      <c r="E7" t="n">
        <v>145706225.604233</v>
      </c>
      <c r="F7" t="n">
        <v>6695081.35410639</v>
      </c>
      <c r="G7" t="n">
        <v>139011144.250126</v>
      </c>
    </row>
    <row r="8">
      <c r="B8" t="s">
        <v>527</v>
      </c>
      <c r="C8" t="n">
        <v>460424000.605194</v>
      </c>
      <c r="D8" t="n">
        <v>906834523.958521</v>
      </c>
      <c r="E8" t="n">
        <v>999354345.989429</v>
      </c>
      <c r="F8" t="n">
        <v>159851941.201626</v>
      </c>
      <c r="G8" t="n">
        <v>839502404.787803</v>
      </c>
    </row>
    <row r="9">
      <c r="B9" t="s">
        <v>528</v>
      </c>
      <c r="C9" t="n">
        <v>85818093.4736629</v>
      </c>
      <c r="D9" t="n">
        <v>889929691.184349</v>
      </c>
      <c r="E9" t="n">
        <v>985272729.377622</v>
      </c>
      <c r="F9" t="n">
        <v>159203902.649878</v>
      </c>
      <c r="G9" t="n">
        <v>826068826.727745</v>
      </c>
    </row>
    <row r="10">
      <c r="B10" t="s">
        <v>529</v>
      </c>
      <c r="C10" t="n">
        <v>84638632.556741</v>
      </c>
      <c r="D10" t="n">
        <v>874103287.210505</v>
      </c>
      <c r="E10" t="n">
        <v>972146055.617874</v>
      </c>
      <c r="F10" t="n">
        <v>162129765.729118</v>
      </c>
      <c r="G10" t="n">
        <v>810016289.888755</v>
      </c>
    </row>
    <row r="11">
      <c r="B11" t="s">
        <v>530</v>
      </c>
      <c r="C11" t="n">
        <v>93761197.29</v>
      </c>
      <c r="D11" t="n">
        <v>858707810.146001</v>
      </c>
      <c r="E11" t="n">
        <v>959182620.626021</v>
      </c>
      <c r="F11" t="n">
        <v>162121455.427865</v>
      </c>
      <c r="G11" t="n">
        <v>797061165.198156</v>
      </c>
    </row>
    <row r="12">
      <c r="B12" t="s">
        <v>531</v>
      </c>
      <c r="C12" t="n">
        <v>147925594.446756</v>
      </c>
      <c r="D12" t="n">
        <v>843450229.46998</v>
      </c>
      <c r="E12" t="n">
        <v>946030398.722334</v>
      </c>
      <c r="F12" t="n">
        <v>160887265.629093</v>
      </c>
      <c r="G12" t="n">
        <v>785143133.093241</v>
      </c>
    </row>
    <row r="13">
      <c r="B13" t="s">
        <v>532</v>
      </c>
      <c r="C13" t="n">
        <v>71304839.4198122</v>
      </c>
      <c r="D13" t="n">
        <v>828994931.361409</v>
      </c>
      <c r="E13" t="n">
        <v>933561806.614895</v>
      </c>
      <c r="F13" t="n">
        <v>159103188.067424</v>
      </c>
      <c r="G13" t="n">
        <v>774458618.547471</v>
      </c>
    </row>
    <row r="14">
      <c r="B14" t="s">
        <v>533</v>
      </c>
      <c r="C14" t="n">
        <v>85993152.8492387</v>
      </c>
      <c r="D14" t="n">
        <v>814295519.335893</v>
      </c>
      <c r="E14" t="n">
        <v>920432239.100852</v>
      </c>
      <c r="F14" t="n">
        <v>155098328.916812</v>
      </c>
      <c r="G14" t="n">
        <v>765333910.184041</v>
      </c>
    </row>
    <row r="15">
      <c r="B15" t="s">
        <v>534</v>
      </c>
      <c r="C15" t="n">
        <v>74064282.6819075</v>
      </c>
      <c r="D15" t="n">
        <v>801192653.450871</v>
      </c>
      <c r="E15" t="n">
        <v>909029602.257255</v>
      </c>
      <c r="F15" t="n">
        <v>152694905.36406</v>
      </c>
      <c r="G15" t="n">
        <v>756334696.893194</v>
      </c>
    </row>
    <row r="16">
      <c r="B16" t="s">
        <v>535</v>
      </c>
      <c r="C16" t="n">
        <v>270510796.122226</v>
      </c>
      <c r="D16" t="n">
        <v>788188458.291159</v>
      </c>
      <c r="E16" t="n">
        <v>897468622.021503</v>
      </c>
      <c r="F16" t="n">
        <v>147319984.621224</v>
      </c>
      <c r="G16" t="n">
        <v>750148637.400279</v>
      </c>
    </row>
    <row r="17">
      <c r="B17" t="s">
        <v>536</v>
      </c>
      <c r="C17" t="n">
        <v>78084613.5206997</v>
      </c>
      <c r="D17" t="n">
        <v>775442998.559273</v>
      </c>
      <c r="E17" t="n">
        <v>885984075.511859</v>
      </c>
      <c r="F17" t="n">
        <v>142310304.163789</v>
      </c>
      <c r="G17" t="n">
        <v>743673771.34807</v>
      </c>
    </row>
    <row r="18">
      <c r="B18" t="s">
        <v>550</v>
      </c>
      <c r="C18" t="n">
        <v>1782872866.85963</v>
      </c>
      <c r="D18" t="n">
        <v>8649181835.19091</v>
      </c>
      <c r="E18" t="n">
        <v>9733993754.57547</v>
      </c>
      <c r="F18" t="n">
        <v>1576959564.29738</v>
      </c>
      <c r="G18" t="n">
        <v>8157034190.2781</v>
      </c>
    </row>
    <row r="19">
      <c r="B19" t="s">
        <v>551</v>
      </c>
      <c r="C19" t="n">
        <v>167642722.60114</v>
      </c>
      <c r="D19" t="n">
        <v>813278623.549708</v>
      </c>
      <c r="E19" t="n">
        <v>915282993.606743</v>
      </c>
      <c r="F19" t="n">
        <v>148280788.666875</v>
      </c>
      <c r="G19" t="n">
        <v>767002204.939867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552</v>
      </c>
      <c r="F2" t="s">
        <v>545</v>
      </c>
      <c r="G2" t="s">
        <v>553</v>
      </c>
    </row>
    <row r="3">
      <c r="B3" t="s">
        <v>543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486</v>
      </c>
      <c r="C4" t="n">
        <v>154906407.871316</v>
      </c>
      <c r="D4" t="n">
        <v>59003697.1105643</v>
      </c>
      <c r="E4" t="n">
        <v>71598722.6004331</v>
      </c>
      <c r="F4" t="n">
        <v>4097137.78280065</v>
      </c>
      <c r="G4" t="n">
        <v>67501584.8176324</v>
      </c>
    </row>
    <row r="5">
      <c r="B5" t="s">
        <v>525</v>
      </c>
      <c r="C5" t="n">
        <v>85238393.726227</v>
      </c>
      <c r="D5" t="n">
        <v>89127880.3356939</v>
      </c>
      <c r="E5" t="n">
        <v>108226310.531164</v>
      </c>
      <c r="F5" t="n">
        <v>5446303.38958214</v>
      </c>
      <c r="G5" t="n">
        <v>102780007.141582</v>
      </c>
    </row>
    <row r="6">
      <c r="B6" t="s">
        <v>526</v>
      </c>
      <c r="C6" t="n">
        <v>90202862.295853</v>
      </c>
      <c r="D6" t="n">
        <v>119910154.77669</v>
      </c>
      <c r="E6" t="n">
        <v>145706225.604233</v>
      </c>
      <c r="F6" t="n">
        <v>6695081.35410639</v>
      </c>
      <c r="G6" t="n">
        <v>139011144.250126</v>
      </c>
    </row>
    <row r="7">
      <c r="B7" t="s">
        <v>527</v>
      </c>
      <c r="C7" t="n">
        <v>88541770.9602304</v>
      </c>
      <c r="D7" t="n">
        <v>149051662.591047</v>
      </c>
      <c r="E7" t="n">
        <v>181188885.990478</v>
      </c>
      <c r="F7" t="n">
        <v>8088332.12268846</v>
      </c>
      <c r="G7" t="n">
        <v>173100553.867789</v>
      </c>
    </row>
    <row r="8">
      <c r="B8" t="s">
        <v>528</v>
      </c>
      <c r="C8" t="n">
        <v>85818093.4736629</v>
      </c>
      <c r="D8" t="n">
        <v>176154735.089209</v>
      </c>
      <c r="E8" t="n">
        <v>214182970.865617</v>
      </c>
      <c r="F8" t="n">
        <v>9750217.44225279</v>
      </c>
      <c r="G8" t="n">
        <v>204432753.423364</v>
      </c>
    </row>
    <row r="9">
      <c r="B9" t="s">
        <v>529</v>
      </c>
      <c r="C9" t="n">
        <v>84638632.556741</v>
      </c>
      <c r="D9" t="n">
        <v>201931176.89195</v>
      </c>
      <c r="E9" t="n">
        <v>245572001.785191</v>
      </c>
      <c r="F9" t="n">
        <v>11677578.8816196</v>
      </c>
      <c r="G9" t="n">
        <v>233894422.903571</v>
      </c>
    </row>
    <row r="10">
      <c r="B10" t="s">
        <v>530</v>
      </c>
      <c r="C10" t="n">
        <v>82546150.3766658</v>
      </c>
      <c r="D10" t="n">
        <v>225849436.558841</v>
      </c>
      <c r="E10" t="n">
        <v>274687789.986233</v>
      </c>
      <c r="F10" t="n">
        <v>13443585.7432006</v>
      </c>
      <c r="G10" t="n">
        <v>261244204.243032</v>
      </c>
    </row>
    <row r="11">
      <c r="B11" t="s">
        <v>531</v>
      </c>
      <c r="C11" t="n">
        <v>79862278.242241</v>
      </c>
      <c r="D11" t="n">
        <v>247708040.499797</v>
      </c>
      <c r="E11" t="n">
        <v>301276262.942923</v>
      </c>
      <c r="F11" t="n">
        <v>15110250.6006621</v>
      </c>
      <c r="G11" t="n">
        <v>286166012.342261</v>
      </c>
    </row>
    <row r="12">
      <c r="B12" t="s">
        <v>532</v>
      </c>
      <c r="C12" t="n">
        <v>77404764.8898947</v>
      </c>
      <c r="D12" t="n">
        <v>268277675.378509</v>
      </c>
      <c r="E12" t="n">
        <v>326321920.861364</v>
      </c>
      <c r="F12" t="n">
        <v>16705768.2620725</v>
      </c>
      <c r="G12" t="n">
        <v>309616152.599292</v>
      </c>
    </row>
    <row r="13">
      <c r="B13" t="s">
        <v>533</v>
      </c>
      <c r="C13" t="n">
        <v>76034628.1628703</v>
      </c>
      <c r="D13" t="n">
        <v>286620982.572264</v>
      </c>
      <c r="E13" t="n">
        <v>348596669.344351</v>
      </c>
      <c r="F13" t="n">
        <v>18019658.2484335</v>
      </c>
      <c r="G13" t="n">
        <v>330577011.095917</v>
      </c>
    </row>
    <row r="14">
      <c r="B14" t="s">
        <v>534</v>
      </c>
      <c r="C14" t="n">
        <v>74064282.6819075</v>
      </c>
      <c r="D14" t="n">
        <v>304666500.606406</v>
      </c>
      <c r="E14" t="n">
        <v>370579963.357463</v>
      </c>
      <c r="F14" t="n">
        <v>19458945.7869487</v>
      </c>
      <c r="G14" t="n">
        <v>351121017.570515</v>
      </c>
    </row>
    <row r="15">
      <c r="B15" t="s">
        <v>535</v>
      </c>
      <c r="C15" t="n">
        <v>71344630.077195</v>
      </c>
      <c r="D15" t="n">
        <v>321033656.974883</v>
      </c>
      <c r="E15" t="n">
        <v>390512120.539371</v>
      </c>
      <c r="F15" t="n">
        <v>20439767.0619294</v>
      </c>
      <c r="G15" t="n">
        <v>370072353.477441</v>
      </c>
    </row>
    <row r="16">
      <c r="B16" t="s">
        <v>536</v>
      </c>
      <c r="C16" t="n">
        <v>69241831.6139118</v>
      </c>
      <c r="D16" t="n">
        <v>336067352.048456</v>
      </c>
      <c r="E16" t="n">
        <v>408822458.579328</v>
      </c>
      <c r="F16" t="n">
        <v>21361713.7779864</v>
      </c>
      <c r="G16" t="n">
        <v>387460744.801342</v>
      </c>
    </row>
    <row r="17">
      <c r="B17" t="s">
        <v>550</v>
      </c>
      <c r="C17" t="n">
        <v>1119844726.92872</v>
      </c>
      <c r="D17" t="n">
        <v>2785402951.43431</v>
      </c>
      <c r="E17" t="n">
        <v>3387272302.98815</v>
      </c>
      <c r="F17" t="n">
        <v>170294340.454283</v>
      </c>
      <c r="G17" t="n">
        <v>3216977962.53387</v>
      </c>
    </row>
    <row r="18">
      <c r="B18" t="s">
        <v>551</v>
      </c>
      <c r="C18" t="n">
        <v>105298488.973886</v>
      </c>
      <c r="D18" t="n">
        <v>261910169.255193</v>
      </c>
      <c r="E18" t="n">
        <v>318503669.902489</v>
      </c>
      <c r="F18" t="n">
        <v>16012699.1710896</v>
      </c>
      <c r="G18" t="n">
        <v>302490970.7314</v>
      </c>
    </row>
  </sheetData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552</v>
      </c>
      <c r="F2" t="s">
        <v>545</v>
      </c>
      <c r="G2" t="s">
        <v>553</v>
      </c>
    </row>
    <row r="3">
      <c r="B3" t="s">
        <v>542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543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B5" t="s">
        <v>486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B6" t="s">
        <v>525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B7" t="s">
        <v>526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B8" t="s">
        <v>527</v>
      </c>
      <c r="C8" t="n">
        <v>371882229.644963</v>
      </c>
      <c r="D8" t="n">
        <v>757782861.367474</v>
      </c>
      <c r="E8" t="n">
        <v>818165459.998952</v>
      </c>
      <c r="F8" t="n">
        <v>151763609.078937</v>
      </c>
      <c r="G8" t="n">
        <v>666401850.920014</v>
      </c>
    </row>
    <row r="9">
      <c r="B9" t="s">
        <v>528</v>
      </c>
      <c r="C9" t="n">
        <v>0</v>
      </c>
      <c r="D9" t="n">
        <v>713774956.095139</v>
      </c>
      <c r="E9" t="n">
        <v>771089758.512005</v>
      </c>
      <c r="F9" t="n">
        <v>149453685.207625</v>
      </c>
      <c r="G9" t="n">
        <v>621636073.30438</v>
      </c>
    </row>
    <row r="10">
      <c r="B10" t="s">
        <v>529</v>
      </c>
      <c r="C10" t="n">
        <v>0</v>
      </c>
      <c r="D10" t="n">
        <v>672172110.318555</v>
      </c>
      <c r="E10" t="n">
        <v>726574053.832683</v>
      </c>
      <c r="F10" t="n">
        <v>150452186.847499</v>
      </c>
      <c r="G10" t="n">
        <v>576121866.985184</v>
      </c>
    </row>
    <row r="11">
      <c r="B11" t="s">
        <v>530</v>
      </c>
      <c r="C11" t="n">
        <v>11215046.9133342</v>
      </c>
      <c r="D11" t="n">
        <v>632858373.58716</v>
      </c>
      <c r="E11" t="n">
        <v>684494830.639788</v>
      </c>
      <c r="F11" t="n">
        <v>148677869.684664</v>
      </c>
      <c r="G11" t="n">
        <v>535816960.955123</v>
      </c>
    </row>
    <row r="12">
      <c r="B12" t="s">
        <v>531</v>
      </c>
      <c r="C12" t="n">
        <v>68063316.2045147</v>
      </c>
      <c r="D12" t="n">
        <v>595742188.970183</v>
      </c>
      <c r="E12" t="n">
        <v>644754135.779411</v>
      </c>
      <c r="F12" t="n">
        <v>145777015.028431</v>
      </c>
      <c r="G12" t="n">
        <v>498977120.75098</v>
      </c>
    </row>
    <row r="13">
      <c r="B13" t="s">
        <v>532</v>
      </c>
      <c r="C13" t="n">
        <v>-6099925.47008253</v>
      </c>
      <c r="D13" t="n">
        <v>560717255.982901</v>
      </c>
      <c r="E13" t="n">
        <v>607239885.753531</v>
      </c>
      <c r="F13" t="n">
        <v>142397419.805352</v>
      </c>
      <c r="G13" t="n">
        <v>464842465.948179</v>
      </c>
    </row>
    <row r="14">
      <c r="B14" t="s">
        <v>533</v>
      </c>
      <c r="C14" t="n">
        <v>9958524.68636838</v>
      </c>
      <c r="D14" t="n">
        <v>527674536.76363</v>
      </c>
      <c r="E14" t="n">
        <v>571835569.756502</v>
      </c>
      <c r="F14" t="n">
        <v>137078670.668378</v>
      </c>
      <c r="G14" t="n">
        <v>434756899.088124</v>
      </c>
    </row>
    <row r="15">
      <c r="B15" t="s">
        <v>534</v>
      </c>
      <c r="C15" t="n">
        <v>0</v>
      </c>
      <c r="D15" t="n">
        <v>496526152.844465</v>
      </c>
      <c r="E15" t="n">
        <v>538449638.899792</v>
      </c>
      <c r="F15" t="n">
        <v>133235959.577112</v>
      </c>
      <c r="G15" t="n">
        <v>405213679.32268</v>
      </c>
    </row>
    <row r="16">
      <c r="B16" t="s">
        <v>535</v>
      </c>
      <c r="C16" t="n">
        <v>199166166.045031</v>
      </c>
      <c r="D16" t="n">
        <v>467154801.316276</v>
      </c>
      <c r="E16" t="n">
        <v>506956501.482132</v>
      </c>
      <c r="F16" t="n">
        <v>126880217.559295</v>
      </c>
      <c r="G16" t="n">
        <v>380076283.922838</v>
      </c>
    </row>
    <row r="17">
      <c r="B17" t="s">
        <v>536</v>
      </c>
      <c r="C17" t="n">
        <v>8842781.90678784</v>
      </c>
      <c r="D17" t="n">
        <v>439375646.510817</v>
      </c>
      <c r="E17" t="n">
        <v>477161616.932531</v>
      </c>
      <c r="F17" t="n">
        <v>120948590.385802</v>
      </c>
      <c r="G17" t="n">
        <v>356213026.546728</v>
      </c>
    </row>
    <row r="18">
      <c r="B18" t="s">
        <v>550</v>
      </c>
      <c r="C18" t="n">
        <v>663028139.930917</v>
      </c>
      <c r="D18" t="n">
        <v>5863778883.7566</v>
      </c>
      <c r="E18" t="n">
        <v>6346721451.58733</v>
      </c>
      <c r="F18" t="n">
        <v>1406665223.8431</v>
      </c>
      <c r="G18" t="n">
        <v>4940056227.74423</v>
      </c>
    </row>
    <row r="19">
      <c r="B19" t="s">
        <v>551</v>
      </c>
      <c r="C19" t="n">
        <v>62344233.6272535</v>
      </c>
      <c r="D19" t="n">
        <v>551368454.294515</v>
      </c>
      <c r="E19" t="n">
        <v>596779323.704254</v>
      </c>
      <c r="F19" t="n">
        <v>132268089.495786</v>
      </c>
      <c r="G19" t="n">
        <v>464511234.208468</v>
      </c>
    </row>
  </sheetData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548</v>
      </c>
      <c r="F2" t="s">
        <v>545</v>
      </c>
      <c r="G2" t="s">
        <v>549</v>
      </c>
    </row>
    <row r="3">
      <c r="B3" t="s">
        <v>542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543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B5" t="s">
        <v>486</v>
      </c>
      <c r="C5" t="n">
        <v>422452693.808845</v>
      </c>
      <c r="D5" t="n">
        <v>58516136.0864676</v>
      </c>
      <c r="E5" t="n">
        <v>105267313.213254</v>
      </c>
      <c r="F5" t="n">
        <v>21696849.9652388</v>
      </c>
      <c r="G5" t="n">
        <v>83570463.2480157</v>
      </c>
    </row>
    <row r="6">
      <c r="B6" t="s">
        <v>525</v>
      </c>
      <c r="C6" t="n">
        <v>219895132.141668</v>
      </c>
      <c r="D6" t="n">
        <v>85232404.422491</v>
      </c>
      <c r="E6" t="n">
        <v>153112017.098847</v>
      </c>
      <c r="F6" t="n">
        <v>28389790.3347601</v>
      </c>
      <c r="G6" t="n">
        <v>124722226.764087</v>
      </c>
    </row>
    <row r="7">
      <c r="B7" t="s">
        <v>526</v>
      </c>
      <c r="C7" t="n">
        <v>221723062.171257</v>
      </c>
      <c r="D7" t="n">
        <v>110569173.616645</v>
      </c>
      <c r="E7" t="n">
        <v>198384459.564965</v>
      </c>
      <c r="F7" t="n">
        <v>34393754.1388288</v>
      </c>
      <c r="G7" t="n">
        <v>163990705.426136</v>
      </c>
    </row>
    <row r="8">
      <c r="B8" t="s">
        <v>527</v>
      </c>
      <c r="C8" t="n">
        <v>8264983908.01596</v>
      </c>
      <c r="D8" t="n">
        <v>983854001.290996</v>
      </c>
      <c r="E8" t="n">
        <v>2028560802.98449</v>
      </c>
      <c r="F8" t="n">
        <v>374911877.916662</v>
      </c>
      <c r="G8" t="n">
        <v>1653648925.06783</v>
      </c>
    </row>
    <row r="9">
      <c r="B9" t="s">
        <v>528</v>
      </c>
      <c r="C9" t="n">
        <v>204070872.450887</v>
      </c>
      <c r="D9" t="n">
        <v>920212882.261972</v>
      </c>
      <c r="E9" t="n">
        <v>1883430607.72438</v>
      </c>
      <c r="F9" t="n">
        <v>362020190.039068</v>
      </c>
      <c r="G9" t="n">
        <v>1521410417.68531</v>
      </c>
    </row>
    <row r="10">
      <c r="B10" t="s">
        <v>529</v>
      </c>
      <c r="C10" t="n">
        <v>189796343.25919</v>
      </c>
      <c r="D10" t="n">
        <v>861562069.066396</v>
      </c>
      <c r="E10" t="n">
        <v>1755072888.6425</v>
      </c>
      <c r="F10" t="n">
        <v>357658430.918119</v>
      </c>
      <c r="G10" t="n">
        <v>1397414457.72438</v>
      </c>
    </row>
    <row r="11">
      <c r="B11" t="s">
        <v>530</v>
      </c>
      <c r="C11" t="n">
        <v>186614296.510485</v>
      </c>
      <c r="D11" t="n">
        <v>807074179.655171</v>
      </c>
      <c r="E11" t="n">
        <v>1636010735.04824</v>
      </c>
      <c r="F11" t="n">
        <v>346838665.942597</v>
      </c>
      <c r="G11" t="n">
        <v>1289172069.10564</v>
      </c>
    </row>
    <row r="12">
      <c r="B12" t="s">
        <v>531</v>
      </c>
      <c r="C12" t="n">
        <v>361431574.787398</v>
      </c>
      <c r="D12" t="n">
        <v>756208627.430026</v>
      </c>
      <c r="E12" t="n">
        <v>1484765896.89789</v>
      </c>
      <c r="F12" t="n">
        <v>333690313.928937</v>
      </c>
      <c r="G12" t="n">
        <v>1151075582.96895</v>
      </c>
    </row>
    <row r="13">
      <c r="B13" t="s">
        <v>532</v>
      </c>
      <c r="C13" t="n">
        <v>157532790.644521</v>
      </c>
      <c r="D13" t="n">
        <v>709157189.91416</v>
      </c>
      <c r="E13" t="n">
        <v>1386472433.45056</v>
      </c>
      <c r="F13" t="n">
        <v>319799111.482617</v>
      </c>
      <c r="G13" t="n">
        <v>1066673321.96794</v>
      </c>
    </row>
    <row r="14">
      <c r="B14" t="s">
        <v>533</v>
      </c>
      <c r="C14" t="n">
        <v>157736971.771854</v>
      </c>
      <c r="D14" t="n">
        <v>664976912.377281</v>
      </c>
      <c r="E14" t="n">
        <v>1293388440.37348</v>
      </c>
      <c r="F14" t="n">
        <v>302090296.356449</v>
      </c>
      <c r="G14" t="n">
        <v>991298144.017027</v>
      </c>
    </row>
    <row r="15">
      <c r="B15" t="s">
        <v>534</v>
      </c>
      <c r="C15" t="n">
        <v>144348125.503941</v>
      </c>
      <c r="D15" t="n">
        <v>624602471.362588</v>
      </c>
      <c r="E15" t="n">
        <v>1209290249.09165</v>
      </c>
      <c r="F15" t="n">
        <v>288194757.582014</v>
      </c>
      <c r="G15" t="n">
        <v>921095491.509636</v>
      </c>
    </row>
    <row r="16">
      <c r="B16" t="s">
        <v>535</v>
      </c>
      <c r="C16" t="n">
        <v>367659336.942045</v>
      </c>
      <c r="D16" t="n">
        <v>586789653.879062</v>
      </c>
      <c r="E16" t="n">
        <v>1131077433.63253</v>
      </c>
      <c r="F16" t="n">
        <v>269370729.690881</v>
      </c>
      <c r="G16" t="n">
        <v>861706703.941651</v>
      </c>
    </row>
    <row r="17">
      <c r="B17" t="s">
        <v>536</v>
      </c>
      <c r="C17" t="n">
        <v>133782384.997216</v>
      </c>
      <c r="D17" t="n">
        <v>551448169.316414</v>
      </c>
      <c r="E17" t="n">
        <v>1058404044.29797</v>
      </c>
      <c r="F17" t="n">
        <v>252067812.361603</v>
      </c>
      <c r="G17" t="n">
        <v>806336231.936371</v>
      </c>
    </row>
    <row r="18">
      <c r="B18" t="s">
        <v>550</v>
      </c>
      <c r="C18" t="n">
        <v>11032027493.0053</v>
      </c>
      <c r="D18" t="n">
        <v>7720203870.67967</v>
      </c>
      <c r="E18" t="n">
        <v>15323237322.0208</v>
      </c>
      <c r="F18" t="n">
        <v>3291122580.65777</v>
      </c>
      <c r="G18" t="n">
        <v>12032114741.363</v>
      </c>
    </row>
    <row r="19">
      <c r="B19" t="s">
        <v>551</v>
      </c>
      <c r="C19" t="n">
        <v>1319991446.20059</v>
      </c>
      <c r="D19" t="n">
        <v>923728940.911639</v>
      </c>
      <c r="E19" t="n">
        <v>1833438341.77294</v>
      </c>
      <c r="F19" t="n">
        <v>393785608.09609</v>
      </c>
      <c r="G19" t="n">
        <v>1439652733.67684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548</v>
      </c>
      <c r="F2" t="s">
        <v>545</v>
      </c>
      <c r="G2" t="s">
        <v>549</v>
      </c>
    </row>
    <row r="3">
      <c r="B3" t="s">
        <v>543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486</v>
      </c>
      <c r="C4" t="n">
        <v>422452693.808845</v>
      </c>
      <c r="D4" t="n">
        <v>58516136.0864676</v>
      </c>
      <c r="E4" t="n">
        <v>105267313.213254</v>
      </c>
      <c r="F4" t="n">
        <v>21696849.9652388</v>
      </c>
      <c r="G4" t="n">
        <v>83570463.2480157</v>
      </c>
    </row>
    <row r="5">
      <c r="B5" t="s">
        <v>525</v>
      </c>
      <c r="C5" t="n">
        <v>219895132.141668</v>
      </c>
      <c r="D5" t="n">
        <v>85232404.422491</v>
      </c>
      <c r="E5" t="n">
        <v>153112017.098847</v>
      </c>
      <c r="F5" t="n">
        <v>28389790.3347601</v>
      </c>
      <c r="G5" t="n">
        <v>124722226.764087</v>
      </c>
    </row>
    <row r="6">
      <c r="B6" t="s">
        <v>526</v>
      </c>
      <c r="C6" t="n">
        <v>221723062.171257</v>
      </c>
      <c r="D6" t="n">
        <v>110569173.616645</v>
      </c>
      <c r="E6" t="n">
        <v>198384459.564965</v>
      </c>
      <c r="F6" t="n">
        <v>34393754.1388288</v>
      </c>
      <c r="G6" t="n">
        <v>163990705.426136</v>
      </c>
    </row>
    <row r="7">
      <c r="B7" t="s">
        <v>527</v>
      </c>
      <c r="C7" t="n">
        <v>209242696.77996</v>
      </c>
      <c r="D7" t="n">
        <v>132451620.422878</v>
      </c>
      <c r="E7" t="n">
        <v>237472251.686154</v>
      </c>
      <c r="F7" t="n">
        <v>40586363.6972933</v>
      </c>
      <c r="G7" t="n">
        <v>196885887.988861</v>
      </c>
    </row>
    <row r="8">
      <c r="B8" t="s">
        <v>528</v>
      </c>
      <c r="C8" t="n">
        <v>204070872.450887</v>
      </c>
      <c r="D8" t="n">
        <v>150772805.367148</v>
      </c>
      <c r="E8" t="n">
        <v>268996109.055359</v>
      </c>
      <c r="F8" t="n">
        <v>47517311.7103703</v>
      </c>
      <c r="G8" t="n">
        <v>221478797.344989</v>
      </c>
    </row>
    <row r="9">
      <c r="B9" t="s">
        <v>529</v>
      </c>
      <c r="C9" t="n">
        <v>189796343.25919</v>
      </c>
      <c r="D9" t="n">
        <v>166432475.584884</v>
      </c>
      <c r="E9" t="n">
        <v>296398075.426554</v>
      </c>
      <c r="F9" t="n">
        <v>55184356.6170888</v>
      </c>
      <c r="G9" t="n">
        <v>241213718.809465</v>
      </c>
    </row>
    <row r="10">
      <c r="B10" t="s">
        <v>530</v>
      </c>
      <c r="C10" t="n">
        <v>178345759.574307</v>
      </c>
      <c r="D10" t="n">
        <v>179227549.185247</v>
      </c>
      <c r="E10" t="n">
        <v>318725039.608934</v>
      </c>
      <c r="F10" t="n">
        <v>61460501.8564691</v>
      </c>
      <c r="G10" t="n">
        <v>257264537.752465</v>
      </c>
    </row>
    <row r="11">
      <c r="B11" t="s">
        <v>531</v>
      </c>
      <c r="C11" t="n">
        <v>166206432.431135</v>
      </c>
      <c r="D11" t="n">
        <v>189247888.082422</v>
      </c>
      <c r="E11" t="n">
        <v>336237195.83978</v>
      </c>
      <c r="F11" t="n">
        <v>66701196.3874689</v>
      </c>
      <c r="G11" t="n">
        <v>269535999.452311</v>
      </c>
    </row>
    <row r="12">
      <c r="B12" t="s">
        <v>532</v>
      </c>
      <c r="C12" t="n">
        <v>161700131.262031</v>
      </c>
      <c r="D12" t="n">
        <v>197274749.27843</v>
      </c>
      <c r="E12" t="n">
        <v>350096475.589252</v>
      </c>
      <c r="F12" t="n">
        <v>71095848.2136895</v>
      </c>
      <c r="G12" t="n">
        <v>279000627.375562</v>
      </c>
    </row>
    <row r="13">
      <c r="B13" t="s">
        <v>533</v>
      </c>
      <c r="C13" t="n">
        <v>149917643.036528</v>
      </c>
      <c r="D13" t="n">
        <v>202912882.984907</v>
      </c>
      <c r="E13" t="n">
        <v>359967634.40171</v>
      </c>
      <c r="F13" t="n">
        <v>73894076.7630123</v>
      </c>
      <c r="G13" t="n">
        <v>286073557.638698</v>
      </c>
    </row>
    <row r="14">
      <c r="B14" t="s">
        <v>534</v>
      </c>
      <c r="C14" t="n">
        <v>144348125.503941</v>
      </c>
      <c r="D14" t="n">
        <v>207600248.75547</v>
      </c>
      <c r="E14" t="n">
        <v>367578333.59626</v>
      </c>
      <c r="F14" t="n">
        <v>76804355.7906099</v>
      </c>
      <c r="G14" t="n">
        <v>290773977.80565</v>
      </c>
    </row>
    <row r="15">
      <c r="B15" t="s">
        <v>535</v>
      </c>
      <c r="C15" t="n">
        <v>132565510.591751</v>
      </c>
      <c r="D15" t="n">
        <v>210560215.795083</v>
      </c>
      <c r="E15" t="n">
        <v>372189675.869316</v>
      </c>
      <c r="F15" t="n">
        <v>77486418.6177871</v>
      </c>
      <c r="G15" t="n">
        <v>294703257.251529</v>
      </c>
    </row>
    <row r="16">
      <c r="B16" t="s">
        <v>536</v>
      </c>
      <c r="C16" t="n">
        <v>128595135.082261</v>
      </c>
      <c r="D16" t="n">
        <v>212183082.875677</v>
      </c>
      <c r="E16" t="n">
        <v>374329715.339928</v>
      </c>
      <c r="F16" t="n">
        <v>77642640.7411235</v>
      </c>
      <c r="G16" t="n">
        <v>296687074.598805</v>
      </c>
    </row>
    <row r="17">
      <c r="B17" t="s">
        <v>550</v>
      </c>
      <c r="C17" t="n">
        <v>2528859538.09376</v>
      </c>
      <c r="D17" t="n">
        <v>2102981232.45775</v>
      </c>
      <c r="E17" t="n">
        <v>3738754296.29031</v>
      </c>
      <c r="F17" t="n">
        <v>732853464.83374</v>
      </c>
      <c r="G17" t="n">
        <v>3005900831.45657</v>
      </c>
    </row>
    <row r="18">
      <c r="B18" t="s">
        <v>551</v>
      </c>
      <c r="C18" t="n">
        <v>302580188.550382</v>
      </c>
      <c r="D18" t="n">
        <v>251623488.078201</v>
      </c>
      <c r="E18" t="n">
        <v>447345122.524212</v>
      </c>
      <c r="F18" t="n">
        <v>87686538.6269518</v>
      </c>
      <c r="G18" t="n">
        <v>359658583.89726</v>
      </c>
    </row>
  </sheetData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548</v>
      </c>
      <c r="F2" t="s">
        <v>545</v>
      </c>
      <c r="G2" t="s">
        <v>549</v>
      </c>
    </row>
    <row r="3">
      <c r="B3" t="s">
        <v>542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543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B5" t="s">
        <v>486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B6" t="s">
        <v>525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B7" t="s">
        <v>526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B8" t="s">
        <v>527</v>
      </c>
      <c r="C8" t="n">
        <v>8055741211.236</v>
      </c>
      <c r="D8" t="n">
        <v>851402380.868118</v>
      </c>
      <c r="E8" t="n">
        <v>1791088551.29834</v>
      </c>
      <c r="F8" t="n">
        <v>334325514.219369</v>
      </c>
      <c r="G8" t="n">
        <v>1456763037.07897</v>
      </c>
    </row>
    <row r="9">
      <c r="B9" t="s">
        <v>528</v>
      </c>
      <c r="C9" t="n">
        <v>0</v>
      </c>
      <c r="D9" t="n">
        <v>769440076.894824</v>
      </c>
      <c r="E9" t="n">
        <v>1614434498.66902</v>
      </c>
      <c r="F9" t="n">
        <v>314502878.328698</v>
      </c>
      <c r="G9" t="n">
        <v>1299931620.34032</v>
      </c>
    </row>
    <row r="10">
      <c r="B10" t="s">
        <v>529</v>
      </c>
      <c r="C10" t="n">
        <v>0</v>
      </c>
      <c r="D10" t="n">
        <v>695129593.481513</v>
      </c>
      <c r="E10" t="n">
        <v>1458674813.21594</v>
      </c>
      <c r="F10" t="n">
        <v>302474074.30103</v>
      </c>
      <c r="G10" t="n">
        <v>1156200738.91491</v>
      </c>
    </row>
    <row r="11">
      <c r="B11" t="s">
        <v>530</v>
      </c>
      <c r="C11" t="n">
        <v>8268536.9361777</v>
      </c>
      <c r="D11" t="n">
        <v>627846630.469924</v>
      </c>
      <c r="E11" t="n">
        <v>1317285695.43931</v>
      </c>
      <c r="F11" t="n">
        <v>285378164.086128</v>
      </c>
      <c r="G11" t="n">
        <v>1031907531.35318</v>
      </c>
    </row>
    <row r="12">
      <c r="B12" t="s">
        <v>531</v>
      </c>
      <c r="C12" t="n">
        <v>195225142.356263</v>
      </c>
      <c r="D12" t="n">
        <v>566960739.347604</v>
      </c>
      <c r="E12" t="n">
        <v>1148528701.05811</v>
      </c>
      <c r="F12" t="n">
        <v>266989117.541468</v>
      </c>
      <c r="G12" t="n">
        <v>881539583.516643</v>
      </c>
    </row>
    <row r="13">
      <c r="B13" t="s">
        <v>532</v>
      </c>
      <c r="C13" t="n">
        <v>-4167340.61750978</v>
      </c>
      <c r="D13" t="n">
        <v>511882440.635731</v>
      </c>
      <c r="E13" t="n">
        <v>1036375957.86131</v>
      </c>
      <c r="F13" t="n">
        <v>248703263.268927</v>
      </c>
      <c r="G13" t="n">
        <v>787672694.59238</v>
      </c>
    </row>
    <row r="14">
      <c r="B14" t="s">
        <v>533</v>
      </c>
      <c r="C14" t="n">
        <v>7819328.73532596</v>
      </c>
      <c r="D14" t="n">
        <v>462064029.392374</v>
      </c>
      <c r="E14" t="n">
        <v>933420805.971766</v>
      </c>
      <c r="F14" t="n">
        <v>228196219.593437</v>
      </c>
      <c r="G14" t="n">
        <v>705224586.37833</v>
      </c>
    </row>
    <row r="15">
      <c r="B15" t="s">
        <v>534</v>
      </c>
      <c r="C15" t="n">
        <v>0</v>
      </c>
      <c r="D15" t="n">
        <v>417002222.607118</v>
      </c>
      <c r="E15" t="n">
        <v>841711915.49539</v>
      </c>
      <c r="F15" t="n">
        <v>211390401.791404</v>
      </c>
      <c r="G15" t="n">
        <v>630321513.703986</v>
      </c>
    </row>
    <row r="16">
      <c r="B16" t="s">
        <v>535</v>
      </c>
      <c r="C16" t="n">
        <v>235093826.350293</v>
      </c>
      <c r="D16" t="n">
        <v>376229438.083978</v>
      </c>
      <c r="E16" t="n">
        <v>758887757.763216</v>
      </c>
      <c r="F16" t="n">
        <v>191884311.073094</v>
      </c>
      <c r="G16" t="n">
        <v>567003446.690122</v>
      </c>
    </row>
    <row r="17">
      <c r="B17" t="s">
        <v>536</v>
      </c>
      <c r="C17" t="n">
        <v>5187249.91495577</v>
      </c>
      <c r="D17" t="n">
        <v>339265086.440737</v>
      </c>
      <c r="E17" t="n">
        <v>684074328.958046</v>
      </c>
      <c r="F17" t="n">
        <v>174425171.62048</v>
      </c>
      <c r="G17" t="n">
        <v>509649157.337566</v>
      </c>
    </row>
    <row r="18">
      <c r="B18" t="s">
        <v>550</v>
      </c>
      <c r="C18" t="n">
        <v>8503167954.91151</v>
      </c>
      <c r="D18" t="n">
        <v>5617222638.22192</v>
      </c>
      <c r="E18" t="n">
        <v>11584483025.7304</v>
      </c>
      <c r="F18" t="n">
        <v>2558269115.82403</v>
      </c>
      <c r="G18" t="n">
        <v>9026213909.90641</v>
      </c>
    </row>
    <row r="19">
      <c r="B19" t="s">
        <v>551</v>
      </c>
      <c r="C19" t="n">
        <v>1017411257.65021</v>
      </c>
      <c r="D19" t="n">
        <v>672105452.833437</v>
      </c>
      <c r="E19" t="n">
        <v>1386093219.24872</v>
      </c>
      <c r="F19" t="n">
        <v>306099069.469139</v>
      </c>
      <c r="G19" t="n">
        <v>1079994149.77958</v>
      </c>
    </row>
  </sheetData>
  <pageMargins left="0.7" right="0.7" top="0.75" bottom="0.75" header="0.3" footer="0.3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552</v>
      </c>
      <c r="F2" t="s">
        <v>545</v>
      </c>
      <c r="G2" t="s">
        <v>553</v>
      </c>
    </row>
    <row r="3">
      <c r="B3" t="s">
        <v>542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543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B5" t="s">
        <v>486</v>
      </c>
      <c r="C5" t="n">
        <v>455901677.011732</v>
      </c>
      <c r="D5" t="n">
        <v>63149330.0079148</v>
      </c>
      <c r="E5" t="n">
        <v>104048909.692297</v>
      </c>
      <c r="F5" t="n">
        <v>23414764.3747779</v>
      </c>
      <c r="G5" t="n">
        <v>80634145.3175194</v>
      </c>
    </row>
    <row r="6">
      <c r="B6" t="s">
        <v>525</v>
      </c>
      <c r="C6" t="n">
        <v>246521768.350398</v>
      </c>
      <c r="D6" t="n">
        <v>95553015.9051086</v>
      </c>
      <c r="E6" t="n">
        <v>157242824.274485</v>
      </c>
      <c r="F6" t="n">
        <v>31827449.9678928</v>
      </c>
      <c r="G6" t="n">
        <v>125415374.306592</v>
      </c>
    </row>
    <row r="7">
      <c r="B7" t="s">
        <v>526</v>
      </c>
      <c r="C7" t="n">
        <v>258224282.774886</v>
      </c>
      <c r="D7" t="n">
        <v>128771654.489044</v>
      </c>
      <c r="E7" t="n">
        <v>211677490.834591</v>
      </c>
      <c r="F7" t="n">
        <v>40055835.4528542</v>
      </c>
      <c r="G7" t="n">
        <v>171621655.381737</v>
      </c>
    </row>
    <row r="8">
      <c r="B8" t="s">
        <v>527</v>
      </c>
      <c r="C8" t="n">
        <v>9999419241.21354</v>
      </c>
      <c r="D8" t="n">
        <v>1190319151.31892</v>
      </c>
      <c r="E8" t="n">
        <v>2228514348.50202</v>
      </c>
      <c r="F8" t="n">
        <v>453588426.489667</v>
      </c>
      <c r="G8" t="n">
        <v>1774925922.01235</v>
      </c>
    </row>
    <row r="9">
      <c r="B9" t="s">
        <v>528</v>
      </c>
      <c r="C9" t="n">
        <v>256484036.005465</v>
      </c>
      <c r="D9" t="n">
        <v>1156558558.27036</v>
      </c>
      <c r="E9" t="n">
        <v>2150624775.05321</v>
      </c>
      <c r="F9" t="n">
        <v>455000747.247905</v>
      </c>
      <c r="G9" t="n">
        <v>1695624027.8053</v>
      </c>
    </row>
    <row r="10">
      <c r="B10" t="s">
        <v>529</v>
      </c>
      <c r="C10" t="n">
        <v>247807080.772192</v>
      </c>
      <c r="D10" t="n">
        <v>1124896178.57301</v>
      </c>
      <c r="E10" t="n">
        <v>2082445387.88254</v>
      </c>
      <c r="F10" t="n">
        <v>466975760.214444</v>
      </c>
      <c r="G10" t="n">
        <v>1615469627.66809</v>
      </c>
    </row>
    <row r="11">
      <c r="B11" t="s">
        <v>530</v>
      </c>
      <c r="C11" t="n">
        <v>253114681.136253</v>
      </c>
      <c r="D11" t="n">
        <v>1094676707.2867</v>
      </c>
      <c r="E11" t="n">
        <v>2017140373.3024</v>
      </c>
      <c r="F11" t="n">
        <v>470435330.93324</v>
      </c>
      <c r="G11" t="n">
        <v>1546705042.36916</v>
      </c>
    </row>
    <row r="12">
      <c r="B12" t="s">
        <v>531</v>
      </c>
      <c r="C12" t="n">
        <v>509266450.723114</v>
      </c>
      <c r="D12" t="n">
        <v>1065517543.46315</v>
      </c>
      <c r="E12" t="n">
        <v>1900190109.66443</v>
      </c>
      <c r="F12" t="n">
        <v>470178295.615794</v>
      </c>
      <c r="G12" t="n">
        <v>1430011814.04864</v>
      </c>
    </row>
    <row r="13">
      <c r="B13" t="s">
        <v>532</v>
      </c>
      <c r="C13" t="n">
        <v>230587890.509394</v>
      </c>
      <c r="D13" t="n">
        <v>1038025542.44641</v>
      </c>
      <c r="E13" t="n">
        <v>1843997928.67273</v>
      </c>
      <c r="F13" t="n">
        <v>468104463.85068</v>
      </c>
      <c r="G13" t="n">
        <v>1375893464.82205</v>
      </c>
    </row>
    <row r="14">
      <c r="B14" t="s">
        <v>533</v>
      </c>
      <c r="C14" t="n">
        <v>239853235.790344</v>
      </c>
      <c r="D14" t="n">
        <v>1011157133.09277</v>
      </c>
      <c r="E14" t="n">
        <v>1787646818.98687</v>
      </c>
      <c r="F14" t="n">
        <v>459355433.720119</v>
      </c>
      <c r="G14" t="n">
        <v>1328291385.26675</v>
      </c>
    </row>
    <row r="15">
      <c r="B15" t="s">
        <v>534</v>
      </c>
      <c r="C15" t="n">
        <v>228018342.445462</v>
      </c>
      <c r="D15" t="n">
        <v>986648213.89418</v>
      </c>
      <c r="E15" t="n">
        <v>1737028328.44266</v>
      </c>
      <c r="F15" t="n">
        <v>455244504.879478</v>
      </c>
      <c r="G15" t="n">
        <v>1281783823.56318</v>
      </c>
    </row>
    <row r="16">
      <c r="B16" t="s">
        <v>535</v>
      </c>
      <c r="C16" t="n">
        <v>603324259.284344</v>
      </c>
      <c r="D16" t="n">
        <v>962914300.577405</v>
      </c>
      <c r="E16" t="n">
        <v>1688443584.90523</v>
      </c>
      <c r="F16" t="n">
        <v>442033914.643251</v>
      </c>
      <c r="G16" t="n">
        <v>1246409670.26198</v>
      </c>
    </row>
    <row r="17">
      <c r="B17" t="s">
        <v>536</v>
      </c>
      <c r="C17" t="n">
        <v>228060816.983096</v>
      </c>
      <c r="D17" t="n">
        <v>940061877.509142</v>
      </c>
      <c r="E17" t="n">
        <v>1641942714.87575</v>
      </c>
      <c r="F17" t="n">
        <v>429703740.32071</v>
      </c>
      <c r="G17" t="n">
        <v>1212238974.55504</v>
      </c>
    </row>
    <row r="18">
      <c r="B18" t="s">
        <v>550</v>
      </c>
      <c r="C18" t="n">
        <v>13756583763.0002</v>
      </c>
      <c r="D18" t="n">
        <v>10858249206.8341</v>
      </c>
      <c r="E18" t="n">
        <v>19550943595.0892</v>
      </c>
      <c r="F18" t="n">
        <v>4665918667.71081</v>
      </c>
      <c r="G18" t="n">
        <v>14885024927.3784</v>
      </c>
    </row>
    <row r="19">
      <c r="B19" t="s">
        <v>551</v>
      </c>
      <c r="C19" t="n">
        <v>1293525297.61818</v>
      </c>
      <c r="D19" t="n">
        <v>1020996221.07191</v>
      </c>
      <c r="E19" t="n">
        <v>1838366310.14258</v>
      </c>
      <c r="F19" t="n">
        <v>438734204.457499</v>
      </c>
      <c r="G19" t="n">
        <v>1399632105.68508</v>
      </c>
    </row>
  </sheetData>
  <pageMargins left="0.7" right="0.7" top="0.75" bottom="0.75" header="0.3" footer="0.3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552</v>
      </c>
      <c r="F2" t="s">
        <v>545</v>
      </c>
      <c r="G2" t="s">
        <v>553</v>
      </c>
    </row>
    <row r="3">
      <c r="B3" t="s">
        <v>543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486</v>
      </c>
      <c r="C4" t="n">
        <v>455901677.011732</v>
      </c>
      <c r="D4" t="n">
        <v>63149330.0079148</v>
      </c>
      <c r="E4" t="n">
        <v>104048909.692297</v>
      </c>
      <c r="F4" t="n">
        <v>23414764.3747779</v>
      </c>
      <c r="G4" t="n">
        <v>80634145.3175194</v>
      </c>
    </row>
    <row r="5">
      <c r="B5" t="s">
        <v>525</v>
      </c>
      <c r="C5" t="n">
        <v>246521768.350398</v>
      </c>
      <c r="D5" t="n">
        <v>95553015.9051086</v>
      </c>
      <c r="E5" t="n">
        <v>157242824.274485</v>
      </c>
      <c r="F5" t="n">
        <v>31827449.9678928</v>
      </c>
      <c r="G5" t="n">
        <v>125415374.306592</v>
      </c>
    </row>
    <row r="6">
      <c r="B6" t="s">
        <v>526</v>
      </c>
      <c r="C6" t="n">
        <v>258224282.774886</v>
      </c>
      <c r="D6" t="n">
        <v>128771654.489044</v>
      </c>
      <c r="E6" t="n">
        <v>211677490.834591</v>
      </c>
      <c r="F6" t="n">
        <v>40055835.4528542</v>
      </c>
      <c r="G6" t="n">
        <v>171621655.381737</v>
      </c>
    </row>
    <row r="7">
      <c r="B7" t="s">
        <v>527</v>
      </c>
      <c r="C7" t="n">
        <v>253152997.217052</v>
      </c>
      <c r="D7" t="n">
        <v>160247049.059818</v>
      </c>
      <c r="E7" t="n">
        <v>263246366.258071</v>
      </c>
      <c r="F7" t="n">
        <v>49103551.8764886</v>
      </c>
      <c r="G7" t="n">
        <v>214142814.381582</v>
      </c>
    </row>
    <row r="8">
      <c r="B8" t="s">
        <v>528</v>
      </c>
      <c r="C8" t="n">
        <v>256484036.005465</v>
      </c>
      <c r="D8" t="n">
        <v>189496997.665551</v>
      </c>
      <c r="E8" t="n">
        <v>309739669.528891</v>
      </c>
      <c r="F8" t="n">
        <v>59721565.068227</v>
      </c>
      <c r="G8" t="n">
        <v>250018104.460664</v>
      </c>
    </row>
    <row r="9">
      <c r="B9" t="s">
        <v>529</v>
      </c>
      <c r="C9" t="n">
        <v>247807080.772192</v>
      </c>
      <c r="D9" t="n">
        <v>217302110.315459</v>
      </c>
      <c r="E9" t="n">
        <v>354544952.581579</v>
      </c>
      <c r="F9" t="n">
        <v>72051305.534888</v>
      </c>
      <c r="G9" t="n">
        <v>282493647.046691</v>
      </c>
    </row>
    <row r="10">
      <c r="B10" t="s">
        <v>530</v>
      </c>
      <c r="C10" t="n">
        <v>241899634.222919</v>
      </c>
      <c r="D10" t="n">
        <v>243095651.357596</v>
      </c>
      <c r="E10" t="n">
        <v>396052612.57151</v>
      </c>
      <c r="F10" t="n">
        <v>83362076.8653178</v>
      </c>
      <c r="G10" t="n">
        <v>312690535.706193</v>
      </c>
    </row>
    <row r="11">
      <c r="B11" t="s">
        <v>531</v>
      </c>
      <c r="C11" t="n">
        <v>234189168.396105</v>
      </c>
      <c r="D11" t="n">
        <v>266655176.23155</v>
      </c>
      <c r="E11" t="n">
        <v>434026093.579918</v>
      </c>
      <c r="F11" t="n">
        <v>93983713.4130098</v>
      </c>
      <c r="G11" t="n">
        <v>340042380.166908</v>
      </c>
    </row>
    <row r="12">
      <c r="B12" t="s">
        <v>532</v>
      </c>
      <c r="C12" t="n">
        <v>236687815.979476</v>
      </c>
      <c r="D12" t="n">
        <v>288759997.844072</v>
      </c>
      <c r="E12" t="n">
        <v>469475712.26132</v>
      </c>
      <c r="F12" t="n">
        <v>104066217.556979</v>
      </c>
      <c r="G12" t="n">
        <v>365409494.704342</v>
      </c>
    </row>
    <row r="13">
      <c r="B13" t="s">
        <v>533</v>
      </c>
      <c r="C13" t="n">
        <v>227963244.003327</v>
      </c>
      <c r="D13" t="n">
        <v>308547267.142108</v>
      </c>
      <c r="E13" t="n">
        <v>501438183.611892</v>
      </c>
      <c r="F13" t="n">
        <v>112362581.950563</v>
      </c>
      <c r="G13" t="n">
        <v>389075601.661329</v>
      </c>
    </row>
    <row r="14">
      <c r="B14" t="s">
        <v>534</v>
      </c>
      <c r="C14" t="n">
        <v>228018342.445462</v>
      </c>
      <c r="D14" t="n">
        <v>327934044.499909</v>
      </c>
      <c r="E14" t="n">
        <v>531984385.321462</v>
      </c>
      <c r="F14" t="n">
        <v>121323375.962289</v>
      </c>
      <c r="G14" t="n">
        <v>410661009.359173</v>
      </c>
    </row>
    <row r="15">
      <c r="B15" t="s">
        <v>535</v>
      </c>
      <c r="C15" t="n">
        <v>217538303.663499</v>
      </c>
      <c r="D15" t="n">
        <v>345526615.170242</v>
      </c>
      <c r="E15" t="n">
        <v>559641932.138454</v>
      </c>
      <c r="F15" t="n">
        <v>127154219.735054</v>
      </c>
      <c r="G15" t="n">
        <v>432487712.4034</v>
      </c>
    </row>
    <row r="16">
      <c r="B16" t="s">
        <v>536</v>
      </c>
      <c r="C16" t="n">
        <v>219218035.076308</v>
      </c>
      <c r="D16" t="n">
        <v>361711650.092243</v>
      </c>
      <c r="E16" t="n">
        <v>584810114.601436</v>
      </c>
      <c r="F16" t="n">
        <v>132358561.857857</v>
      </c>
      <c r="G16" t="n">
        <v>452451552.74358</v>
      </c>
    </row>
    <row r="17">
      <c r="B17" t="s">
        <v>550</v>
      </c>
      <c r="C17" t="n">
        <v>3323606385.91882</v>
      </c>
      <c r="D17" t="n">
        <v>2996750559.78061</v>
      </c>
      <c r="E17" t="n">
        <v>4877929247.25591</v>
      </c>
      <c r="F17" t="n">
        <v>1050785219.6162</v>
      </c>
      <c r="G17" t="n">
        <v>3827144027.63971</v>
      </c>
    </row>
    <row r="18">
      <c r="B18" t="s">
        <v>551</v>
      </c>
      <c r="C18" t="n">
        <v>312517192.754962</v>
      </c>
      <c r="D18" t="n">
        <v>281783088.484045</v>
      </c>
      <c r="E18" t="n">
        <v>458669462.565829</v>
      </c>
      <c r="F18" t="n">
        <v>98804854.9955103</v>
      </c>
      <c r="G18" t="n">
        <v>359864607.570319</v>
      </c>
    </row>
  </sheetData>
  <pageMargins left="0.7" right="0.7" top="0.75" bottom="0.75" header="0.3" footer="0.3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546</v>
      </c>
      <c r="D2" t="s">
        <v>547</v>
      </c>
      <c r="E2" t="s">
        <v>552</v>
      </c>
      <c r="F2" t="s">
        <v>545</v>
      </c>
      <c r="G2" t="s">
        <v>553</v>
      </c>
    </row>
    <row r="3">
      <c r="B3" t="s">
        <v>542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B4" t="s">
        <v>543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B5" t="s">
        <v>486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B6" t="s">
        <v>525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B7" t="s">
        <v>526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B8" t="s">
        <v>527</v>
      </c>
      <c r="C8" t="n">
        <v>9746266243.99649</v>
      </c>
      <c r="D8" t="n">
        <v>1030072102.25911</v>
      </c>
      <c r="E8" t="n">
        <v>1965267982.24395</v>
      </c>
      <c r="F8" t="n">
        <v>404484874.613178</v>
      </c>
      <c r="G8" t="n">
        <v>1560783107.63077</v>
      </c>
    </row>
    <row r="9">
      <c r="B9" t="s">
        <v>528</v>
      </c>
      <c r="C9" t="n">
        <v>0</v>
      </c>
      <c r="D9" t="n">
        <v>967061560.604809</v>
      </c>
      <c r="E9" t="n">
        <v>1840885105.52432</v>
      </c>
      <c r="F9" t="n">
        <v>395279182.179678</v>
      </c>
      <c r="G9" t="n">
        <v>1445605923.34464</v>
      </c>
    </row>
    <row r="10">
      <c r="B10" t="s">
        <v>529</v>
      </c>
      <c r="C10" t="n">
        <v>0</v>
      </c>
      <c r="D10" t="n">
        <v>907594068.257548</v>
      </c>
      <c r="E10" t="n">
        <v>1727900435.30096</v>
      </c>
      <c r="F10" t="n">
        <v>394924454.679556</v>
      </c>
      <c r="G10" t="n">
        <v>1332975980.6214</v>
      </c>
    </row>
    <row r="11">
      <c r="B11" t="s">
        <v>530</v>
      </c>
      <c r="C11" t="n">
        <v>11215046.9133342</v>
      </c>
      <c r="D11" t="n">
        <v>851581055.929103</v>
      </c>
      <c r="E11" t="n">
        <v>1621087760.73089</v>
      </c>
      <c r="F11" t="n">
        <v>387073254.067922</v>
      </c>
      <c r="G11" t="n">
        <v>1234014506.66297</v>
      </c>
    </row>
    <row r="12">
      <c r="B12" t="s">
        <v>531</v>
      </c>
      <c r="C12" t="n">
        <v>275077282.327009</v>
      </c>
      <c r="D12" t="n">
        <v>798862367.231602</v>
      </c>
      <c r="E12" t="n">
        <v>1466164016.08451</v>
      </c>
      <c r="F12" t="n">
        <v>376194582.202784</v>
      </c>
      <c r="G12" t="n">
        <v>1089969433.88173</v>
      </c>
    </row>
    <row r="13">
      <c r="B13" t="s">
        <v>532</v>
      </c>
      <c r="C13" t="n">
        <v>-6099925.47008253</v>
      </c>
      <c r="D13" t="n">
        <v>749265544.602336</v>
      </c>
      <c r="E13" t="n">
        <v>1374522216.41141</v>
      </c>
      <c r="F13" t="n">
        <v>364038246.293701</v>
      </c>
      <c r="G13" t="n">
        <v>1010483970.11771</v>
      </c>
    </row>
    <row r="14">
      <c r="B14" t="s">
        <v>533</v>
      </c>
      <c r="C14" t="n">
        <v>11889991.7870175</v>
      </c>
      <c r="D14" t="n">
        <v>702609865.950661</v>
      </c>
      <c r="E14" t="n">
        <v>1286208635.37498</v>
      </c>
      <c r="F14" t="n">
        <v>346992851.769557</v>
      </c>
      <c r="G14" t="n">
        <v>939215783.605424</v>
      </c>
    </row>
    <row r="15">
      <c r="B15" t="s">
        <v>534</v>
      </c>
      <c r="C15" t="n">
        <v>0</v>
      </c>
      <c r="D15" t="n">
        <v>658714169.394271</v>
      </c>
      <c r="E15" t="n">
        <v>1205043943.1212</v>
      </c>
      <c r="F15" t="n">
        <v>333921128.917189</v>
      </c>
      <c r="G15" t="n">
        <v>871122814.204012</v>
      </c>
    </row>
    <row r="16">
      <c r="B16" t="s">
        <v>535</v>
      </c>
      <c r="C16" t="n">
        <v>385785955.620845</v>
      </c>
      <c r="D16" t="n">
        <v>617387685.407162</v>
      </c>
      <c r="E16" t="n">
        <v>1128801652.76677</v>
      </c>
      <c r="F16" t="n">
        <v>314879694.908197</v>
      </c>
      <c r="G16" t="n">
        <v>813921957.858577</v>
      </c>
    </row>
    <row r="17">
      <c r="B17" t="s">
        <v>536</v>
      </c>
      <c r="C17" t="n">
        <v>8842781.90678784</v>
      </c>
      <c r="D17" t="n">
        <v>578350227.416899</v>
      </c>
      <c r="E17" t="n">
        <v>1057132600.27431</v>
      </c>
      <c r="F17" t="n">
        <v>297345178.462853</v>
      </c>
      <c r="G17" t="n">
        <v>759787421.811461</v>
      </c>
    </row>
    <row r="18">
      <c r="B18" t="s">
        <v>550</v>
      </c>
      <c r="C18" t="n">
        <v>10432977377.0814</v>
      </c>
      <c r="D18" t="n">
        <v>7861498647.0535</v>
      </c>
      <c r="E18" t="n">
        <v>14673014347.8333</v>
      </c>
      <c r="F18" t="n">
        <v>3615133448.09461</v>
      </c>
      <c r="G18" t="n">
        <v>11057880899.7387</v>
      </c>
    </row>
    <row r="19">
      <c r="B19" t="s">
        <v>551</v>
      </c>
      <c r="C19" t="n">
        <v>981008104.863219</v>
      </c>
      <c r="D19" t="n">
        <v>739213132.587868</v>
      </c>
      <c r="E19" t="n">
        <v>1379696847.57675</v>
      </c>
      <c r="F19" t="n">
        <v>339929349.461989</v>
      </c>
      <c r="G19" t="n">
        <v>1039767498.11476</v>
      </c>
    </row>
  </sheetData>
  <pageMargins left="0.7" right="0.7" top="0.75" bottom="0.75" header="0.3" footer="0.3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2" max="2" width="5" hidden="0" customWidth="1"/>
    <col min="3" max="3" width="16" hidden="0" customWidth="1"/>
    <col min="4" max="4" width="16" hidden="0" customWidth="1"/>
    <col min="5" max="5" width="16" hidden="0" customWidth="1"/>
    <col min="6" max="6" width="22.42578125" hidden="0" customWidth="1"/>
    <col min="7" max="7" width="21.7109375" hidden="0" customWidth="1"/>
    <col min="8" max="8" width="21.7109375" hidden="0" customWidth="1"/>
    <col min="9" max="9" width="21.7109375" hidden="0" customWidth="1"/>
  </cols>
  <sheetData>
    <row r="2">
      <c r="B2" t="s">
        <v>481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</row>
    <row r="3">
      <c r="B3" t="s">
        <v>486</v>
      </c>
      <c r="C3" t="n">
        <v>96.9722448110924</v>
      </c>
      <c r="D3" t="n">
        <v>210.959681761131</v>
      </c>
      <c r="E3" t="n">
        <v>275.009609680341</v>
      </c>
      <c r="F3" t="n">
        <v>556.835650288556</v>
      </c>
      <c r="G3" t="n">
        <v>189.046157074567</v>
      </c>
      <c r="H3" t="n">
        <v>243.152023581152</v>
      </c>
      <c r="I3" t="n">
        <v>332.679716361833</v>
      </c>
      <c r="J3" t="n">
        <v>8.73281438109054</v>
      </c>
      <c r="K3" t="n">
        <v>26.8345891073005</v>
      </c>
      <c r="L3" t="n">
        <v>33.6769053642767</v>
      </c>
      <c r="M3" t="n">
        <v>17.9055385561361</v>
      </c>
    </row>
    <row r="4">
      <c r="B4" t="s">
        <v>525</v>
      </c>
      <c r="C4" t="n">
        <v>154.314682445261</v>
      </c>
      <c r="D4" t="n">
        <v>333.256004403351</v>
      </c>
      <c r="E4" t="n">
        <v>433.291554893098</v>
      </c>
      <c r="F4" t="n">
        <v>880.540868380786</v>
      </c>
      <c r="G4" t="n">
        <v>303.607097871272</v>
      </c>
      <c r="H4" t="n">
        <v>388.473648851038</v>
      </c>
      <c r="I4" t="n">
        <v>527.925727925769</v>
      </c>
      <c r="J4" t="n">
        <v>13.9555393725139</v>
      </c>
      <c r="K4" t="n">
        <v>42.4002079833364</v>
      </c>
      <c r="L4" t="n">
        <v>53.086003914001</v>
      </c>
      <c r="M4" t="n">
        <v>28.6872848382305</v>
      </c>
    </row>
    <row r="5">
      <c r="B5" t="s">
        <v>526</v>
      </c>
      <c r="C5" t="n">
        <v>218.480630776317</v>
      </c>
      <c r="D5" t="n">
        <v>468.594651145252</v>
      </c>
      <c r="E5" t="n">
        <v>607.733500562218</v>
      </c>
      <c r="F5" t="n">
        <v>1239.33318595783</v>
      </c>
      <c r="G5" t="n">
        <v>433.237057713123</v>
      </c>
      <c r="H5" t="n">
        <v>551.764177276147</v>
      </c>
      <c r="I5" t="n">
        <v>745.76718676781</v>
      </c>
      <c r="J5" t="n">
        <v>19.8359733221467</v>
      </c>
      <c r="K5" t="n">
        <v>59.6316283336251</v>
      </c>
      <c r="L5" t="n">
        <v>74.4933797153227</v>
      </c>
      <c r="M5" t="n">
        <v>40.5989444020474</v>
      </c>
    </row>
    <row r="6">
      <c r="B6" t="s">
        <v>527</v>
      </c>
      <c r="C6" t="n">
        <v>2581.74648873595</v>
      </c>
      <c r="D6" t="n">
        <v>5501.60132993065</v>
      </c>
      <c r="E6" t="n">
        <v>7118.26217431433</v>
      </c>
      <c r="F6" t="n">
        <v>14563.8611902317</v>
      </c>
      <c r="G6" t="n">
        <v>5159.98655329627</v>
      </c>
      <c r="H6" t="n">
        <v>6542.62628151809</v>
      </c>
      <c r="I6" t="n">
        <v>8790.97286659951</v>
      </c>
      <c r="J6" t="n">
        <v>235.254328493377</v>
      </c>
      <c r="K6" t="n">
        <v>700.249861753118</v>
      </c>
      <c r="L6" t="n">
        <v>872.917024477265</v>
      </c>
      <c r="M6" t="n">
        <v>479.564230058918</v>
      </c>
    </row>
    <row r="7">
      <c r="B7" t="s">
        <v>528</v>
      </c>
      <c r="C7" t="n">
        <v>2669.49284327937</v>
      </c>
      <c r="D7" t="n">
        <v>5654.02494802282</v>
      </c>
      <c r="E7" t="n">
        <v>7298.98161904398</v>
      </c>
      <c r="F7" t="n">
        <v>14980.3062709216</v>
      </c>
      <c r="G7" t="n">
        <v>5374.57510033218</v>
      </c>
      <c r="H7" t="n">
        <v>6783.68643754224</v>
      </c>
      <c r="I7" t="n">
        <v>9071.93360902937</v>
      </c>
      <c r="J7" t="n">
        <v>244.078947725623</v>
      </c>
      <c r="K7" t="n">
        <v>719.782987258481</v>
      </c>
      <c r="L7" t="n">
        <v>895.460906880307</v>
      </c>
      <c r="M7" t="n">
        <v>498.800473348694</v>
      </c>
    </row>
    <row r="8">
      <c r="B8" t="s">
        <v>529</v>
      </c>
      <c r="C8" t="n">
        <v>2759.64505428998</v>
      </c>
      <c r="D8" t="n">
        <v>5811.44008634842</v>
      </c>
      <c r="E8" t="n">
        <v>7486.100331077</v>
      </c>
      <c r="F8" t="n">
        <v>15410.0227020941</v>
      </c>
      <c r="G8" t="n">
        <v>5590.99856956322</v>
      </c>
      <c r="H8" t="n">
        <v>7034.03842383038</v>
      </c>
      <c r="I8" t="n">
        <v>9357.89481252034</v>
      </c>
      <c r="J8" t="n">
        <v>253.125963440556</v>
      </c>
      <c r="K8" t="n">
        <v>739.952343041702</v>
      </c>
      <c r="L8" t="n">
        <v>918.790996638567</v>
      </c>
      <c r="M8" t="n">
        <v>515.371376523984</v>
      </c>
    </row>
    <row r="9">
      <c r="B9" t="s">
        <v>530</v>
      </c>
      <c r="C9" t="n">
        <v>2849.73305015786</v>
      </c>
      <c r="D9" t="n">
        <v>5968.60042789545</v>
      </c>
      <c r="E9" t="n">
        <v>7672.83309727001</v>
      </c>
      <c r="F9" t="n">
        <v>15839.1088538976</v>
      </c>
      <c r="G9" t="n">
        <v>5810.54545610009</v>
      </c>
      <c r="H9" t="n">
        <v>7281.17354676624</v>
      </c>
      <c r="I9" t="n">
        <v>9643.56547964484</v>
      </c>
      <c r="J9" t="n">
        <v>262.169956828794</v>
      </c>
      <c r="K9" t="n">
        <v>760.089721538734</v>
      </c>
      <c r="L9" t="n">
        <v>942.075061762215</v>
      </c>
      <c r="M9" t="n">
        <v>531.929309389884</v>
      </c>
    </row>
    <row r="10">
      <c r="B10" t="s">
        <v>531</v>
      </c>
      <c r="C10" t="n">
        <v>2939.68989137909</v>
      </c>
      <c r="D10" t="n">
        <v>6125.37904175452</v>
      </c>
      <c r="E10" t="n">
        <v>7859.02631924692</v>
      </c>
      <c r="F10" t="n">
        <v>16267.2228234412</v>
      </c>
      <c r="G10" t="n">
        <v>6029.94667366047</v>
      </c>
      <c r="H10" t="n">
        <v>7531.16520624018</v>
      </c>
      <c r="I10" t="n">
        <v>9931.86123120063</v>
      </c>
      <c r="J10" t="n">
        <v>271.204451314759</v>
      </c>
      <c r="K10" t="n">
        <v>780.178906434851</v>
      </c>
      <c r="L10" t="n">
        <v>965.293708307978</v>
      </c>
      <c r="M10" t="n">
        <v>551.595953515718</v>
      </c>
    </row>
    <row r="11">
      <c r="B11" t="s">
        <v>532</v>
      </c>
      <c r="C11" t="n">
        <v>3051.98891002908</v>
      </c>
      <c r="D11" t="n">
        <v>6308.35503402594</v>
      </c>
      <c r="E11" t="n">
        <v>8071.34312680262</v>
      </c>
      <c r="F11" t="n">
        <v>16774.2392775274</v>
      </c>
      <c r="G11" t="n">
        <v>6283.79737634735</v>
      </c>
      <c r="H11" t="n">
        <v>7815.51222133112</v>
      </c>
      <c r="I11" t="n">
        <v>10263.7449653626</v>
      </c>
      <c r="J11" t="n">
        <v>282.302405927318</v>
      </c>
      <c r="K11" t="n">
        <v>802.580247801277</v>
      </c>
      <c r="L11" t="n">
        <v>990.634954070865</v>
      </c>
      <c r="M11" t="n">
        <v>571.254306940668</v>
      </c>
    </row>
    <row r="12">
      <c r="B12" t="s">
        <v>533</v>
      </c>
      <c r="C12" t="n">
        <v>3165.05557729857</v>
      </c>
      <c r="D12" t="n">
        <v>6492.76365595761</v>
      </c>
      <c r="E12" t="n">
        <v>8285.42774939819</v>
      </c>
      <c r="F12" t="n">
        <v>17285.132502171</v>
      </c>
      <c r="G12" t="n">
        <v>6536.15568131281</v>
      </c>
      <c r="H12" t="n">
        <v>8104.95880058895</v>
      </c>
      <c r="I12" t="n">
        <v>10594.9228696605</v>
      </c>
      <c r="J12" t="n">
        <v>293.473594101545</v>
      </c>
      <c r="K12" t="n">
        <v>825.161103382395</v>
      </c>
      <c r="L12" t="n">
        <v>1016.19053714963</v>
      </c>
      <c r="M12" t="n">
        <v>591.052077001832</v>
      </c>
    </row>
    <row r="13">
      <c r="B13" t="s">
        <v>534</v>
      </c>
      <c r="C13" t="n">
        <v>3279.62463202194</v>
      </c>
      <c r="D13" t="n">
        <v>6680.08203304371</v>
      </c>
      <c r="E13" t="n">
        <v>8503.14856166772</v>
      </c>
      <c r="F13" t="n">
        <v>17803.841280743</v>
      </c>
      <c r="G13" t="n">
        <v>6794.83504699453</v>
      </c>
      <c r="H13" t="n">
        <v>8398.25231121345</v>
      </c>
      <c r="I13" t="n">
        <v>10934.1086917561</v>
      </c>
      <c r="J13" t="n">
        <v>304.786578421612</v>
      </c>
      <c r="K13" t="n">
        <v>848.108658181189</v>
      </c>
      <c r="L13" t="n">
        <v>1042.18954988251</v>
      </c>
      <c r="M13" t="n">
        <v>611.125637050041</v>
      </c>
    </row>
    <row r="14">
      <c r="B14" t="s">
        <v>535</v>
      </c>
      <c r="C14" t="n">
        <v>3394.66845457752</v>
      </c>
      <c r="D14" t="n">
        <v>6868.18410431792</v>
      </c>
      <c r="E14" t="n">
        <v>8721.78444507848</v>
      </c>
      <c r="F14" t="n">
        <v>18324.7194384378</v>
      </c>
      <c r="G14" t="n">
        <v>7054.5829138915</v>
      </c>
      <c r="H14" t="n">
        <v>8692.76122812402</v>
      </c>
      <c r="I14" t="n">
        <v>11274.7070104789</v>
      </c>
      <c r="J14" t="n">
        <v>316.146335301645</v>
      </c>
      <c r="K14" t="n">
        <v>871.152388318539</v>
      </c>
      <c r="L14" t="n">
        <v>1068.29798692523</v>
      </c>
      <c r="M14" t="n">
        <v>631.282587372841</v>
      </c>
    </row>
    <row r="15">
      <c r="B15" t="s">
        <v>536</v>
      </c>
      <c r="C15" t="n">
        <v>3510.7712571018</v>
      </c>
      <c r="D15" t="n">
        <v>7058.24264289103</v>
      </c>
      <c r="E15" t="n">
        <v>8942.82050603832</v>
      </c>
      <c r="F15" t="n">
        <v>18850.8936209651</v>
      </c>
      <c r="G15" t="n">
        <v>7316.6176223074</v>
      </c>
      <c r="H15" t="n">
        <v>8989.98153160295</v>
      </c>
      <c r="I15" t="n">
        <v>11618.6496008366</v>
      </c>
      <c r="J15" t="n">
        <v>327.607405884042</v>
      </c>
      <c r="K15" t="n">
        <v>894.440878698969</v>
      </c>
      <c r="L15" t="n">
        <v>1094.69761464415</v>
      </c>
      <c r="M15" t="n">
        <v>651.631314394866</v>
      </c>
    </row>
    <row r="17" ht="15" customHeight="1"/>
    <row r="18" ht="15" customHeight="1">
      <c r="B18" s="55" t="str">
        <f>B2</f>
        <v>year</v>
      </c>
      <c r="C18" s="55" t="str">
        <f t="shared" ref="C18:I18" si="0">C2</f>
        <v>5.0%_CH4_undisc</v>
      </c>
      <c r="D18" s="55" t="str">
        <f t="shared" si="0"/>
        <v>3.0%_CH4_undisc</v>
      </c>
      <c r="E18" s="55" t="str">
        <f t="shared" si="0"/>
        <v>2.5%_CH4_undisc</v>
      </c>
      <c r="F18" s="55" t="str">
        <f t="shared" si="0"/>
        <v>3% 95th Pct._CH4_undisc</v>
      </c>
      <c r="G18" s="55" t="str">
        <f t="shared" si="0"/>
        <v>2.5%_NCEE_CH4_undisc</v>
      </c>
      <c r="H18" s="55" t="str">
        <f t="shared" si="0"/>
        <v>2.0%_NCEE_CH4_undisc</v>
      </c>
      <c r="I18" s="55" t="str">
        <f t="shared" si="0"/>
        <v>1.5%_NCEE_CH4_undisc</v>
      </c>
    </row>
    <row r="19">
      <c r="B19" s="4" t="str">
        <f t="shared" ref="B19:I30" si="1">B3</f>
        <v>2023</v>
      </c>
      <c r="C19" s="23" t="n">
        <f t="shared" si="1"/>
        <v>96.972244811092395</v>
      </c>
      <c r="D19" s="23" t="n">
        <f t="shared" si="1"/>
        <v>210.95968176113101</v>
      </c>
      <c r="E19" s="23" t="n">
        <f t="shared" si="1"/>
        <v>275.00960968034099</v>
      </c>
      <c r="F19" s="23" t="n">
        <f t="shared" si="1"/>
        <v>556.83565028855605</v>
      </c>
      <c r="G19" s="23" t="n">
        <f t="shared" si="1"/>
        <v>189.04615707456699</v>
      </c>
      <c r="H19" s="23" t="n">
        <f t="shared" si="1"/>
        <v>243.15202358115201</v>
      </c>
      <c r="I19" s="23" t="n">
        <f t="shared" si="1"/>
        <v>332.67971636183302</v>
      </c>
    </row>
    <row r="20">
      <c r="B20" s="4" t="str">
        <f t="shared" si="1"/>
        <v>2024</v>
      </c>
      <c r="C20" s="23" t="n">
        <f t="shared" si="1"/>
        <v>154.31468244526101</v>
      </c>
      <c r="D20" s="23" t="n">
        <f t="shared" si="1"/>
        <v>333.25600440335103</v>
      </c>
      <c r="E20" s="23" t="n">
        <f t="shared" si="1"/>
        <v>433.29155489309801</v>
      </c>
      <c r="F20" s="23" t="n">
        <f t="shared" si="1"/>
        <v>880.54086838078604</v>
      </c>
      <c r="G20" s="23" t="n">
        <f t="shared" si="1"/>
        <v>303.607097871272</v>
      </c>
      <c r="H20" s="23" t="n">
        <f t="shared" si="1"/>
        <v>388.47364885103798</v>
      </c>
      <c r="I20" s="23" t="n">
        <f t="shared" si="1"/>
        <v>527.92572792576902</v>
      </c>
    </row>
    <row r="21">
      <c r="B21" s="4" t="str">
        <f t="shared" si="1"/>
        <v>2025</v>
      </c>
      <c r="C21" s="23" t="n">
        <f t="shared" si="1"/>
        <v>218.48063077631701</v>
      </c>
      <c r="D21" s="23" t="n">
        <f t="shared" si="1"/>
        <v>468.59465114525199</v>
      </c>
      <c r="E21" s="23" t="n">
        <f t="shared" si="1"/>
        <v>607.73350056221796</v>
      </c>
      <c r="F21" s="23" t="n">
        <f t="shared" si="1"/>
        <v>1239.33318595783</v>
      </c>
      <c r="G21" s="23" t="n">
        <f t="shared" si="1"/>
        <v>433.23705771312302</v>
      </c>
      <c r="H21" s="23" t="n">
        <f t="shared" si="1"/>
        <v>551.76417727614705</v>
      </c>
      <c r="I21" s="23" t="n">
        <f t="shared" si="1"/>
        <v>745.76718676781002</v>
      </c>
    </row>
    <row r="22">
      <c r="B22" s="4" t="str">
        <f t="shared" si="1"/>
        <v>2026</v>
      </c>
      <c r="C22" s="23" t="n">
        <f t="shared" si="1"/>
        <v>2581.7464887359502</v>
      </c>
      <c r="D22" s="23" t="n">
        <f t="shared" si="1"/>
        <v>5501.6013299306496</v>
      </c>
      <c r="E22" s="23" t="n">
        <f t="shared" si="1"/>
        <v>7118.26217431433</v>
      </c>
      <c r="F22" s="23" t="n">
        <f t="shared" si="1"/>
        <v>14563.861190231701</v>
      </c>
      <c r="G22" s="23" t="n">
        <f t="shared" si="1"/>
        <v>5159.9865532962704</v>
      </c>
      <c r="H22" s="23" t="n">
        <f t="shared" si="1"/>
        <v>6542.6262815180899</v>
      </c>
      <c r="I22" s="23" t="n">
        <f t="shared" si="1"/>
        <v>8790.9728665995099</v>
      </c>
    </row>
    <row r="23">
      <c r="B23" s="4" t="str">
        <f t="shared" si="1"/>
        <v>2027</v>
      </c>
      <c r="C23" s="23" t="n">
        <f t="shared" si="1"/>
        <v>2669.4928432793699</v>
      </c>
      <c r="D23" s="23" t="n">
        <f t="shared" si="1"/>
        <v>5654.0249480228204</v>
      </c>
      <c r="E23" s="23" t="n">
        <f t="shared" si="1"/>
        <v>7298.9816190439797</v>
      </c>
      <c r="F23" s="23" t="n">
        <f t="shared" si="1"/>
        <v>14980.306270921599</v>
      </c>
      <c r="G23" s="23" t="n">
        <f t="shared" si="1"/>
        <v>5374.5751003321802</v>
      </c>
      <c r="H23" s="23" t="n">
        <f t="shared" si="1"/>
        <v>6783.6864375422401</v>
      </c>
      <c r="I23" s="23" t="n">
        <f t="shared" si="1"/>
        <v>9071.9336090293691</v>
      </c>
    </row>
    <row r="24">
      <c r="B24" s="4" t="str">
        <f t="shared" si="1"/>
        <v>2028</v>
      </c>
      <c r="C24" s="23" t="n">
        <f t="shared" si="1"/>
        <v>2759.6450542899802</v>
      </c>
      <c r="D24" s="23" t="n">
        <f t="shared" si="1"/>
        <v>5811.4400863484198</v>
      </c>
      <c r="E24" s="23" t="n">
        <f t="shared" si="1"/>
        <v>7486.1003310770002</v>
      </c>
      <c r="F24" s="23" t="n">
        <f t="shared" si="1"/>
        <v>15410.0227020941</v>
      </c>
      <c r="G24" s="23" t="n">
        <f t="shared" si="1"/>
        <v>5590.9985695632204</v>
      </c>
      <c r="H24" s="23" t="n">
        <f t="shared" si="1"/>
        <v>7034.0384238303805</v>
      </c>
      <c r="I24" s="23" t="n">
        <f t="shared" si="1"/>
        <v>9357.8948125203406</v>
      </c>
    </row>
    <row r="25">
      <c r="B25" s="4" t="str">
        <f t="shared" si="1"/>
        <v>2029</v>
      </c>
      <c r="C25" s="23" t="n">
        <f t="shared" si="1"/>
        <v>2849.7330501578599</v>
      </c>
      <c r="D25" s="23" t="n">
        <f t="shared" si="1"/>
        <v>5968.6004278954497</v>
      </c>
      <c r="E25" s="23" t="n">
        <f t="shared" si="1"/>
        <v>7672.8330972700096</v>
      </c>
      <c r="F25" s="23" t="n">
        <f t="shared" si="1"/>
        <v>15839.1088538976</v>
      </c>
      <c r="G25" s="23" t="n">
        <f t="shared" si="1"/>
        <v>5810.5454561000897</v>
      </c>
      <c r="H25" s="23" t="n">
        <f t="shared" si="1"/>
        <v>7281.1735467662402</v>
      </c>
      <c r="I25" s="23" t="n">
        <f t="shared" si="1"/>
        <v>9643.5654796448398</v>
      </c>
    </row>
    <row r="26">
      <c r="B26" s="4" t="str">
        <f t="shared" si="1"/>
        <v>2030</v>
      </c>
      <c r="C26" s="23" t="n">
        <f t="shared" si="1"/>
        <v>2939.6898913790901</v>
      </c>
      <c r="D26" s="23" t="n">
        <f t="shared" si="1"/>
        <v>6125.3790417545197</v>
      </c>
      <c r="E26" s="23" t="n">
        <f t="shared" si="1"/>
        <v>7859.0263192469201</v>
      </c>
      <c r="F26" s="23" t="n">
        <f t="shared" si="1"/>
        <v>16267.2228234412</v>
      </c>
      <c r="G26" s="23" t="n">
        <f t="shared" si="1"/>
        <v>6029.94667366047</v>
      </c>
      <c r="H26" s="23" t="n">
        <f t="shared" si="1"/>
        <v>7531.1652062401799</v>
      </c>
      <c r="I26" s="23" t="n">
        <f t="shared" si="1"/>
        <v>9931.8612312006298</v>
      </c>
    </row>
    <row r="27">
      <c r="B27" s="4" t="str">
        <f t="shared" si="1"/>
        <v>2031</v>
      </c>
      <c r="C27" s="23" t="n">
        <f t="shared" si="1"/>
        <v>3051.9889100290802</v>
      </c>
      <c r="D27" s="23" t="n">
        <f t="shared" si="1"/>
        <v>6308.3550340259399</v>
      </c>
      <c r="E27" s="23" t="n">
        <f t="shared" si="1"/>
        <v>8071.3431268026197</v>
      </c>
      <c r="F27" s="23" t="n">
        <f t="shared" si="1"/>
        <v>16774.239277527398</v>
      </c>
      <c r="G27" s="23" t="n">
        <f t="shared" si="1"/>
        <v>6283.7973763473501</v>
      </c>
      <c r="H27" s="23" t="n">
        <f t="shared" si="1"/>
        <v>7815.5122213311197</v>
      </c>
      <c r="I27" s="23" t="n">
        <f t="shared" si="1"/>
        <v>10263.744965362601</v>
      </c>
    </row>
    <row r="28">
      <c r="B28" s="4" t="str">
        <f t="shared" si="1"/>
        <v>2032</v>
      </c>
      <c r="C28" s="23" t="n">
        <f t="shared" si="1"/>
        <v>3165.0555772985699</v>
      </c>
      <c r="D28" s="23" t="n">
        <f t="shared" si="1"/>
        <v>6492.7636559576104</v>
      </c>
      <c r="E28" s="23" t="n">
        <f t="shared" si="1"/>
        <v>8285.4277493981899</v>
      </c>
      <c r="F28" s="23" t="n">
        <f t="shared" si="1"/>
        <v>17285.132502171</v>
      </c>
      <c r="G28" s="23" t="n">
        <f t="shared" si="1"/>
        <v>6536.15568131281</v>
      </c>
      <c r="H28" s="23" t="n">
        <f t="shared" si="1"/>
        <v>8104.95880058895</v>
      </c>
      <c r="I28" s="23" t="n">
        <f t="shared" si="1"/>
        <v>10594.922869660501</v>
      </c>
    </row>
    <row r="29">
      <c r="B29" s="4" t="str">
        <f t="shared" si="1"/>
        <v>2033</v>
      </c>
      <c r="C29" s="23" t="n">
        <f t="shared" si="1"/>
        <v>3279.6246320219402</v>
      </c>
      <c r="D29" s="23" t="n">
        <f t="shared" si="1"/>
        <v>6680.08203304371</v>
      </c>
      <c r="E29" s="23" t="n">
        <f t="shared" si="1"/>
        <v>8503.1485616677201</v>
      </c>
      <c r="F29" s="23" t="n">
        <f t="shared" si="1"/>
        <v>17803.841280743</v>
      </c>
      <c r="G29" s="23" t="n">
        <f t="shared" si="1"/>
        <v>6794.8350469945299</v>
      </c>
      <c r="H29" s="23" t="n">
        <f t="shared" si="1"/>
        <v>8398.2523112134495</v>
      </c>
      <c r="I29" s="23" t="n">
        <f t="shared" si="1"/>
        <v>10934.108691756101</v>
      </c>
    </row>
    <row r="30">
      <c r="B30" s="4" t="str">
        <f t="shared" si="1"/>
        <v>2034</v>
      </c>
      <c r="C30" s="23" t="n">
        <f t="shared" si="1"/>
        <v>3394.6684545775202</v>
      </c>
      <c r="D30" s="23" t="n">
        <f t="shared" si="1"/>
        <v>6868.1841043179202</v>
      </c>
      <c r="E30" s="23" t="n">
        <f t="shared" si="1"/>
        <v>8721.7844450784796</v>
      </c>
      <c r="F30" s="23" t="n">
        <f t="shared" si="1"/>
        <v>18324.719438437802</v>
      </c>
      <c r="G30" s="23" t="n">
        <f t="shared" si="1"/>
        <v>7054.5829138914996</v>
      </c>
      <c r="H30" s="23" t="n">
        <f t="shared" si="1"/>
        <v>8692.7612281240199</v>
      </c>
      <c r="I30" s="23" t="n">
        <f t="shared" si="1"/>
        <v>11274.7070104789</v>
      </c>
    </row>
    <row r="31">
      <c r="B31" s="54" t="str">
        <f>B15</f>
        <v>2035</v>
      </c>
      <c r="C31" s="170" t="n">
        <f t="shared" ref="C31:I31" si="2">C15</f>
        <v>3510.7712571018001</v>
      </c>
      <c r="D31" s="170" t="n">
        <f t="shared" si="2"/>
        <v>7058.2426428910303</v>
      </c>
      <c r="E31" s="170" t="n">
        <f t="shared" si="2"/>
        <v>8942.8205060383207</v>
      </c>
      <c r="F31" s="170" t="n">
        <f t="shared" si="2"/>
        <v>18850.8936209651</v>
      </c>
      <c r="G31" s="170" t="n">
        <f t="shared" si="2"/>
        <v>7316.6176223073999</v>
      </c>
      <c r="H31" s="170" t="n">
        <f t="shared" si="2"/>
        <v>8989.9815316029508</v>
      </c>
      <c r="I31" s="170" t="n">
        <f t="shared" si="2"/>
        <v>11618.649600836599</v>
      </c>
    </row>
  </sheetData>
  <pageMargins left="0.7" right="0.7" top="0.75" bottom="0.75" header="0.3" footer="0.3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2" max="2" width="5" hidden="0" customWidth="1"/>
    <col min="3" max="3" width="13.7109375" hidden="0" customWidth="1"/>
    <col min="4" max="4" width="13.7109375" hidden="0" customWidth="1"/>
    <col min="5" max="5" width="13.7109375" hidden="0" customWidth="1"/>
    <col min="6" max="6" width="20.140625" hidden="0" customWidth="1"/>
    <col min="7" max="7" width="19.7109375" hidden="0" customWidth="1"/>
    <col min="8" max="8" width="19.7109375" hidden="0" customWidth="1"/>
    <col min="9" max="9" width="19.7109375" hidden="0" customWidth="1"/>
  </cols>
  <sheetData>
    <row r="2">
      <c r="B2" t="s">
        <v>481</v>
      </c>
      <c r="C2" t="s">
        <v>565</v>
      </c>
      <c r="D2" t="s">
        <v>566</v>
      </c>
      <c r="E2" t="s">
        <v>567</v>
      </c>
      <c r="F2" t="s">
        <v>568</v>
      </c>
      <c r="G2" t="s">
        <v>569</v>
      </c>
      <c r="H2" t="s">
        <v>570</v>
      </c>
      <c r="I2" t="s">
        <v>571</v>
      </c>
      <c r="J2" t="s">
        <v>572</v>
      </c>
      <c r="K2" t="s">
        <v>573</v>
      </c>
      <c r="L2" t="s">
        <v>574</v>
      </c>
      <c r="M2" t="s">
        <v>575</v>
      </c>
    </row>
    <row r="3">
      <c r="B3" t="s">
        <v>486</v>
      </c>
      <c r="C3" t="n">
        <v>87.9566846359115</v>
      </c>
      <c r="D3" t="n">
        <v>198.849733020201</v>
      </c>
      <c r="E3" t="n">
        <v>261.758105585096</v>
      </c>
      <c r="F3" t="n">
        <v>524.871006021827</v>
      </c>
      <c r="G3" t="n">
        <v>179.936853848487</v>
      </c>
      <c r="H3" t="n">
        <v>233.710134161046</v>
      </c>
      <c r="I3" t="n">
        <v>322.919475223211</v>
      </c>
      <c r="J3" t="n">
        <v>25.2941739158267</v>
      </c>
      <c r="K3" t="n">
        <v>7.62757828726574</v>
      </c>
      <c r="L3" t="n">
        <v>32.0541633449392</v>
      </c>
      <c r="M3" t="n">
        <v>17.0427493693145</v>
      </c>
    </row>
    <row r="4">
      <c r="B4" t="s">
        <v>525</v>
      </c>
      <c r="C4" t="n">
        <v>133.302824701661</v>
      </c>
      <c r="D4" t="n">
        <v>304.976452859087</v>
      </c>
      <c r="E4" t="n">
        <v>402.354282630233</v>
      </c>
      <c r="F4" t="n">
        <v>805.819631418265</v>
      </c>
      <c r="G4" t="n">
        <v>281.929372234318</v>
      </c>
      <c r="H4" t="n">
        <v>366.067395695319</v>
      </c>
      <c r="I4" t="n">
        <v>504.864345048514</v>
      </c>
      <c r="J4" t="n">
        <v>38.8021966907895</v>
      </c>
      <c r="K4" t="n">
        <v>11.3918771606498</v>
      </c>
      <c r="L4" t="n">
        <v>49.2956319626248</v>
      </c>
      <c r="M4" t="n">
        <v>26.6389958016679</v>
      </c>
    </row>
    <row r="5">
      <c r="B5" t="s">
        <v>526</v>
      </c>
      <c r="C5" t="n">
        <v>179.744555633768</v>
      </c>
      <c r="D5" t="n">
        <v>416.340278265127</v>
      </c>
      <c r="E5" t="n">
        <v>550.576556700754</v>
      </c>
      <c r="F5" t="n">
        <v>1101.13148377562</v>
      </c>
      <c r="G5" t="n">
        <v>392.491391786353</v>
      </c>
      <c r="H5" t="n">
        <v>509.744811421851</v>
      </c>
      <c r="I5" t="n">
        <v>702.650082837925</v>
      </c>
      <c r="J5" t="n">
        <v>52.9819294205481</v>
      </c>
      <c r="K5" t="n">
        <v>15.1327690737682</v>
      </c>
      <c r="L5" t="n">
        <v>67.4873253864096</v>
      </c>
      <c r="M5" t="n">
        <v>36.7806398592242</v>
      </c>
    </row>
    <row r="6">
      <c r="B6" t="s">
        <v>527</v>
      </c>
      <c r="C6" t="n">
        <v>2022.86592911268</v>
      </c>
      <c r="D6" t="n">
        <v>4745.72963537777</v>
      </c>
      <c r="E6" t="n">
        <v>6291.50654309636</v>
      </c>
      <c r="F6" t="n">
        <v>12562.9145972455</v>
      </c>
      <c r="G6" t="n">
        <v>4560.67623913837</v>
      </c>
      <c r="H6" t="n">
        <v>5925.85820037387</v>
      </c>
      <c r="I6" t="n">
        <v>8160.31133378181</v>
      </c>
      <c r="J6" t="n">
        <v>604.041682012036</v>
      </c>
      <c r="K6" t="n">
        <v>167.733084879489</v>
      </c>
      <c r="L6" t="n">
        <v>771.531454811572</v>
      </c>
      <c r="M6" t="n">
        <v>423.864900921731</v>
      </c>
    </row>
    <row r="7">
      <c r="B7" t="s">
        <v>528</v>
      </c>
      <c r="C7" t="n">
        <v>1992.01666086636</v>
      </c>
      <c r="D7" t="n">
        <v>4735.15688086573</v>
      </c>
      <c r="E7" t="n">
        <v>6293.88897480496</v>
      </c>
      <c r="F7" t="n">
        <v>12545.7706621962</v>
      </c>
      <c r="G7" t="n">
        <v>4634.4792648858</v>
      </c>
      <c r="H7" t="n">
        <v>6023.7194222621</v>
      </c>
      <c r="I7" t="n">
        <v>8296.66605317829</v>
      </c>
      <c r="J7" t="n">
        <v>602.806920057709</v>
      </c>
      <c r="K7" t="n">
        <v>162.640108814286</v>
      </c>
      <c r="L7" t="n">
        <v>772.15313359304</v>
      </c>
      <c r="M7" t="n">
        <v>430.114084908195</v>
      </c>
    </row>
    <row r="8">
      <c r="B8" t="s">
        <v>529</v>
      </c>
      <c r="C8" t="n">
        <v>1961.22821786982</v>
      </c>
      <c r="D8" t="n">
        <v>4725.23260289038</v>
      </c>
      <c r="E8" t="n">
        <v>6297.79595488156</v>
      </c>
      <c r="F8" t="n">
        <v>12529.7586486811</v>
      </c>
      <c r="G8" t="n">
        <v>4703.51272597467</v>
      </c>
      <c r="H8" t="n">
        <v>6123.55374662691</v>
      </c>
      <c r="I8" t="n">
        <v>8431.71393024037</v>
      </c>
      <c r="J8" t="n">
        <v>601.648968925833</v>
      </c>
      <c r="K8" t="n">
        <v>157.634128396895</v>
      </c>
      <c r="L8" t="n">
        <v>772.946923779673</v>
      </c>
      <c r="M8" t="n">
        <v>433.564022226715</v>
      </c>
    </row>
    <row r="9">
      <c r="B9" t="s">
        <v>530</v>
      </c>
      <c r="C9" t="n">
        <v>1928.81149962091</v>
      </c>
      <c r="D9" t="n">
        <v>4711.66829371077</v>
      </c>
      <c r="E9" t="n">
        <v>6297.45145300556</v>
      </c>
      <c r="F9" t="n">
        <v>12503.5387925704</v>
      </c>
      <c r="G9" t="n">
        <v>4768.98525764774</v>
      </c>
      <c r="H9" t="n">
        <v>6214.41151312914</v>
      </c>
      <c r="I9" t="n">
        <v>8560.70034938393</v>
      </c>
      <c r="J9" t="n">
        <v>600.021845089784</v>
      </c>
      <c r="K9" t="n">
        <v>152.585301817781</v>
      </c>
      <c r="L9" t="n">
        <v>773.20487638987</v>
      </c>
      <c r="M9" t="n">
        <v>436.579156596724</v>
      </c>
    </row>
    <row r="10">
      <c r="B10" t="s">
        <v>531</v>
      </c>
      <c r="C10" t="n">
        <v>1894.95031489829</v>
      </c>
      <c r="D10" t="n">
        <v>4694.59298954763</v>
      </c>
      <c r="E10" t="n">
        <v>6292.94526970902</v>
      </c>
      <c r="F10" t="n">
        <v>12467.4717606475</v>
      </c>
      <c r="G10" t="n">
        <v>4828.34932155379</v>
      </c>
      <c r="H10" t="n">
        <v>6301.74214447841</v>
      </c>
      <c r="I10" t="n">
        <v>8686.3287635316</v>
      </c>
      <c r="J10" t="n">
        <v>597.942168113223</v>
      </c>
      <c r="K10" t="n">
        <v>147.517252209117</v>
      </c>
      <c r="L10" t="n">
        <v>772.938049679245</v>
      </c>
      <c r="M10" t="n">
        <v>441.678524216979</v>
      </c>
    </row>
    <row r="11">
      <c r="B11" t="s">
        <v>532</v>
      </c>
      <c r="C11" t="n">
        <v>1873.65644152627</v>
      </c>
      <c r="D11" t="n">
        <v>4694.00859382683</v>
      </c>
      <c r="E11" t="n">
        <v>6305.32035043814</v>
      </c>
      <c r="F11" t="n">
        <v>12481.6093734298</v>
      </c>
      <c r="G11" t="n">
        <v>4908.89246717087</v>
      </c>
      <c r="H11" t="n">
        <v>6411.44216342248</v>
      </c>
      <c r="I11" t="n">
        <v>8843.93271140646</v>
      </c>
      <c r="J11" t="n">
        <v>597.195078605236</v>
      </c>
      <c r="K11" t="n">
        <v>143.50822822108</v>
      </c>
      <c r="L11" t="n">
        <v>773.882442813799</v>
      </c>
      <c r="M11" t="n">
        <v>446.262951560988</v>
      </c>
    </row>
    <row r="12">
      <c r="B12" t="s">
        <v>533</v>
      </c>
      <c r="C12" t="n">
        <v>1850.54244485399</v>
      </c>
      <c r="D12" t="n">
        <v>4690.51060899094</v>
      </c>
      <c r="E12" t="n">
        <v>6314.6955272623</v>
      </c>
      <c r="F12" t="n">
        <v>12487.1474883971</v>
      </c>
      <c r="G12" t="n">
        <v>4981.49694797278</v>
      </c>
      <c r="H12" t="n">
        <v>6518.51879668757</v>
      </c>
      <c r="I12" t="n">
        <v>8994.38212749796</v>
      </c>
      <c r="J12" t="n">
        <v>596.113937705153</v>
      </c>
      <c r="K12" t="n">
        <v>139.427190487619</v>
      </c>
      <c r="L12" t="n">
        <v>774.484315580587</v>
      </c>
      <c r="M12" t="n">
        <v>450.467256478539</v>
      </c>
    </row>
    <row r="13">
      <c r="B13" t="s">
        <v>534</v>
      </c>
      <c r="C13" t="n">
        <v>1826.21771268663</v>
      </c>
      <c r="D13" t="n">
        <v>4685.27513601543</v>
      </c>
      <c r="E13" t="n">
        <v>6322.56615444259</v>
      </c>
      <c r="F13" t="n">
        <v>12487.2560644622</v>
      </c>
      <c r="G13" t="n">
        <v>5052.3395871049</v>
      </c>
      <c r="H13" t="n">
        <v>6621.96463420468</v>
      </c>
      <c r="I13" t="n">
        <v>9145.15097942196</v>
      </c>
      <c r="J13" t="n">
        <v>594.846349065745</v>
      </c>
      <c r="K13" t="n">
        <v>135.32888583526</v>
      </c>
      <c r="L13" t="n">
        <v>774.926173147862</v>
      </c>
      <c r="M13" t="n">
        <v>454.406063930621</v>
      </c>
    </row>
    <row r="14">
      <c r="B14" t="s">
        <v>535</v>
      </c>
      <c r="C14" t="n">
        <v>1800.26515982453</v>
      </c>
      <c r="D14" t="n">
        <v>4676.89916915513</v>
      </c>
      <c r="E14" t="n">
        <v>6326.9601485217</v>
      </c>
      <c r="F14" t="n">
        <v>12478.2422566033</v>
      </c>
      <c r="G14" t="n">
        <v>5117.53818747717</v>
      </c>
      <c r="H14" t="n">
        <v>6719.78716209471</v>
      </c>
      <c r="I14" t="n">
        <v>9290.66318139943</v>
      </c>
      <c r="J14" t="n">
        <v>593.212386163766</v>
      </c>
      <c r="K14" t="n">
        <v>131.189489480432</v>
      </c>
      <c r="L14" t="n">
        <v>774.96512698567</v>
      </c>
      <c r="M14" t="n">
        <v>457.94525167581</v>
      </c>
    </row>
    <row r="15">
      <c r="B15" t="s">
        <v>536</v>
      </c>
      <c r="C15" t="n">
        <v>1773.17805225991</v>
      </c>
      <c r="D15" t="n">
        <v>4666.32988900353</v>
      </c>
      <c r="E15" t="n">
        <v>6329.07727892318</v>
      </c>
      <c r="F15" t="n">
        <v>12462.6614284126</v>
      </c>
      <c r="G15" t="n">
        <v>5178.16927228353</v>
      </c>
      <c r="H15" t="n">
        <v>6813.28247431185</v>
      </c>
      <c r="I15" t="n">
        <v>9432.59228377268</v>
      </c>
      <c r="J15" t="n">
        <v>591.33079115994</v>
      </c>
      <c r="K15" t="n">
        <v>127.051800286792</v>
      </c>
      <c r="L15" t="n">
        <v>774.74727301722</v>
      </c>
      <c r="M15" t="n">
        <v>461.177202806056</v>
      </c>
    </row>
    <row r="16">
      <c r="B16" t="s">
        <v>550</v>
      </c>
      <c r="C16" t="n">
        <v>19324.7364984907</v>
      </c>
      <c r="D16" t="n">
        <v>47945.5702635286</v>
      </c>
      <c r="E16" t="n">
        <v>64286.8966000014</v>
      </c>
      <c r="F16" t="n">
        <v>127438.193193861</v>
      </c>
      <c r="G16" t="n">
        <v>49588.7968890788</v>
      </c>
      <c r="H16" t="n">
        <v>64783.8025988699</v>
      </c>
      <c r="I16" t="n">
        <v>89372.8756167241</v>
      </c>
      <c r="J16" t="n">
        <v>6096.23842692559</v>
      </c>
      <c r="K16" t="n">
        <v>1498.76769495043</v>
      </c>
      <c r="L16" t="n">
        <v>7884.61689049251</v>
      </c>
      <c r="M16" t="n">
        <v>4516.52180035257</v>
      </c>
    </row>
    <row r="17">
      <c r="B17" t="s">
        <v>551</v>
      </c>
      <c r="C17" t="n">
        <v>2057.22961061154</v>
      </c>
      <c r="D17" t="n">
        <v>4508.30010655772</v>
      </c>
      <c r="E17" t="n">
        <v>5853.21077202214</v>
      </c>
      <c r="F17" t="n">
        <v>11982.9551885098</v>
      </c>
      <c r="G17" t="n">
        <v>4514.97420895517</v>
      </c>
      <c r="H17" t="n">
        <v>5708.64196482075</v>
      </c>
      <c r="I17" t="n">
        <v>7618.17586255171</v>
      </c>
      <c r="J17" t="n">
        <v>573.226519126759</v>
      </c>
      <c r="K17" t="n">
        <v>179.328825860043</v>
      </c>
      <c r="L17" t="n">
        <v>717.880733983004</v>
      </c>
      <c r="M17" t="n">
        <v>397.98846085287</v>
      </c>
    </row>
    <row r="19" ht="15" customHeight="1"/>
    <row r="20" ht="15" customHeight="1">
      <c r="B20" s="55" t="str">
        <f>B2</f>
        <v>year</v>
      </c>
      <c r="C20" s="55" t="str">
        <f t="shared" ref="C20:I20" si="0">C2</f>
        <v>5.0%_CH4_disc</v>
      </c>
      <c r="D20" s="55" t="str">
        <f t="shared" si="0"/>
        <v>3.0%_CH4_disc</v>
      </c>
      <c r="E20" s="55" t="str">
        <f t="shared" si="0"/>
        <v>2.5%_CH4_disc</v>
      </c>
      <c r="F20" s="55" t="str">
        <f t="shared" si="0"/>
        <v>3% 95th Pct._CH4_disc</v>
      </c>
      <c r="G20" s="55" t="str">
        <f t="shared" si="0"/>
        <v>2.5%_NCEE_CH4_disc</v>
      </c>
      <c r="H20" s="55" t="str">
        <f t="shared" si="0"/>
        <v>2.0%_NCEE_CH4_disc</v>
      </c>
      <c r="I20" s="55" t="str">
        <f t="shared" si="0"/>
        <v>1.5%_NCEE_CH4_disc</v>
      </c>
    </row>
    <row r="21">
      <c r="B21" s="4" t="str">
        <f t="shared" ref="B21:I21" si="1">B3</f>
        <v>2023</v>
      </c>
      <c r="C21" s="23" t="n">
        <f t="shared" si="1"/>
        <v>87.9566846359115</v>
      </c>
      <c r="D21" s="23" t="n">
        <f t="shared" si="1"/>
        <v>198.849733020201</v>
      </c>
      <c r="E21" s="23" t="n">
        <f t="shared" si="1"/>
        <v>261.75810558509602</v>
      </c>
      <c r="F21" s="23" t="n">
        <f t="shared" si="1"/>
        <v>524.87100602182704</v>
      </c>
      <c r="G21" s="23" t="n">
        <f t="shared" si="1"/>
        <v>179.936853848487</v>
      </c>
      <c r="H21" s="23" t="n">
        <f t="shared" si="1"/>
        <v>233.710134161046</v>
      </c>
      <c r="I21" s="23" t="n">
        <f t="shared" si="1"/>
        <v>322.91947522321101</v>
      </c>
    </row>
    <row r="22">
      <c r="B22" s="4" t="str">
        <f t="shared" ref="B22:I22" si="2">B4</f>
        <v>2024</v>
      </c>
      <c r="C22" s="23" t="n">
        <f t="shared" si="2"/>
        <v>133.302824701661</v>
      </c>
      <c r="D22" s="23" t="n">
        <f t="shared" si="2"/>
        <v>304.97645285908698</v>
      </c>
      <c r="E22" s="23" t="n">
        <f t="shared" si="2"/>
        <v>402.354282630233</v>
      </c>
      <c r="F22" s="23" t="n">
        <f t="shared" si="2"/>
        <v>805.81963141826498</v>
      </c>
      <c r="G22" s="23" t="n">
        <f t="shared" si="2"/>
        <v>281.92937223431801</v>
      </c>
      <c r="H22" s="23" t="n">
        <f t="shared" si="2"/>
        <v>366.06739569531902</v>
      </c>
      <c r="I22" s="23" t="n">
        <f t="shared" si="2"/>
        <v>504.864345048514</v>
      </c>
    </row>
    <row r="23">
      <c r="B23" s="4" t="str">
        <f t="shared" ref="B23:I23" si="3">B5</f>
        <v>2025</v>
      </c>
      <c r="C23" s="23" t="n">
        <f t="shared" si="3"/>
        <v>179.74455563376799</v>
      </c>
      <c r="D23" s="23" t="n">
        <f t="shared" si="3"/>
        <v>416.34027826512698</v>
      </c>
      <c r="E23" s="23" t="n">
        <f t="shared" si="3"/>
        <v>550.57655670075405</v>
      </c>
      <c r="F23" s="23" t="n">
        <f t="shared" si="3"/>
        <v>1101.1314837756199</v>
      </c>
      <c r="G23" s="23" t="n">
        <f t="shared" si="3"/>
        <v>392.49139178635301</v>
      </c>
      <c r="H23" s="23" t="n">
        <f t="shared" si="3"/>
        <v>509.74481142185101</v>
      </c>
      <c r="I23" s="23" t="n">
        <f t="shared" si="3"/>
        <v>702.65008283792497</v>
      </c>
    </row>
    <row r="24">
      <c r="B24" s="4" t="str">
        <f t="shared" ref="B24:I24" si="4">B6</f>
        <v>2026</v>
      </c>
      <c r="C24" s="23" t="n">
        <f t="shared" si="4"/>
        <v>2022.8659291126801</v>
      </c>
      <c r="D24" s="23" t="n">
        <f t="shared" si="4"/>
        <v>4745.7296353777701</v>
      </c>
      <c r="E24" s="23" t="n">
        <f t="shared" si="4"/>
        <v>6291.5065430963596</v>
      </c>
      <c r="F24" s="23" t="n">
        <f t="shared" si="4"/>
        <v>12562.914597245501</v>
      </c>
      <c r="G24" s="23" t="n">
        <f t="shared" si="4"/>
        <v>4560.67623913837</v>
      </c>
      <c r="H24" s="23" t="n">
        <f t="shared" si="4"/>
        <v>5925.8582003738702</v>
      </c>
      <c r="I24" s="23" t="n">
        <f t="shared" si="4"/>
        <v>8160.3113337818104</v>
      </c>
    </row>
    <row r="25">
      <c r="B25" s="4" t="str">
        <f t="shared" ref="B25:I25" si="5">B7</f>
        <v>2027</v>
      </c>
      <c r="C25" s="23" t="n">
        <f t="shared" si="5"/>
        <v>1992.0166608663601</v>
      </c>
      <c r="D25" s="23" t="n">
        <f t="shared" si="5"/>
        <v>4735.1568808657303</v>
      </c>
      <c r="E25" s="23" t="n">
        <f t="shared" si="5"/>
        <v>6293.8889748049596</v>
      </c>
      <c r="F25" s="23" t="n">
        <f t="shared" si="5"/>
        <v>12545.770662196201</v>
      </c>
      <c r="G25" s="23" t="n">
        <f t="shared" si="5"/>
        <v>4634.4792648858001</v>
      </c>
      <c r="H25" s="23" t="n">
        <f t="shared" si="5"/>
        <v>6023.7194222621001</v>
      </c>
      <c r="I25" s="23" t="n">
        <f t="shared" si="5"/>
        <v>8296.6660531782909</v>
      </c>
    </row>
    <row r="26">
      <c r="B26" s="4" t="str">
        <f t="shared" ref="B26:I26" si="6">B8</f>
        <v>2028</v>
      </c>
      <c r="C26" s="23" t="n">
        <f t="shared" si="6"/>
        <v>1961.2282178698199</v>
      </c>
      <c r="D26" s="23" t="n">
        <f t="shared" si="6"/>
        <v>4725.2326028903799</v>
      </c>
      <c r="E26" s="23" t="n">
        <f t="shared" si="6"/>
        <v>6297.7959548815597</v>
      </c>
      <c r="F26" s="23" t="n">
        <f t="shared" si="6"/>
        <v>12529.7586486811</v>
      </c>
      <c r="G26" s="23" t="n">
        <f t="shared" si="6"/>
        <v>4703.5127259746696</v>
      </c>
      <c r="H26" s="23" t="n">
        <f t="shared" si="6"/>
        <v>6123.5537466269097</v>
      </c>
      <c r="I26" s="23" t="n">
        <f t="shared" si="6"/>
        <v>8431.7139302403702</v>
      </c>
    </row>
    <row r="27">
      <c r="B27" s="4" t="str">
        <f t="shared" ref="B27:I27" si="7">B9</f>
        <v>2029</v>
      </c>
      <c r="C27" s="23" t="n">
        <f t="shared" si="7"/>
        <v>1928.8114996209099</v>
      </c>
      <c r="D27" s="23" t="n">
        <f t="shared" si="7"/>
        <v>4711.6682937107698</v>
      </c>
      <c r="E27" s="23" t="n">
        <f t="shared" si="7"/>
        <v>6297.4514530055603</v>
      </c>
      <c r="F27" s="23" t="n">
        <f t="shared" si="7"/>
        <v>12503.5387925704</v>
      </c>
      <c r="G27" s="23" t="n">
        <f t="shared" si="7"/>
        <v>4768.9852576477397</v>
      </c>
      <c r="H27" s="23" t="n">
        <f t="shared" si="7"/>
        <v>6214.4115131291401</v>
      </c>
      <c r="I27" s="23" t="n">
        <f t="shared" si="7"/>
        <v>8560.7003493839293</v>
      </c>
    </row>
    <row r="28">
      <c r="B28" s="4" t="str">
        <f t="shared" ref="B28:I28" si="8">B10</f>
        <v>2030</v>
      </c>
      <c r="C28" s="23" t="n">
        <f t="shared" si="8"/>
        <v>1894.9503148982899</v>
      </c>
      <c r="D28" s="23" t="n">
        <f t="shared" si="8"/>
        <v>4694.5929895476302</v>
      </c>
      <c r="E28" s="23" t="n">
        <f t="shared" si="8"/>
        <v>6292.9452697090201</v>
      </c>
      <c r="F28" s="23" t="n">
        <f t="shared" si="8"/>
        <v>12467.471760647501</v>
      </c>
      <c r="G28" s="23" t="n">
        <f t="shared" si="8"/>
        <v>4828.3493215537901</v>
      </c>
      <c r="H28" s="23" t="n">
        <f t="shared" si="8"/>
        <v>6301.7421444784104</v>
      </c>
      <c r="I28" s="23" t="n">
        <f t="shared" si="8"/>
        <v>8686.3287635315992</v>
      </c>
    </row>
    <row r="29">
      <c r="B29" s="4" t="str">
        <f t="shared" ref="B29:I29" si="9">B11</f>
        <v>2031</v>
      </c>
      <c r="C29" s="23" t="n">
        <f t="shared" si="9"/>
        <v>1873.6564415262701</v>
      </c>
      <c r="D29" s="23" t="n">
        <f t="shared" si="9"/>
        <v>4694.0085938268303</v>
      </c>
      <c r="E29" s="23" t="n">
        <f t="shared" si="9"/>
        <v>6305.3203504381399</v>
      </c>
      <c r="F29" s="23" t="n">
        <f t="shared" si="9"/>
        <v>12481.609373429799</v>
      </c>
      <c r="G29" s="23" t="n">
        <f t="shared" si="9"/>
        <v>4908.8924671708701</v>
      </c>
      <c r="H29" s="23" t="n">
        <f t="shared" si="9"/>
        <v>6411.44216342248</v>
      </c>
      <c r="I29" s="23" t="n">
        <f t="shared" si="9"/>
        <v>8843.9327114064599</v>
      </c>
    </row>
    <row r="30">
      <c r="B30" s="4" t="str">
        <f t="shared" ref="B30:I30" si="10">B12</f>
        <v>2032</v>
      </c>
      <c r="C30" s="23" t="n">
        <f t="shared" si="10"/>
        <v>1850.54244485399</v>
      </c>
      <c r="D30" s="23" t="n">
        <f t="shared" si="10"/>
        <v>4690.5106089909405</v>
      </c>
      <c r="E30" s="23" t="n">
        <f t="shared" si="10"/>
        <v>6314.6955272622999</v>
      </c>
      <c r="F30" s="23" t="n">
        <f t="shared" si="10"/>
        <v>12487.1474883971</v>
      </c>
      <c r="G30" s="23" t="n">
        <f t="shared" si="10"/>
        <v>4981.4969479727797</v>
      </c>
      <c r="H30" s="23" t="n">
        <f t="shared" si="10"/>
        <v>6518.5187966875701</v>
      </c>
      <c r="I30" s="23" t="n">
        <f t="shared" si="10"/>
        <v>8994.38212749796</v>
      </c>
    </row>
    <row r="31">
      <c r="B31" s="4" t="str">
        <f t="shared" ref="B31:I31" si="11">B13</f>
        <v>2033</v>
      </c>
      <c r="C31" s="23" t="n">
        <f t="shared" si="11"/>
        <v>1826.21771268663</v>
      </c>
      <c r="D31" s="23" t="n">
        <f t="shared" si="11"/>
        <v>4685.2751360154298</v>
      </c>
      <c r="E31" s="23" t="n">
        <f t="shared" si="11"/>
        <v>6322.5661544425902</v>
      </c>
      <c r="F31" s="23" t="n">
        <f t="shared" si="11"/>
        <v>12487.256064462201</v>
      </c>
      <c r="G31" s="23" t="n">
        <f t="shared" si="11"/>
        <v>5052.3395871048997</v>
      </c>
      <c r="H31" s="23" t="n">
        <f t="shared" si="11"/>
        <v>6621.9646342046799</v>
      </c>
      <c r="I31" s="23" t="n">
        <f t="shared" si="11"/>
        <v>9145.1509794219601</v>
      </c>
    </row>
    <row r="32">
      <c r="B32" s="4" t="str">
        <f t="shared" ref="B32:I32" si="12">B14</f>
        <v>2034</v>
      </c>
      <c r="C32" s="23" t="n">
        <f t="shared" si="12"/>
        <v>1800.26515982453</v>
      </c>
      <c r="D32" s="23" t="n">
        <f t="shared" si="12"/>
        <v>4676.89916915513</v>
      </c>
      <c r="E32" s="23" t="n">
        <f t="shared" si="12"/>
        <v>6326.9601485216999</v>
      </c>
      <c r="F32" s="23" t="n">
        <f t="shared" si="12"/>
        <v>12478.2422566033</v>
      </c>
      <c r="G32" s="23" t="n">
        <f t="shared" si="12"/>
        <v>5117.5381874771701</v>
      </c>
      <c r="H32" s="23" t="n">
        <f t="shared" si="12"/>
        <v>6719.7871620947099</v>
      </c>
      <c r="I32" s="23" t="n">
        <f t="shared" si="12"/>
        <v>9290.66318139943</v>
      </c>
    </row>
    <row r="33">
      <c r="B33" s="4" t="str">
        <f t="shared" ref="B33:I33" si="13">B15</f>
        <v>2035</v>
      </c>
      <c r="C33" s="23" t="n">
        <f t="shared" si="13"/>
        <v>1773.1780522599099</v>
      </c>
      <c r="D33" s="23" t="n">
        <f t="shared" si="13"/>
        <v>4666.3298890035303</v>
      </c>
      <c r="E33" s="23" t="n">
        <f t="shared" si="13"/>
        <v>6329.0772789231796</v>
      </c>
      <c r="F33" s="23" t="n">
        <f t="shared" si="13"/>
        <v>12462.661428412601</v>
      </c>
      <c r="G33" s="23" t="n">
        <f t="shared" si="13"/>
        <v>5178.1692722835296</v>
      </c>
      <c r="H33" s="23" t="n">
        <f t="shared" si="13"/>
        <v>6813.2824743118499</v>
      </c>
      <c r="I33" s="23" t="n">
        <f t="shared" si="13"/>
        <v>9432.5922837726794</v>
      </c>
    </row>
    <row r="34">
      <c r="B34" s="171" t="str">
        <f t="shared" ref="B34:I34" si="14">B16</f>
        <v>PV</v>
      </c>
      <c r="C34" s="172" t="n">
        <f t="shared" si="14"/>
        <v>19324.7364984907</v>
      </c>
      <c r="D34" s="172" t="n">
        <f t="shared" si="14"/>
        <v>47945.5702635286</v>
      </c>
      <c r="E34" s="172" t="n">
        <f t="shared" si="14"/>
        <v>64286.896600001397</v>
      </c>
      <c r="F34" s="172" t="n">
        <f t="shared" si="14"/>
        <v>127438.19319386101</v>
      </c>
      <c r="G34" s="172" t="n">
        <f t="shared" si="14"/>
        <v>49588.796889078803</v>
      </c>
      <c r="H34" s="172" t="n">
        <f t="shared" si="14"/>
        <v>64783.802598869901</v>
      </c>
      <c r="I34" s="172" t="n">
        <f t="shared" si="14"/>
        <v>89372.875616724094</v>
      </c>
    </row>
    <row r="35" ht="15" customHeight="1">
      <c r="B35" s="5" t="str">
        <f t="shared" ref="B35:I35" si="15">B17</f>
        <v>EAV</v>
      </c>
      <c r="C35" s="65" t="n">
        <f t="shared" si="15"/>
        <v>2057.22961061154</v>
      </c>
      <c r="D35" s="65" t="n">
        <f t="shared" si="15"/>
        <v>4508.30010655772</v>
      </c>
      <c r="E35" s="65" t="n">
        <f t="shared" si="15"/>
        <v>5853.2107720221402</v>
      </c>
      <c r="F35" s="65" t="n">
        <f t="shared" si="15"/>
        <v>11982.955188509801</v>
      </c>
      <c r="G35" s="65" t="n">
        <f t="shared" si="15"/>
        <v>4514.9742089551701</v>
      </c>
      <c r="H35" s="65" t="n">
        <f t="shared" si="15"/>
        <v>5708.6419648207502</v>
      </c>
      <c r="I35" s="65" t="n">
        <f t="shared" si="15"/>
        <v>7618.1758625517105</v>
      </c>
    </row>
    <row r="36" ht="15" customHeight="1"/>
  </sheetData>
  <pageMargins left="0.7" right="0.7" top="0.75" bottom="0.75" header="0.3" footer="0.3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</row>
    <row r="3">
      <c r="B3" t="s">
        <v>486</v>
      </c>
      <c r="C3" t="n">
        <v>96.9722448110924</v>
      </c>
      <c r="D3" t="n">
        <v>210.959681761131</v>
      </c>
      <c r="E3" t="n">
        <v>275.009609680341</v>
      </c>
      <c r="F3" t="n">
        <v>556.835650288556</v>
      </c>
      <c r="G3" t="n">
        <v>189.046157074567</v>
      </c>
      <c r="H3" t="n">
        <v>243.152023581152</v>
      </c>
      <c r="I3" t="n">
        <v>332.679716361833</v>
      </c>
      <c r="J3" t="n">
        <v>8.73281438109054</v>
      </c>
      <c r="K3" t="n">
        <v>26.8345891073005</v>
      </c>
      <c r="L3" t="n">
        <v>33.6769053642767</v>
      </c>
      <c r="M3" t="n">
        <v>17.9055385561361</v>
      </c>
    </row>
    <row r="4">
      <c r="B4" t="s">
        <v>525</v>
      </c>
      <c r="C4" t="n">
        <v>154.314682445261</v>
      </c>
      <c r="D4" t="n">
        <v>333.256004403351</v>
      </c>
      <c r="E4" t="n">
        <v>433.291554893098</v>
      </c>
      <c r="F4" t="n">
        <v>880.540868380786</v>
      </c>
      <c r="G4" t="n">
        <v>303.607097871272</v>
      </c>
      <c r="H4" t="n">
        <v>388.473648851038</v>
      </c>
      <c r="I4" t="n">
        <v>527.925727925769</v>
      </c>
      <c r="J4" t="n">
        <v>13.9555393725139</v>
      </c>
      <c r="K4" t="n">
        <v>42.4002079833364</v>
      </c>
      <c r="L4" t="n">
        <v>53.086003914001</v>
      </c>
      <c r="M4" t="n">
        <v>28.6872848382305</v>
      </c>
    </row>
    <row r="5">
      <c r="B5" t="s">
        <v>526</v>
      </c>
      <c r="C5" t="n">
        <v>218.480630776317</v>
      </c>
      <c r="D5" t="n">
        <v>468.594651145252</v>
      </c>
      <c r="E5" t="n">
        <v>607.733500562218</v>
      </c>
      <c r="F5" t="n">
        <v>1239.33318595783</v>
      </c>
      <c r="G5" t="n">
        <v>433.237057713123</v>
      </c>
      <c r="H5" t="n">
        <v>551.764177276147</v>
      </c>
      <c r="I5" t="n">
        <v>745.76718676781</v>
      </c>
      <c r="J5" t="n">
        <v>19.8359733221467</v>
      </c>
      <c r="K5" t="n">
        <v>59.6316283336251</v>
      </c>
      <c r="L5" t="n">
        <v>74.4933797153227</v>
      </c>
      <c r="M5" t="n">
        <v>40.5989444020474</v>
      </c>
    </row>
    <row r="6">
      <c r="B6" t="s">
        <v>527</v>
      </c>
      <c r="C6" t="n">
        <v>286.668993254792</v>
      </c>
      <c r="D6" t="n">
        <v>610.880472355218</v>
      </c>
      <c r="E6" t="n">
        <v>790.389397308117</v>
      </c>
      <c r="F6" t="n">
        <v>1617.12524584487</v>
      </c>
      <c r="G6" t="n">
        <v>572.94864422027</v>
      </c>
      <c r="H6" t="n">
        <v>726.472601995648</v>
      </c>
      <c r="I6" t="n">
        <v>976.121920720473</v>
      </c>
      <c r="J6" t="n">
        <v>26.1218991881143</v>
      </c>
      <c r="K6" t="n">
        <v>77.7535376813306</v>
      </c>
      <c r="L6" t="n">
        <v>96.9259552375281</v>
      </c>
      <c r="M6" t="n">
        <v>53.2493006698381</v>
      </c>
    </row>
    <row r="7">
      <c r="B7" t="s">
        <v>528</v>
      </c>
      <c r="C7" t="n">
        <v>358.318596778447</v>
      </c>
      <c r="D7" t="n">
        <v>758.924037060566</v>
      </c>
      <c r="E7" t="n">
        <v>979.721994097817</v>
      </c>
      <c r="F7" t="n">
        <v>2010.76482966478</v>
      </c>
      <c r="G7" t="n">
        <v>721.414261544009</v>
      </c>
      <c r="H7" t="n">
        <v>910.555355637914</v>
      </c>
      <c r="I7" t="n">
        <v>1217.70040666651</v>
      </c>
      <c r="J7" t="n">
        <v>32.7620380299526</v>
      </c>
      <c r="K7" t="n">
        <v>96.614467661439</v>
      </c>
      <c r="L7" t="n">
        <v>120.195226007477</v>
      </c>
      <c r="M7" t="n">
        <v>66.9525996792584</v>
      </c>
    </row>
    <row r="8">
      <c r="B8" t="s">
        <v>529</v>
      </c>
      <c r="C8" t="n">
        <v>434.317519479956</v>
      </c>
      <c r="D8" t="n">
        <v>914.614087411549</v>
      </c>
      <c r="E8" t="n">
        <v>1178.17489655675</v>
      </c>
      <c r="F8" t="n">
        <v>2425.2549525161</v>
      </c>
      <c r="G8" t="n">
        <v>879.920635580956</v>
      </c>
      <c r="H8" t="n">
        <v>1107.02864320018</v>
      </c>
      <c r="I8" t="n">
        <v>1472.76101910645</v>
      </c>
      <c r="J8" t="n">
        <v>39.8373842993231</v>
      </c>
      <c r="K8" t="n">
        <v>116.454928021872</v>
      </c>
      <c r="L8" t="n">
        <v>144.600852185771</v>
      </c>
      <c r="M8" t="n">
        <v>81.1100027211496</v>
      </c>
    </row>
    <row r="9">
      <c r="B9" t="s">
        <v>530</v>
      </c>
      <c r="C9" t="n">
        <v>513.907315977775</v>
      </c>
      <c r="D9" t="n">
        <v>1076.34903763131</v>
      </c>
      <c r="E9" t="n">
        <v>1383.68225849963</v>
      </c>
      <c r="F9" t="n">
        <v>2856.3496212866</v>
      </c>
      <c r="G9" t="n">
        <v>1047.84615511472</v>
      </c>
      <c r="H9" t="n">
        <v>1313.05223637692</v>
      </c>
      <c r="I9" t="n">
        <v>1739.07477117047</v>
      </c>
      <c r="J9" t="n">
        <v>47.2784841500965</v>
      </c>
      <c r="K9" t="n">
        <v>137.070968340921</v>
      </c>
      <c r="L9" t="n">
        <v>169.889339779737</v>
      </c>
      <c r="M9" t="n">
        <v>95.9256038607979</v>
      </c>
    </row>
    <row r="10">
      <c r="B10" t="s">
        <v>531</v>
      </c>
      <c r="C10" t="n">
        <v>596.771218277326</v>
      </c>
      <c r="D10" t="n">
        <v>1243.48147193287</v>
      </c>
      <c r="E10" t="n">
        <v>1595.42022604647</v>
      </c>
      <c r="F10" t="n">
        <v>3302.32464682849</v>
      </c>
      <c r="G10" t="n">
        <v>1224.10824119258</v>
      </c>
      <c r="H10" t="n">
        <v>1528.86283970154</v>
      </c>
      <c r="I10" t="n">
        <v>2016.21570495805</v>
      </c>
      <c r="J10" t="n">
        <v>55.0558109166458</v>
      </c>
      <c r="K10" t="n">
        <v>158.380078739862</v>
      </c>
      <c r="L10" t="n">
        <v>195.959275837814</v>
      </c>
      <c r="M10" t="n">
        <v>111.97663744797</v>
      </c>
    </row>
    <row r="11">
      <c r="B11" t="s">
        <v>532</v>
      </c>
      <c r="C11" t="n">
        <v>687.823816921861</v>
      </c>
      <c r="D11" t="n">
        <v>1421.70793076722</v>
      </c>
      <c r="E11" t="n">
        <v>1819.03086833644</v>
      </c>
      <c r="F11" t="n">
        <v>3780.39423666175</v>
      </c>
      <c r="G11" t="n">
        <v>1416.17339498184</v>
      </c>
      <c r="H11" t="n">
        <v>1761.37450225014</v>
      </c>
      <c r="I11" t="n">
        <v>2313.13037042488</v>
      </c>
      <c r="J11" t="n">
        <v>63.622222784978</v>
      </c>
      <c r="K11" t="n">
        <v>180.876741594551</v>
      </c>
      <c r="L11" t="n">
        <v>223.258450594678</v>
      </c>
      <c r="M11" t="n">
        <v>128.74303590744</v>
      </c>
    </row>
    <row r="12">
      <c r="B12" t="s">
        <v>533</v>
      </c>
      <c r="C12" t="n">
        <v>783.558702869474</v>
      </c>
      <c r="D12" t="n">
        <v>1607.38456057143</v>
      </c>
      <c r="E12" t="n">
        <v>2051.18642042246</v>
      </c>
      <c r="F12" t="n">
        <v>4279.20321509427</v>
      </c>
      <c r="G12" t="n">
        <v>1618.12693089379</v>
      </c>
      <c r="H12" t="n">
        <v>2006.50852710158</v>
      </c>
      <c r="I12" t="n">
        <v>2622.93783410874</v>
      </c>
      <c r="J12" t="n">
        <v>72.653949703126</v>
      </c>
      <c r="K12" t="n">
        <v>204.281456686617</v>
      </c>
      <c r="L12" t="n">
        <v>251.573762201297</v>
      </c>
      <c r="M12" t="n">
        <v>146.324128430992</v>
      </c>
    </row>
    <row r="13">
      <c r="B13" t="s">
        <v>534</v>
      </c>
      <c r="C13" t="n">
        <v>883.358811455629</v>
      </c>
      <c r="D13" t="n">
        <v>1799.26363142894</v>
      </c>
      <c r="E13" t="n">
        <v>2290.30210766364</v>
      </c>
      <c r="F13" t="n">
        <v>4795.42076844498</v>
      </c>
      <c r="G13" t="n">
        <v>1830.17207290873</v>
      </c>
      <c r="H13" t="n">
        <v>2262.04856113801</v>
      </c>
      <c r="I13" t="n">
        <v>2945.07522719806</v>
      </c>
      <c r="J13" t="n">
        <v>82.0935137007295</v>
      </c>
      <c r="K13" t="n">
        <v>228.435976776488</v>
      </c>
      <c r="L13" t="n">
        <v>280.711186611655</v>
      </c>
      <c r="M13" t="n">
        <v>164.60518411882</v>
      </c>
    </row>
    <row r="14">
      <c r="B14" t="s">
        <v>535</v>
      </c>
      <c r="C14" t="n">
        <v>985.703276510209</v>
      </c>
      <c r="D14" t="n">
        <v>1994.30125972171</v>
      </c>
      <c r="E14" t="n">
        <v>2532.52758540733</v>
      </c>
      <c r="F14" t="n">
        <v>5320.91314167718</v>
      </c>
      <c r="G14" t="n">
        <v>2048.42551951106</v>
      </c>
      <c r="H14" t="n">
        <v>2524.10017035055</v>
      </c>
      <c r="I14" t="n">
        <v>3273.81474527674</v>
      </c>
      <c r="J14" t="n">
        <v>91.7987964754896</v>
      </c>
      <c r="K14" t="n">
        <v>252.954824600727</v>
      </c>
      <c r="L14" t="n">
        <v>310.199608619073</v>
      </c>
      <c r="M14" t="n">
        <v>183.30429704797</v>
      </c>
    </row>
    <row r="15">
      <c r="B15" t="s">
        <v>536</v>
      </c>
      <c r="C15" t="n">
        <v>1090.40061883781</v>
      </c>
      <c r="D15" t="n">
        <v>2192.19982792876</v>
      </c>
      <c r="E15" t="n">
        <v>2777.52559190924</v>
      </c>
      <c r="F15" t="n">
        <v>5854.84629007547</v>
      </c>
      <c r="G15" t="n">
        <v>2272.44778964882</v>
      </c>
      <c r="H15" t="n">
        <v>2792.17320284564</v>
      </c>
      <c r="I15" t="n">
        <v>3608.60386138354</v>
      </c>
      <c r="J15" t="n">
        <v>101.750667289757</v>
      </c>
      <c r="K15" t="n">
        <v>277.801889164467</v>
      </c>
      <c r="L15" t="n">
        <v>339.999068305474</v>
      </c>
      <c r="M15" t="n">
        <v>202.388346159817</v>
      </c>
    </row>
  </sheetData>
  <pageMargins left="0.7" right="0.7" top="0.75" bottom="0.75" header="0.3" footer="0.3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565</v>
      </c>
      <c r="D2" t="s">
        <v>566</v>
      </c>
      <c r="E2" t="s">
        <v>567</v>
      </c>
      <c r="F2" t="s">
        <v>568</v>
      </c>
      <c r="G2" t="s">
        <v>569</v>
      </c>
      <c r="H2" t="s">
        <v>570</v>
      </c>
      <c r="I2" t="s">
        <v>571</v>
      </c>
      <c r="J2" t="s">
        <v>572</v>
      </c>
      <c r="K2" t="s">
        <v>573</v>
      </c>
      <c r="L2" t="s">
        <v>574</v>
      </c>
      <c r="M2" t="s">
        <v>575</v>
      </c>
    </row>
    <row r="3">
      <c r="B3" t="s">
        <v>486</v>
      </c>
      <c r="C3" t="n">
        <v>87.9566846359115</v>
      </c>
      <c r="D3" t="n">
        <v>198.849733020201</v>
      </c>
      <c r="E3" t="n">
        <v>261.758105585096</v>
      </c>
      <c r="F3" t="n">
        <v>524.871006021827</v>
      </c>
      <c r="G3" t="n">
        <v>179.936853848487</v>
      </c>
      <c r="H3" t="n">
        <v>233.710134161046</v>
      </c>
      <c r="I3" t="n">
        <v>322.919475223211</v>
      </c>
      <c r="J3" t="n">
        <v>25.2941739158267</v>
      </c>
      <c r="K3" t="n">
        <v>7.62757828726574</v>
      </c>
      <c r="L3" t="n">
        <v>32.0541633449392</v>
      </c>
      <c r="M3" t="n">
        <v>17.0427493693145</v>
      </c>
    </row>
    <row r="4">
      <c r="B4" t="s">
        <v>525</v>
      </c>
      <c r="C4" t="n">
        <v>133.302824701661</v>
      </c>
      <c r="D4" t="n">
        <v>304.976452859087</v>
      </c>
      <c r="E4" t="n">
        <v>402.354282630233</v>
      </c>
      <c r="F4" t="n">
        <v>805.819631418265</v>
      </c>
      <c r="G4" t="n">
        <v>281.929372234318</v>
      </c>
      <c r="H4" t="n">
        <v>366.067395695319</v>
      </c>
      <c r="I4" t="n">
        <v>504.864345048514</v>
      </c>
      <c r="J4" t="n">
        <v>38.8021966907895</v>
      </c>
      <c r="K4" t="n">
        <v>11.3918771606498</v>
      </c>
      <c r="L4" t="n">
        <v>49.2956319626248</v>
      </c>
      <c r="M4" t="n">
        <v>26.6389958016679</v>
      </c>
    </row>
    <row r="5">
      <c r="B5" t="s">
        <v>526</v>
      </c>
      <c r="C5" t="n">
        <v>179.744555633768</v>
      </c>
      <c r="D5" t="n">
        <v>416.340278265127</v>
      </c>
      <c r="E5" t="n">
        <v>550.576556700754</v>
      </c>
      <c r="F5" t="n">
        <v>1101.13148377562</v>
      </c>
      <c r="G5" t="n">
        <v>392.491391786353</v>
      </c>
      <c r="H5" t="n">
        <v>509.744811421851</v>
      </c>
      <c r="I5" t="n">
        <v>702.650082837925</v>
      </c>
      <c r="J5" t="n">
        <v>52.9819294205481</v>
      </c>
      <c r="K5" t="n">
        <v>15.1327690737682</v>
      </c>
      <c r="L5" t="n">
        <v>67.4873253864096</v>
      </c>
      <c r="M5" t="n">
        <v>36.7806398592242</v>
      </c>
    </row>
    <row r="6">
      <c r="B6" t="s">
        <v>527</v>
      </c>
      <c r="C6" t="n">
        <v>224.6126573303</v>
      </c>
      <c r="D6" t="n">
        <v>526.950861662358</v>
      </c>
      <c r="E6" t="n">
        <v>698.589057691881</v>
      </c>
      <c r="F6" t="n">
        <v>1394.94644251519</v>
      </c>
      <c r="G6" t="n">
        <v>506.403115774146</v>
      </c>
      <c r="H6" t="n">
        <v>657.988618124764</v>
      </c>
      <c r="I6" t="n">
        <v>906.095251763564</v>
      </c>
      <c r="J6" t="n">
        <v>67.0708846208608</v>
      </c>
      <c r="K6" t="n">
        <v>18.6245531029911</v>
      </c>
      <c r="L6" t="n">
        <v>85.6684211173373</v>
      </c>
      <c r="M6" t="n">
        <v>47.0646227092447</v>
      </c>
    </row>
    <row r="7">
      <c r="B7" t="s">
        <v>528</v>
      </c>
      <c r="C7" t="n">
        <v>267.382853817309</v>
      </c>
      <c r="D7" t="n">
        <v>635.586933057026</v>
      </c>
      <c r="E7" t="n">
        <v>844.811205023123</v>
      </c>
      <c r="F7" t="n">
        <v>1683.98388873744</v>
      </c>
      <c r="G7" t="n">
        <v>622.073256788611</v>
      </c>
      <c r="H7" t="n">
        <v>808.547097702839</v>
      </c>
      <c r="I7" t="n">
        <v>1113.6383997427</v>
      </c>
      <c r="J7" t="n">
        <v>80.9130956343272</v>
      </c>
      <c r="K7" t="n">
        <v>21.8307292776398</v>
      </c>
      <c r="L7" t="n">
        <v>103.643966689662</v>
      </c>
      <c r="M7" t="n">
        <v>57.7330168713328</v>
      </c>
    </row>
    <row r="8">
      <c r="B8" t="s">
        <v>529</v>
      </c>
      <c r="C8" t="n">
        <v>308.66135244283</v>
      </c>
      <c r="D8" t="n">
        <v>743.664950629379</v>
      </c>
      <c r="E8" t="n">
        <v>991.157581321197</v>
      </c>
      <c r="F8" t="n">
        <v>1971.95421473427</v>
      </c>
      <c r="G8" t="n">
        <v>740.246640346765</v>
      </c>
      <c r="H8" t="n">
        <v>963.735053355063</v>
      </c>
      <c r="I8" t="n">
        <v>1326.99713445169</v>
      </c>
      <c r="J8" t="n">
        <v>94.6885134286851</v>
      </c>
      <c r="K8" t="n">
        <v>24.8087207897607</v>
      </c>
      <c r="L8" t="n">
        <v>121.647669907325</v>
      </c>
      <c r="M8" t="n">
        <v>68.2350255068247</v>
      </c>
    </row>
    <row r="9">
      <c r="B9" t="s">
        <v>530</v>
      </c>
      <c r="C9" t="n">
        <v>347.832699888272</v>
      </c>
      <c r="D9" t="n">
        <v>849.679869651072</v>
      </c>
      <c r="E9" t="n">
        <v>1135.65246875848</v>
      </c>
      <c r="F9" t="n">
        <v>2254.82876747275</v>
      </c>
      <c r="G9" t="n">
        <v>860.016138550087</v>
      </c>
      <c r="H9" t="n">
        <v>1120.67744061735</v>
      </c>
      <c r="I9" t="n">
        <v>1543.79601948968</v>
      </c>
      <c r="J9" t="n">
        <v>108.205088164676</v>
      </c>
      <c r="K9" t="n">
        <v>27.51650822539</v>
      </c>
      <c r="L9" t="n">
        <v>139.436093041919</v>
      </c>
      <c r="M9" t="n">
        <v>78.730610421925</v>
      </c>
    </row>
    <row r="10">
      <c r="B10" t="s">
        <v>531</v>
      </c>
      <c r="C10" t="n">
        <v>384.684048243721</v>
      </c>
      <c r="D10" t="n">
        <v>953.025006448631</v>
      </c>
      <c r="E10" t="n">
        <v>1277.49822393511</v>
      </c>
      <c r="F10" t="n">
        <v>2530.95686496012</v>
      </c>
      <c r="G10" t="n">
        <v>980.178186597907</v>
      </c>
      <c r="H10" t="n">
        <v>1279.28403191729</v>
      </c>
      <c r="I10" t="n">
        <v>1763.36661012168</v>
      </c>
      <c r="J10" t="n">
        <v>121.385142416132</v>
      </c>
      <c r="K10" t="n">
        <v>29.9467132828963</v>
      </c>
      <c r="L10" t="n">
        <v>156.910149915027</v>
      </c>
      <c r="M10" t="n">
        <v>89.6628694600996</v>
      </c>
    </row>
    <row r="11">
      <c r="B11" t="s">
        <v>532</v>
      </c>
      <c r="C11" t="n">
        <v>422.264157309323</v>
      </c>
      <c r="D11" t="n">
        <v>1057.8842200443</v>
      </c>
      <c r="E11" t="n">
        <v>1421.02400703419</v>
      </c>
      <c r="F11" t="n">
        <v>2812.96834741065</v>
      </c>
      <c r="G11" t="n">
        <v>1106.31239272631</v>
      </c>
      <c r="H11" t="n">
        <v>1444.94057836435</v>
      </c>
      <c r="I11" t="n">
        <v>1993.14864289652</v>
      </c>
      <c r="J11" t="n">
        <v>134.589282766853</v>
      </c>
      <c r="K11" t="n">
        <v>32.3423119167809</v>
      </c>
      <c r="L11" t="n">
        <v>174.409144776325</v>
      </c>
      <c r="M11" t="n">
        <v>100.57385388421</v>
      </c>
    </row>
    <row r="12">
      <c r="B12" t="s">
        <v>533</v>
      </c>
      <c r="C12" t="n">
        <v>458.130545351215</v>
      </c>
      <c r="D12" t="n">
        <v>1161.20880623315</v>
      </c>
      <c r="E12" t="n">
        <v>1563.30102758589</v>
      </c>
      <c r="F12" t="n">
        <v>3091.38744947393</v>
      </c>
      <c r="G12" t="n">
        <v>1233.24699727179</v>
      </c>
      <c r="H12" t="n">
        <v>1613.76064597332</v>
      </c>
      <c r="I12" t="n">
        <v>2226.69909605503</v>
      </c>
      <c r="J12" t="n">
        <v>147.577270725</v>
      </c>
      <c r="K12" t="n">
        <v>34.5173681330612</v>
      </c>
      <c r="L12" t="n">
        <v>191.735630192958</v>
      </c>
      <c r="M12" t="n">
        <v>111.520170989464</v>
      </c>
    </row>
    <row r="13">
      <c r="B13" t="s">
        <v>534</v>
      </c>
      <c r="C13" t="n">
        <v>491.88723989535</v>
      </c>
      <c r="D13" t="n">
        <v>1261.9673102472</v>
      </c>
      <c r="E13" t="n">
        <v>1702.96761068497</v>
      </c>
      <c r="F13" t="n">
        <v>3363.41164404683</v>
      </c>
      <c r="G13" t="n">
        <v>1360.83521545686</v>
      </c>
      <c r="H13" t="n">
        <v>1783.60985329162</v>
      </c>
      <c r="I13" t="n">
        <v>2463.22387656418</v>
      </c>
      <c r="J13" t="n">
        <v>160.220398023258</v>
      </c>
      <c r="K13" t="n">
        <v>36.450501859217</v>
      </c>
      <c r="L13" t="n">
        <v>208.724454803148</v>
      </c>
      <c r="M13" t="n">
        <v>122.393153360515</v>
      </c>
    </row>
    <row r="14">
      <c r="B14" t="s">
        <v>535</v>
      </c>
      <c r="C14" t="n">
        <v>522.739492934386</v>
      </c>
      <c r="D14" t="n">
        <v>1358.02211515758</v>
      </c>
      <c r="E14" t="n">
        <v>1837.1471123602</v>
      </c>
      <c r="F14" t="n">
        <v>3623.28293381238</v>
      </c>
      <c r="G14" t="n">
        <v>1485.96960986287</v>
      </c>
      <c r="H14" t="n">
        <v>1951.21152824108</v>
      </c>
      <c r="I14" t="n">
        <v>2697.71179760113</v>
      </c>
      <c r="J14" t="n">
        <v>172.249926769604</v>
      </c>
      <c r="K14" t="n">
        <v>38.0932368962837</v>
      </c>
      <c r="L14" t="n">
        <v>225.025116612159</v>
      </c>
      <c r="M14" t="n">
        <v>132.972672023523</v>
      </c>
    </row>
    <row r="15">
      <c r="B15" t="s">
        <v>536</v>
      </c>
      <c r="C15" t="n">
        <v>550.726408501459</v>
      </c>
      <c r="D15" t="n">
        <v>1449.30234015621</v>
      </c>
      <c r="E15" t="n">
        <v>1965.73039831345</v>
      </c>
      <c r="F15" t="n">
        <v>3870.74313269997</v>
      </c>
      <c r="G15" t="n">
        <v>1608.27310167908</v>
      </c>
      <c r="H15" t="n">
        <v>2116.1183347614</v>
      </c>
      <c r="I15" t="n">
        <v>2929.64243758825</v>
      </c>
      <c r="J15" t="n">
        <v>183.659775416679</v>
      </c>
      <c r="K15" t="n">
        <v>39.4606630599854</v>
      </c>
      <c r="L15" t="n">
        <v>240.626587172833</v>
      </c>
      <c r="M15" t="n">
        <v>143.235736682184</v>
      </c>
    </row>
    <row r="16">
      <c r="B16" t="s">
        <v>550</v>
      </c>
      <c r="C16" t="n">
        <v>4379.92552068551</v>
      </c>
      <c r="D16" t="n">
        <v>10917.4588774313</v>
      </c>
      <c r="E16" t="n">
        <v>14652.5676376246</v>
      </c>
      <c r="F16" t="n">
        <v>29030.2858070792</v>
      </c>
      <c r="G16" t="n">
        <v>11357.9122729236</v>
      </c>
      <c r="H16" t="n">
        <v>14849.3955236273</v>
      </c>
      <c r="I16" t="n">
        <v>20494.7531693841</v>
      </c>
      <c r="J16" t="n">
        <v>1387.63767799324</v>
      </c>
      <c r="K16" t="n">
        <v>337.74353106569</v>
      </c>
      <c r="L16" t="n">
        <v>1796.66435492267</v>
      </c>
      <c r="M16" t="n">
        <v>1032.58411693953</v>
      </c>
    </row>
    <row r="17">
      <c r="B17" t="s">
        <v>551</v>
      </c>
      <c r="C17" t="n">
        <v>466.268322682233</v>
      </c>
      <c r="D17" t="n">
        <v>1026.56367939591</v>
      </c>
      <c r="E17" t="n">
        <v>1334.09094652619</v>
      </c>
      <c r="F17" t="n">
        <v>2729.70453533249</v>
      </c>
      <c r="G17" t="n">
        <v>1034.11827261168</v>
      </c>
      <c r="H17" t="n">
        <v>1308.50427171249</v>
      </c>
      <c r="I17" t="n">
        <v>1746.98008569773</v>
      </c>
      <c r="J17" t="n">
        <v>130.478938036935</v>
      </c>
      <c r="K17" t="n">
        <v>40.4112999445441</v>
      </c>
      <c r="L17" t="n">
        <v>163.583182765449</v>
      </c>
      <c r="M17" t="n">
        <v>90.9896113796692</v>
      </c>
    </row>
  </sheetData>
  <pageMargins left="0.7" right="0.7" top="0.75" bottom="0.75" header="0.3" footer="0.3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</row>
    <row r="3">
      <c r="B3" t="s">
        <v>486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B4" t="s">
        <v>525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B5" t="s">
        <v>526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B6" t="s">
        <v>527</v>
      </c>
      <c r="C6" t="n">
        <v>2295.07749548116</v>
      </c>
      <c r="D6" t="n">
        <v>4890.72085757543</v>
      </c>
      <c r="E6" t="n">
        <v>6327.87277700621</v>
      </c>
      <c r="F6" t="n">
        <v>12946.7359443869</v>
      </c>
      <c r="G6" t="n">
        <v>4587.037909076</v>
      </c>
      <c r="H6" t="n">
        <v>5816.15367952244</v>
      </c>
      <c r="I6" t="n">
        <v>7814.85094587903</v>
      </c>
      <c r="J6" t="n">
        <v>209.132429305263</v>
      </c>
      <c r="K6" t="n">
        <v>622.496324071788</v>
      </c>
      <c r="L6" t="n">
        <v>775.991069239737</v>
      </c>
      <c r="M6" t="n">
        <v>426.314929389079</v>
      </c>
    </row>
    <row r="7">
      <c r="B7" t="s">
        <v>528</v>
      </c>
      <c r="C7" t="n">
        <v>2311.17424650093</v>
      </c>
      <c r="D7" t="n">
        <v>4895.10091096226</v>
      </c>
      <c r="E7" t="n">
        <v>6319.25962494616</v>
      </c>
      <c r="F7" t="n">
        <v>12969.5414412568</v>
      </c>
      <c r="G7" t="n">
        <v>4653.16083878817</v>
      </c>
      <c r="H7" t="n">
        <v>5873.13108190432</v>
      </c>
      <c r="I7" t="n">
        <v>7854.23320236286</v>
      </c>
      <c r="J7" t="n">
        <v>211.31690969567</v>
      </c>
      <c r="K7" t="n">
        <v>623.168519597042</v>
      </c>
      <c r="L7" t="n">
        <v>775.26568087283</v>
      </c>
      <c r="M7" t="n">
        <v>431.847873669435</v>
      </c>
    </row>
    <row r="8">
      <c r="B8" t="s">
        <v>529</v>
      </c>
      <c r="C8" t="n">
        <v>2325.32753481003</v>
      </c>
      <c r="D8" t="n">
        <v>4896.82599893687</v>
      </c>
      <c r="E8" t="n">
        <v>6307.92543452025</v>
      </c>
      <c r="F8" t="n">
        <v>12984.767749578</v>
      </c>
      <c r="G8" t="n">
        <v>4711.07793398227</v>
      </c>
      <c r="H8" t="n">
        <v>5927.0097806302</v>
      </c>
      <c r="I8" t="n">
        <v>7885.13379341389</v>
      </c>
      <c r="J8" t="n">
        <v>213.288579141233</v>
      </c>
      <c r="K8" t="n">
        <v>623.497415019831</v>
      </c>
      <c r="L8" t="n">
        <v>774.190144452796</v>
      </c>
      <c r="M8" t="n">
        <v>434.261373802835</v>
      </c>
    </row>
    <row r="9">
      <c r="B9" t="s">
        <v>530</v>
      </c>
      <c r="C9" t="n">
        <v>2335.82573418009</v>
      </c>
      <c r="D9" t="n">
        <v>4892.25139026414</v>
      </c>
      <c r="E9" t="n">
        <v>6289.15083877038</v>
      </c>
      <c r="F9" t="n">
        <v>12982.759232611</v>
      </c>
      <c r="G9" t="n">
        <v>4762.69930098537</v>
      </c>
      <c r="H9" t="n">
        <v>5968.12131038932</v>
      </c>
      <c r="I9" t="n">
        <v>7904.49070847438</v>
      </c>
      <c r="J9" t="n">
        <v>214.891472678698</v>
      </c>
      <c r="K9" t="n">
        <v>623.018753197813</v>
      </c>
      <c r="L9" t="n">
        <v>772.185721982478</v>
      </c>
      <c r="M9" t="n">
        <v>436.003705529086</v>
      </c>
    </row>
    <row r="10">
      <c r="B10" t="s">
        <v>531</v>
      </c>
      <c r="C10" t="n">
        <v>2342.91867310176</v>
      </c>
      <c r="D10" t="n">
        <v>4881.89756982165</v>
      </c>
      <c r="E10" t="n">
        <v>6263.60609320045</v>
      </c>
      <c r="F10" t="n">
        <v>12964.8981766128</v>
      </c>
      <c r="G10" t="n">
        <v>4805.83843246789</v>
      </c>
      <c r="H10" t="n">
        <v>6002.30236653863</v>
      </c>
      <c r="I10" t="n">
        <v>7915.64552624258</v>
      </c>
      <c r="J10" t="n">
        <v>216.148640398113</v>
      </c>
      <c r="K10" t="n">
        <v>621.798827694989</v>
      </c>
      <c r="L10" t="n">
        <v>769.334432470163</v>
      </c>
      <c r="M10" t="n">
        <v>439.619316067749</v>
      </c>
    </row>
    <row r="11">
      <c r="B11" t="s">
        <v>532</v>
      </c>
      <c r="C11" t="n">
        <v>2364.16509310722</v>
      </c>
      <c r="D11" t="n">
        <v>4886.64710325872</v>
      </c>
      <c r="E11" t="n">
        <v>6252.31225846618</v>
      </c>
      <c r="F11" t="n">
        <v>12993.8450408657</v>
      </c>
      <c r="G11" t="n">
        <v>4867.62398136551</v>
      </c>
      <c r="H11" t="n">
        <v>6054.13771908098</v>
      </c>
      <c r="I11" t="n">
        <v>7950.61459493768</v>
      </c>
      <c r="J11" t="n">
        <v>218.68018314234</v>
      </c>
      <c r="K11" t="n">
        <v>621.703506206726</v>
      </c>
      <c r="L11" t="n">
        <v>767.376503476187</v>
      </c>
      <c r="M11" t="n">
        <v>442.511271033228</v>
      </c>
    </row>
    <row r="12">
      <c r="B12" t="s">
        <v>533</v>
      </c>
      <c r="C12" t="n">
        <v>2381.4968744291</v>
      </c>
      <c r="D12" t="n">
        <v>4885.37909538618</v>
      </c>
      <c r="E12" t="n">
        <v>6234.24132897573</v>
      </c>
      <c r="F12" t="n">
        <v>13005.9292870767</v>
      </c>
      <c r="G12" t="n">
        <v>4918.02875041902</v>
      </c>
      <c r="H12" t="n">
        <v>6098.45027348737</v>
      </c>
      <c r="I12" t="n">
        <v>7971.98503555176</v>
      </c>
      <c r="J12" t="n">
        <v>220.819644398419</v>
      </c>
      <c r="K12" t="n">
        <v>620.879646695778</v>
      </c>
      <c r="L12" t="n">
        <v>764.616774948336</v>
      </c>
      <c r="M12" t="n">
        <v>444.72794857084</v>
      </c>
    </row>
    <row r="13">
      <c r="B13" t="s">
        <v>534</v>
      </c>
      <c r="C13" t="n">
        <v>2396.26582056631</v>
      </c>
      <c r="D13" t="n">
        <v>4880.81840161477</v>
      </c>
      <c r="E13" t="n">
        <v>6212.84645400409</v>
      </c>
      <c r="F13" t="n">
        <v>13008.420512298</v>
      </c>
      <c r="G13" t="n">
        <v>4964.6629740858</v>
      </c>
      <c r="H13" t="n">
        <v>6136.20375007544</v>
      </c>
      <c r="I13" t="n">
        <v>7989.03346455809</v>
      </c>
      <c r="J13" t="n">
        <v>222.693064720883</v>
      </c>
      <c r="K13" t="n">
        <v>619.672681404701</v>
      </c>
      <c r="L13" t="n">
        <v>761.478363270855</v>
      </c>
      <c r="M13" t="n">
        <v>446.520452931221</v>
      </c>
    </row>
    <row r="14">
      <c r="B14" t="s">
        <v>535</v>
      </c>
      <c r="C14" t="n">
        <v>2408.96517806731</v>
      </c>
      <c r="D14" t="n">
        <v>4873.88284459621</v>
      </c>
      <c r="E14" t="n">
        <v>6189.25685967116</v>
      </c>
      <c r="F14" t="n">
        <v>13003.8062967607</v>
      </c>
      <c r="G14" t="n">
        <v>5006.15739438043</v>
      </c>
      <c r="H14" t="n">
        <v>6168.66105777347</v>
      </c>
      <c r="I14" t="n">
        <v>8000.89226520219</v>
      </c>
      <c r="J14" t="n">
        <v>224.347538826156</v>
      </c>
      <c r="K14" t="n">
        <v>618.197563717812</v>
      </c>
      <c r="L14" t="n">
        <v>758.098378306158</v>
      </c>
      <c r="M14" t="n">
        <v>447.978290324871</v>
      </c>
    </row>
    <row r="15">
      <c r="B15" t="s">
        <v>536</v>
      </c>
      <c r="C15" t="n">
        <v>2420.37063826399</v>
      </c>
      <c r="D15" t="n">
        <v>4866.04281496227</v>
      </c>
      <c r="E15" t="n">
        <v>6165.29491412908</v>
      </c>
      <c r="F15" t="n">
        <v>12996.0473308896</v>
      </c>
      <c r="G15" t="n">
        <v>5044.16983265857</v>
      </c>
      <c r="H15" t="n">
        <v>6197.80832875731</v>
      </c>
      <c r="I15" t="n">
        <v>8010.04573945307</v>
      </c>
      <c r="J15" t="n">
        <v>225.856738594284</v>
      </c>
      <c r="K15" t="n">
        <v>616.638989534502</v>
      </c>
      <c r="L15" t="n">
        <v>754.698546338672</v>
      </c>
      <c r="M15" t="n">
        <v>449.242968235048</v>
      </c>
    </row>
  </sheetData>
  <pageMargins left="0.7" right="0.7" top="0.75" bottom="0.75" header="0.3" footer="0.3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565</v>
      </c>
      <c r="D2" t="s">
        <v>566</v>
      </c>
      <c r="E2" t="s">
        <v>567</v>
      </c>
      <c r="F2" t="s">
        <v>568</v>
      </c>
      <c r="G2" t="s">
        <v>569</v>
      </c>
      <c r="H2" t="s">
        <v>570</v>
      </c>
      <c r="I2" t="s">
        <v>571</v>
      </c>
      <c r="J2" t="s">
        <v>572</v>
      </c>
      <c r="K2" t="s">
        <v>573</v>
      </c>
      <c r="L2" t="s">
        <v>574</v>
      </c>
      <c r="M2" t="s">
        <v>575</v>
      </c>
    </row>
    <row r="3">
      <c r="B3" t="s">
        <v>486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B4" t="s">
        <v>525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B5" t="s">
        <v>526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B6" t="s">
        <v>527</v>
      </c>
      <c r="C6" t="n">
        <v>1798.25327178238</v>
      </c>
      <c r="D6" t="n">
        <v>4218.77877371542</v>
      </c>
      <c r="E6" t="n">
        <v>5592.91748540448</v>
      </c>
      <c r="F6" t="n">
        <v>11167.9681547303</v>
      </c>
      <c r="G6" t="n">
        <v>4054.27312336422</v>
      </c>
      <c r="H6" t="n">
        <v>5267.86958224911</v>
      </c>
      <c r="I6" t="n">
        <v>7254.21608201824</v>
      </c>
      <c r="J6" t="n">
        <v>536.970797391175</v>
      </c>
      <c r="K6" t="n">
        <v>149.108531776498</v>
      </c>
      <c r="L6" t="n">
        <v>685.863033694235</v>
      </c>
      <c r="M6" t="n">
        <v>376.800278212486</v>
      </c>
    </row>
    <row r="7">
      <c r="B7" t="s">
        <v>528</v>
      </c>
      <c r="C7" t="n">
        <v>1724.63380704905</v>
      </c>
      <c r="D7" t="n">
        <v>4099.5699478087</v>
      </c>
      <c r="E7" t="n">
        <v>5449.07776978183</v>
      </c>
      <c r="F7" t="n">
        <v>10861.7867734588</v>
      </c>
      <c r="G7" t="n">
        <v>4012.40600809719</v>
      </c>
      <c r="H7" t="n">
        <v>5215.17232455927</v>
      </c>
      <c r="I7" t="n">
        <v>7183.02765343559</v>
      </c>
      <c r="J7" t="n">
        <v>521.893824423382</v>
      </c>
      <c r="K7" t="n">
        <v>140.809379536646</v>
      </c>
      <c r="L7" t="n">
        <v>668.509166903378</v>
      </c>
      <c r="M7" t="n">
        <v>372.381068036862</v>
      </c>
    </row>
    <row r="8">
      <c r="B8" t="s">
        <v>529</v>
      </c>
      <c r="C8" t="n">
        <v>1652.56686542699</v>
      </c>
      <c r="D8" t="n">
        <v>3981.567652261</v>
      </c>
      <c r="E8" t="n">
        <v>5306.63837356036</v>
      </c>
      <c r="F8" t="n">
        <v>10557.8044339468</v>
      </c>
      <c r="G8" t="n">
        <v>3963.2660856279</v>
      </c>
      <c r="H8" t="n">
        <v>5159.81869327184</v>
      </c>
      <c r="I8" t="n">
        <v>7104.71679578868</v>
      </c>
      <c r="J8" t="n">
        <v>506.960455497148</v>
      </c>
      <c r="K8" t="n">
        <v>132.825407607134</v>
      </c>
      <c r="L8" t="n">
        <v>651.299253872348</v>
      </c>
      <c r="M8" t="n">
        <v>365.32899671989</v>
      </c>
    </row>
    <row r="9">
      <c r="B9" t="s">
        <v>530</v>
      </c>
      <c r="C9" t="n">
        <v>1580.97879973264</v>
      </c>
      <c r="D9" t="n">
        <v>3861.9884240597</v>
      </c>
      <c r="E9" t="n">
        <v>5161.79898424707</v>
      </c>
      <c r="F9" t="n">
        <v>10248.7100250976</v>
      </c>
      <c r="G9" t="n">
        <v>3908.96911909766</v>
      </c>
      <c r="H9" t="n">
        <v>5093.73407251179</v>
      </c>
      <c r="I9" t="n">
        <v>7016.90432989425</v>
      </c>
      <c r="J9" t="n">
        <v>491.816756925108</v>
      </c>
      <c r="K9" t="n">
        <v>125.068793592391</v>
      </c>
      <c r="L9" t="n">
        <v>633.76878334795</v>
      </c>
      <c r="M9" t="n">
        <v>357.848546174799</v>
      </c>
    </row>
    <row r="10">
      <c r="B10" t="s">
        <v>531</v>
      </c>
      <c r="C10" t="n">
        <v>1510.26626665457</v>
      </c>
      <c r="D10" t="n">
        <v>3741.567983099</v>
      </c>
      <c r="E10" t="n">
        <v>5015.44704577391</v>
      </c>
      <c r="F10" t="n">
        <v>9936.51489568739</v>
      </c>
      <c r="G10" t="n">
        <v>3848.17113495589</v>
      </c>
      <c r="H10" t="n">
        <v>5022.45811256112</v>
      </c>
      <c r="I10" t="n">
        <v>6922.96215340991</v>
      </c>
      <c r="J10" t="n">
        <v>476.557025697091</v>
      </c>
      <c r="K10" t="n">
        <v>117.570538926221</v>
      </c>
      <c r="L10" t="n">
        <v>616.027899764218</v>
      </c>
      <c r="M10" t="n">
        <v>352.01565475688</v>
      </c>
    </row>
    <row r="11">
      <c r="B11" t="s">
        <v>532</v>
      </c>
      <c r="C11" t="n">
        <v>1451.39228421695</v>
      </c>
      <c r="D11" t="n">
        <v>3636.12437378252</v>
      </c>
      <c r="E11" t="n">
        <v>4884.29634340395</v>
      </c>
      <c r="F11" t="n">
        <v>9668.64102601915</v>
      </c>
      <c r="G11" t="n">
        <v>3802.58007444456</v>
      </c>
      <c r="H11" t="n">
        <v>4966.50158505813</v>
      </c>
      <c r="I11" t="n">
        <v>6850.78406850994</v>
      </c>
      <c r="J11" t="n">
        <v>462.605795838383</v>
      </c>
      <c r="K11" t="n">
        <v>111.165916304299</v>
      </c>
      <c r="L11" t="n">
        <v>599.473298037474</v>
      </c>
      <c r="M11" t="n">
        <v>345.689097676778</v>
      </c>
    </row>
    <row r="12">
      <c r="B12" t="s">
        <v>533</v>
      </c>
      <c r="C12" t="n">
        <v>1392.41189950278</v>
      </c>
      <c r="D12" t="n">
        <v>3529.30180275779</v>
      </c>
      <c r="E12" t="n">
        <v>4751.39449967641</v>
      </c>
      <c r="F12" t="n">
        <v>9395.76003892321</v>
      </c>
      <c r="G12" t="n">
        <v>3748.24995070099</v>
      </c>
      <c r="H12" t="n">
        <v>4904.75815071425</v>
      </c>
      <c r="I12" t="n">
        <v>6767.68303144292</v>
      </c>
      <c r="J12" t="n">
        <v>448.536666980152</v>
      </c>
      <c r="K12" t="n">
        <v>104.909822354557</v>
      </c>
      <c r="L12" t="n">
        <v>582.748685387629</v>
      </c>
      <c r="M12" t="n">
        <v>338.947085489075</v>
      </c>
    </row>
    <row r="13">
      <c r="B13" t="s">
        <v>534</v>
      </c>
      <c r="C13" t="n">
        <v>1334.33047279128</v>
      </c>
      <c r="D13" t="n">
        <v>3423.30782576823</v>
      </c>
      <c r="E13" t="n">
        <v>4619.59854375762</v>
      </c>
      <c r="F13" t="n">
        <v>9123.84442041536</v>
      </c>
      <c r="G13" t="n">
        <v>3691.50437164804</v>
      </c>
      <c r="H13" t="n">
        <v>4838.35478091305</v>
      </c>
      <c r="I13" t="n">
        <v>6681.92710285778</v>
      </c>
      <c r="J13" t="n">
        <v>434.625951042487</v>
      </c>
      <c r="K13" t="n">
        <v>98.878383976043</v>
      </c>
      <c r="L13" t="n">
        <v>566.201718344714</v>
      </c>
      <c r="M13" t="n">
        <v>332.012910570106</v>
      </c>
    </row>
    <row r="14">
      <c r="B14" t="s">
        <v>535</v>
      </c>
      <c r="C14" t="n">
        <v>1277.52566689014</v>
      </c>
      <c r="D14" t="n">
        <v>3318.87705399755</v>
      </c>
      <c r="E14" t="n">
        <v>4489.8130361615</v>
      </c>
      <c r="F14" t="n">
        <v>8854.9593227909</v>
      </c>
      <c r="G14" t="n">
        <v>3631.5685776143</v>
      </c>
      <c r="H14" t="n">
        <v>4768.57563385363</v>
      </c>
      <c r="I14" t="n">
        <v>6592.9513837983</v>
      </c>
      <c r="J14" t="n">
        <v>420.962459394162</v>
      </c>
      <c r="K14" t="n">
        <v>93.0962525841478</v>
      </c>
      <c r="L14" t="n">
        <v>549.940010373511</v>
      </c>
      <c r="M14" t="n">
        <v>324.972579652286</v>
      </c>
    </row>
    <row r="15">
      <c r="B15" t="s">
        <v>536</v>
      </c>
      <c r="C15" t="n">
        <v>1222.45164375845</v>
      </c>
      <c r="D15" t="n">
        <v>3217.02754884731</v>
      </c>
      <c r="E15" t="n">
        <v>4363.34688060972</v>
      </c>
      <c r="F15" t="n">
        <v>8591.91829571267</v>
      </c>
      <c r="G15" t="n">
        <v>3569.89617060444</v>
      </c>
      <c r="H15" t="n">
        <v>4697.16413955045</v>
      </c>
      <c r="I15" t="n">
        <v>6502.94984618443</v>
      </c>
      <c r="J15" t="n">
        <v>407.67101574326</v>
      </c>
      <c r="K15" t="n">
        <v>87.5911372268065</v>
      </c>
      <c r="L15" t="n">
        <v>534.120685844387</v>
      </c>
      <c r="M15" t="n">
        <v>317.941466123872</v>
      </c>
    </row>
    <row r="16">
      <c r="B16" t="s">
        <v>550</v>
      </c>
      <c r="C16" t="n">
        <v>14944.8109778052</v>
      </c>
      <c r="D16" t="n">
        <v>37028.1113860972</v>
      </c>
      <c r="E16" t="n">
        <v>49634.3289623769</v>
      </c>
      <c r="F16" t="n">
        <v>98407.9073867822</v>
      </c>
      <c r="G16" t="n">
        <v>38230.8846161552</v>
      </c>
      <c r="H16" t="n">
        <v>49934.4070752426</v>
      </c>
      <c r="I16" t="n">
        <v>68878.1224473401</v>
      </c>
      <c r="J16" t="n">
        <v>4708.60074893235</v>
      </c>
      <c r="K16" t="n">
        <v>1161.02416388474</v>
      </c>
      <c r="L16" t="n">
        <v>6087.95253556984</v>
      </c>
      <c r="M16" t="n">
        <v>3483.93768341304</v>
      </c>
    </row>
    <row r="17">
      <c r="B17" t="s">
        <v>551</v>
      </c>
      <c r="C17" t="n">
        <v>1590.96128792931</v>
      </c>
      <c r="D17" t="n">
        <v>3481.73642716181</v>
      </c>
      <c r="E17" t="n">
        <v>4519.11982549595</v>
      </c>
      <c r="F17" t="n">
        <v>9253.25065317728</v>
      </c>
      <c r="G17" t="n">
        <v>3480.85593634349</v>
      </c>
      <c r="H17" t="n">
        <v>4400.13769310826</v>
      </c>
      <c r="I17" t="n">
        <v>5871.19577685398</v>
      </c>
      <c r="J17" t="n">
        <v>442.747581089824</v>
      </c>
      <c r="K17" t="n">
        <v>138.917525915498</v>
      </c>
      <c r="L17" t="n">
        <v>554.297551217555</v>
      </c>
      <c r="M17" t="n">
        <v>306.998849473201</v>
      </c>
    </row>
  </sheetData>
  <pageMargins left="0.7" right="0.7" top="0.75" bottom="0.75" header="0.3" footer="0.3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</row>
    <row r="3">
      <c r="B3" t="s">
        <v>486</v>
      </c>
      <c r="C3" t="n">
        <v>20.2477628816478</v>
      </c>
      <c r="D3" t="n">
        <v>44.0482905413638</v>
      </c>
      <c r="E3" t="n">
        <v>57.4218878590414</v>
      </c>
      <c r="F3" t="n">
        <v>116.267043555138</v>
      </c>
      <c r="G3" t="n">
        <v>39.4727560405483</v>
      </c>
      <c r="H3" t="n">
        <v>50.7700376252488</v>
      </c>
      <c r="I3" t="n">
        <v>69.4633812546093</v>
      </c>
      <c r="J3" t="n">
        <v>1.82340787533815</v>
      </c>
      <c r="K3" t="n">
        <v>5.60305062886322</v>
      </c>
      <c r="L3" t="n">
        <v>7.03172331146828</v>
      </c>
      <c r="M3" t="n">
        <v>3.73866872587211</v>
      </c>
    </row>
    <row r="4">
      <c r="B4" t="s">
        <v>525</v>
      </c>
      <c r="C4" t="n">
        <v>31.2530077105696</v>
      </c>
      <c r="D4" t="n">
        <v>67.4935936760659</v>
      </c>
      <c r="E4" t="n">
        <v>87.7535701167144</v>
      </c>
      <c r="F4" t="n">
        <v>178.333973883129</v>
      </c>
      <c r="G4" t="n">
        <v>61.488866907531</v>
      </c>
      <c r="H4" t="n">
        <v>78.6766997832582</v>
      </c>
      <c r="I4" t="n">
        <v>106.919617654171</v>
      </c>
      <c r="J4" t="n">
        <v>2.82638419561307</v>
      </c>
      <c r="K4" t="n">
        <v>8.58721934967547</v>
      </c>
      <c r="L4" t="n">
        <v>10.7513897145602</v>
      </c>
      <c r="M4" t="n">
        <v>5.80997167630215</v>
      </c>
    </row>
    <row r="5">
      <c r="B5" t="s">
        <v>526</v>
      </c>
      <c r="C5" t="n">
        <v>42.9545345008404</v>
      </c>
      <c r="D5" t="n">
        <v>92.1283732933542</v>
      </c>
      <c r="E5" t="n">
        <v>119.483862365551</v>
      </c>
      <c r="F5" t="n">
        <v>243.659952395343</v>
      </c>
      <c r="G5" t="n">
        <v>85.1768693474414</v>
      </c>
      <c r="H5" t="n">
        <v>108.479975112307</v>
      </c>
      <c r="I5" t="n">
        <v>146.622070065375</v>
      </c>
      <c r="J5" t="n">
        <v>3.89986516148535</v>
      </c>
      <c r="K5" t="n">
        <v>11.7239172529689</v>
      </c>
      <c r="L5" t="n">
        <v>14.6458220927697</v>
      </c>
      <c r="M5" t="n">
        <v>7.98198335394262</v>
      </c>
    </row>
    <row r="6">
      <c r="B6" t="s">
        <v>527</v>
      </c>
      <c r="C6" t="n">
        <v>939.420386740124</v>
      </c>
      <c r="D6" t="n">
        <v>2001.86829791483</v>
      </c>
      <c r="E6" t="n">
        <v>2590.12286213508</v>
      </c>
      <c r="F6" t="n">
        <v>5299.3538178319</v>
      </c>
      <c r="G6" t="n">
        <v>1877.56489051904</v>
      </c>
      <c r="H6" t="n">
        <v>2380.66616474381</v>
      </c>
      <c r="I6" t="n">
        <v>3198.77229084806</v>
      </c>
      <c r="J6" t="n">
        <v>85.6020191059664</v>
      </c>
      <c r="K6" t="n">
        <v>254.799996364055</v>
      </c>
      <c r="L6" t="n">
        <v>317.628416385672</v>
      </c>
      <c r="M6" t="n">
        <v>174.499090609494</v>
      </c>
    </row>
    <row r="7">
      <c r="B7" t="s">
        <v>528</v>
      </c>
      <c r="C7" t="n">
        <v>965.070121032977</v>
      </c>
      <c r="D7" t="n">
        <v>2044.03265386121</v>
      </c>
      <c r="E7" t="n">
        <v>2638.71435064606</v>
      </c>
      <c r="F7" t="n">
        <v>5415.65264817469</v>
      </c>
      <c r="G7" t="n">
        <v>1943.0064611848</v>
      </c>
      <c r="H7" t="n">
        <v>2452.4257885952</v>
      </c>
      <c r="I7" t="n">
        <v>3279.66867868199</v>
      </c>
      <c r="J7" t="n">
        <v>88.2389702659025</v>
      </c>
      <c r="K7" t="n">
        <v>260.214615813571</v>
      </c>
      <c r="L7" t="n">
        <v>323.725372764686</v>
      </c>
      <c r="M7" t="n">
        <v>180.325425632</v>
      </c>
    </row>
    <row r="8">
      <c r="B8" t="s">
        <v>529</v>
      </c>
      <c r="C8" t="n">
        <v>990.554586036122</v>
      </c>
      <c r="D8" t="n">
        <v>2085.97428863462</v>
      </c>
      <c r="E8" t="n">
        <v>2687.08144293677</v>
      </c>
      <c r="F8" t="n">
        <v>5531.31593309467</v>
      </c>
      <c r="G8" t="n">
        <v>2006.84840428768</v>
      </c>
      <c r="H8" t="n">
        <v>2524.81709857869</v>
      </c>
      <c r="I8" t="n">
        <v>3358.94850237201</v>
      </c>
      <c r="J8" t="n">
        <v>90.8577295261492</v>
      </c>
      <c r="K8" t="n">
        <v>265.600529208896</v>
      </c>
      <c r="L8" t="n">
        <v>329.793367416663</v>
      </c>
      <c r="M8" t="n">
        <v>184.988819389647</v>
      </c>
    </row>
    <row r="9">
      <c r="B9" t="s">
        <v>530</v>
      </c>
      <c r="C9" t="n">
        <v>1015.84686049901</v>
      </c>
      <c r="D9" t="n">
        <v>2127.63227275437</v>
      </c>
      <c r="E9" t="n">
        <v>2735.14159951327</v>
      </c>
      <c r="F9" t="n">
        <v>5646.18114017471</v>
      </c>
      <c r="G9" t="n">
        <v>2071.29027718546</v>
      </c>
      <c r="H9" t="n">
        <v>2595.52637318824</v>
      </c>
      <c r="I9" t="n">
        <v>3437.65031463952</v>
      </c>
      <c r="J9" t="n">
        <v>93.4559563559603</v>
      </c>
      <c r="K9" t="n">
        <v>270.949855208338</v>
      </c>
      <c r="L9" t="n">
        <v>335.822330373204</v>
      </c>
      <c r="M9" t="n">
        <v>189.617311320155</v>
      </c>
    </row>
    <row r="10">
      <c r="B10" t="s">
        <v>531</v>
      </c>
      <c r="C10" t="n">
        <v>1040.95153986311</v>
      </c>
      <c r="D10" t="n">
        <v>2169.01203234343</v>
      </c>
      <c r="E10" t="n">
        <v>2782.90086748128</v>
      </c>
      <c r="F10" t="n">
        <v>5760.26427039677</v>
      </c>
      <c r="G10" t="n">
        <v>2135.21919221713</v>
      </c>
      <c r="H10" t="n">
        <v>2666.80442770154</v>
      </c>
      <c r="I10" t="n">
        <v>3516.89689196262</v>
      </c>
      <c r="J10" t="n">
        <v>96.0341742310068</v>
      </c>
      <c r="K10" t="n">
        <v>276.263301242665</v>
      </c>
      <c r="L10" t="n">
        <v>341.812915379307</v>
      </c>
      <c r="M10" t="n">
        <v>195.32150614876</v>
      </c>
    </row>
    <row r="11">
      <c r="B11" t="s">
        <v>532</v>
      </c>
      <c r="C11" t="n">
        <v>1073.86233328158</v>
      </c>
      <c r="D11" t="n">
        <v>2219.63613096586</v>
      </c>
      <c r="E11" t="n">
        <v>2839.95506483733</v>
      </c>
      <c r="F11" t="n">
        <v>5902.12620707635</v>
      </c>
      <c r="G11" t="n">
        <v>2210.99535789883</v>
      </c>
      <c r="H11" t="n">
        <v>2749.93928130274</v>
      </c>
      <c r="I11" t="n">
        <v>3611.36604412046</v>
      </c>
      <c r="J11" t="n">
        <v>99.3299547465339</v>
      </c>
      <c r="K11" t="n">
        <v>282.393128860147</v>
      </c>
      <c r="L11" t="n">
        <v>348.561411777439</v>
      </c>
      <c r="M11" t="n">
        <v>200.999577990802</v>
      </c>
    </row>
    <row r="12">
      <c r="B12" t="s">
        <v>533</v>
      </c>
      <c r="C12" t="n">
        <v>1106.64063019446</v>
      </c>
      <c r="D12" t="n">
        <v>2270.15162560441</v>
      </c>
      <c r="E12" t="n">
        <v>2896.94470194757</v>
      </c>
      <c r="F12" t="n">
        <v>6043.63160710239</v>
      </c>
      <c r="G12" t="n">
        <v>2285.32335864724</v>
      </c>
      <c r="H12" t="n">
        <v>2833.84493438797</v>
      </c>
      <c r="I12" t="n">
        <v>3704.44430911072</v>
      </c>
      <c r="J12" t="n">
        <v>102.61109013421</v>
      </c>
      <c r="K12" t="n">
        <v>288.512091227936</v>
      </c>
      <c r="L12" t="n">
        <v>355.304262109909</v>
      </c>
      <c r="M12" t="n">
        <v>206.65742733318</v>
      </c>
    </row>
    <row r="13">
      <c r="B13" t="s">
        <v>534</v>
      </c>
      <c r="C13" t="n">
        <v>1139.48387118496</v>
      </c>
      <c r="D13" t="n">
        <v>2320.95028818982</v>
      </c>
      <c r="E13" t="n">
        <v>2954.36268702996</v>
      </c>
      <c r="F13" t="n">
        <v>6185.82681275821</v>
      </c>
      <c r="G13" t="n">
        <v>2360.82046335868</v>
      </c>
      <c r="H13" t="n">
        <v>2917.91717909793</v>
      </c>
      <c r="I13" t="n">
        <v>3798.98369416689</v>
      </c>
      <c r="J13" t="n">
        <v>105.896079348252</v>
      </c>
      <c r="K13" t="n">
        <v>294.669739815309</v>
      </c>
      <c r="L13" t="n">
        <v>362.10186105246</v>
      </c>
      <c r="M13" t="n">
        <v>212.331557668792</v>
      </c>
    </row>
    <row r="14">
      <c r="B14" t="s">
        <v>535</v>
      </c>
      <c r="C14" t="n">
        <v>1172.2535715242</v>
      </c>
      <c r="D14" t="n">
        <v>2371.7348111907</v>
      </c>
      <c r="E14" t="n">
        <v>3011.82371787171</v>
      </c>
      <c r="F14" t="n">
        <v>6327.92807200995</v>
      </c>
      <c r="G14" t="n">
        <v>2436.10241385182</v>
      </c>
      <c r="H14" t="n">
        <v>3001.80136364559</v>
      </c>
      <c r="I14" t="n">
        <v>3893.40394732827</v>
      </c>
      <c r="J14" t="n">
        <v>109.172272827381</v>
      </c>
      <c r="K14" t="n">
        <v>300.82805205062</v>
      </c>
      <c r="L14" t="n">
        <v>368.90675698728</v>
      </c>
      <c r="M14" t="n">
        <v>217.995741731706</v>
      </c>
    </row>
    <row r="15">
      <c r="B15" t="s">
        <v>536</v>
      </c>
      <c r="C15" t="n">
        <v>1205.01129846097</v>
      </c>
      <c r="D15" t="n">
        <v>2422.61927909935</v>
      </c>
      <c r="E15" t="n">
        <v>3069.4679204992</v>
      </c>
      <c r="F15" t="n">
        <v>6470.24204536208</v>
      </c>
      <c r="G15" t="n">
        <v>2511.30200623703</v>
      </c>
      <c r="H15" t="n">
        <v>3085.65512396266</v>
      </c>
      <c r="I15" t="n">
        <v>3987.89981362239</v>
      </c>
      <c r="J15" t="n">
        <v>112.445555873568</v>
      </c>
      <c r="K15" t="n">
        <v>307.001307036838</v>
      </c>
      <c r="L15" t="n">
        <v>375.735955846188</v>
      </c>
      <c r="M15" t="n">
        <v>223.661138471607</v>
      </c>
    </row>
  </sheetData>
  <pageMargins left="0.7" right="0.7" top="0.75" bottom="0.75" header="0.3" footer="0.3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565</v>
      </c>
      <c r="D2" t="s">
        <v>566</v>
      </c>
      <c r="E2" t="s">
        <v>567</v>
      </c>
      <c r="F2" t="s">
        <v>568</v>
      </c>
      <c r="G2" t="s">
        <v>569</v>
      </c>
      <c r="H2" t="s">
        <v>570</v>
      </c>
      <c r="I2" t="s">
        <v>571</v>
      </c>
      <c r="J2" t="s">
        <v>572</v>
      </c>
      <c r="K2" t="s">
        <v>573</v>
      </c>
      <c r="L2" t="s">
        <v>574</v>
      </c>
      <c r="M2" t="s">
        <v>575</v>
      </c>
    </row>
    <row r="3">
      <c r="B3" t="s">
        <v>486</v>
      </c>
      <c r="C3" t="n">
        <v>18.3653178064832</v>
      </c>
      <c r="D3" t="n">
        <v>41.5197384686246</v>
      </c>
      <c r="E3" t="n">
        <v>54.6549795208009</v>
      </c>
      <c r="F3" t="n">
        <v>109.59283962215</v>
      </c>
      <c r="G3" t="n">
        <v>37.5707374567979</v>
      </c>
      <c r="H3" t="n">
        <v>48.798575187667</v>
      </c>
      <c r="I3" t="n">
        <v>67.4254471155421</v>
      </c>
      <c r="J3" t="n">
        <v>5.28141260143578</v>
      </c>
      <c r="K3" t="n">
        <v>1.59263505575871</v>
      </c>
      <c r="L3" t="n">
        <v>6.69289547789961</v>
      </c>
      <c r="M3" t="n">
        <v>3.55851871588065</v>
      </c>
    </row>
    <row r="4">
      <c r="B4" t="s">
        <v>525</v>
      </c>
      <c r="C4" t="n">
        <v>26.9975231275842</v>
      </c>
      <c r="D4" t="n">
        <v>61.7661993124229</v>
      </c>
      <c r="E4" t="n">
        <v>81.4879135164859</v>
      </c>
      <c r="F4" t="n">
        <v>163.200848778449</v>
      </c>
      <c r="G4" t="n">
        <v>57.0985255884562</v>
      </c>
      <c r="H4" t="n">
        <v>74.1388114142168</v>
      </c>
      <c r="I4" t="n">
        <v>102.249047326977</v>
      </c>
      <c r="J4" t="n">
        <v>7.85852216489157</v>
      </c>
      <c r="K4" t="n">
        <v>2.30717141815681</v>
      </c>
      <c r="L4" t="n">
        <v>9.98373415550928</v>
      </c>
      <c r="M4" t="n">
        <v>5.3951362760746</v>
      </c>
    </row>
    <row r="5">
      <c r="B5" t="s">
        <v>526</v>
      </c>
      <c r="C5" t="n">
        <v>35.3388018373747</v>
      </c>
      <c r="D5" t="n">
        <v>81.8548664166868</v>
      </c>
      <c r="E5" t="n">
        <v>108.246482153236</v>
      </c>
      <c r="F5" t="n">
        <v>216.488711799016</v>
      </c>
      <c r="G5" t="n">
        <v>77.166039707339</v>
      </c>
      <c r="H5" t="n">
        <v>100.218728822975</v>
      </c>
      <c r="I5" t="n">
        <v>138.145002227592</v>
      </c>
      <c r="J5" t="n">
        <v>10.4165486300981</v>
      </c>
      <c r="K5" t="n">
        <v>2.97518845932812</v>
      </c>
      <c r="L5" t="n">
        <v>13.2683919685672</v>
      </c>
      <c r="M5" t="n">
        <v>7.23128296628523</v>
      </c>
    </row>
    <row r="6">
      <c r="B6" t="s">
        <v>527</v>
      </c>
      <c r="C6" t="n">
        <v>736.060454324806</v>
      </c>
      <c r="D6" t="n">
        <v>1726.82917896151</v>
      </c>
      <c r="E6" t="n">
        <v>2289.29119713353</v>
      </c>
      <c r="F6" t="n">
        <v>4571.26915482156</v>
      </c>
      <c r="G6" t="n">
        <v>1659.49377875035</v>
      </c>
      <c r="H6" t="n">
        <v>2156.24269332809</v>
      </c>
      <c r="I6" t="n">
        <v>2969.29340760117</v>
      </c>
      <c r="J6" t="n">
        <v>219.792715124687</v>
      </c>
      <c r="K6" t="n">
        <v>61.0330565584509</v>
      </c>
      <c r="L6" t="n">
        <v>280.737237689098</v>
      </c>
      <c r="M6" t="n">
        <v>154.231769419163</v>
      </c>
    </row>
    <row r="7">
      <c r="B7" t="s">
        <v>528</v>
      </c>
      <c r="C7" t="n">
        <v>720.150183148781</v>
      </c>
      <c r="D7" t="n">
        <v>1711.84516775608</v>
      </c>
      <c r="E7" t="n">
        <v>2275.35511472711</v>
      </c>
      <c r="F7" t="n">
        <v>4535.52383251345</v>
      </c>
      <c r="G7" t="n">
        <v>1675.44838202066</v>
      </c>
      <c r="H7" t="n">
        <v>2177.68391720794</v>
      </c>
      <c r="I7" t="n">
        <v>2999.39538413402</v>
      </c>
      <c r="J7" t="n">
        <v>217.925644102851</v>
      </c>
      <c r="K7" t="n">
        <v>58.7973516742606</v>
      </c>
      <c r="L7" t="n">
        <v>279.147374366885</v>
      </c>
      <c r="M7" t="n">
        <v>155.494049375467</v>
      </c>
    </row>
    <row r="8">
      <c r="B8" t="s">
        <v>529</v>
      </c>
      <c r="C8" t="n">
        <v>703.968650770643</v>
      </c>
      <c r="D8" t="n">
        <v>1696.0879869693</v>
      </c>
      <c r="E8" t="n">
        <v>2260.5482017805</v>
      </c>
      <c r="F8" t="n">
        <v>4497.46603175752</v>
      </c>
      <c r="G8" t="n">
        <v>1688.29179460986</v>
      </c>
      <c r="H8" t="n">
        <v>2198.00522430613</v>
      </c>
      <c r="I8" t="n">
        <v>3026.50258907776</v>
      </c>
      <c r="J8" t="n">
        <v>215.957535708056</v>
      </c>
      <c r="K8" t="n">
        <v>56.5816276106294</v>
      </c>
      <c r="L8" t="n">
        <v>277.443694768731</v>
      </c>
      <c r="M8" t="n">
        <v>155.624662631635</v>
      </c>
    </row>
    <row r="9">
      <c r="B9" t="s">
        <v>530</v>
      </c>
      <c r="C9" t="n">
        <v>687.565140978993</v>
      </c>
      <c r="D9" t="n">
        <v>1679.57256333665</v>
      </c>
      <c r="E9" t="n">
        <v>2244.85808848875</v>
      </c>
      <c r="F9" t="n">
        <v>4457.1475306631</v>
      </c>
      <c r="G9" t="n">
        <v>1700.00439215846</v>
      </c>
      <c r="H9" t="n">
        <v>2215.25676768615</v>
      </c>
      <c r="I9" t="n">
        <v>3051.64042404346</v>
      </c>
      <c r="J9" t="n">
        <v>213.890317737485</v>
      </c>
      <c r="K9" t="n">
        <v>54.3922174750018</v>
      </c>
      <c r="L9" t="n">
        <v>275.625026056269</v>
      </c>
      <c r="M9" t="n">
        <v>155.627758032816</v>
      </c>
    </row>
    <row r="10">
      <c r="B10" t="s">
        <v>531</v>
      </c>
      <c r="C10" t="n">
        <v>671.006643946409</v>
      </c>
      <c r="D10" t="n">
        <v>1662.36711424266</v>
      </c>
      <c r="E10" t="n">
        <v>2228.34765258345</v>
      </c>
      <c r="F10" t="n">
        <v>4414.76291955324</v>
      </c>
      <c r="G10" t="n">
        <v>1709.73056580147</v>
      </c>
      <c r="H10" t="n">
        <v>2231.46264793178</v>
      </c>
      <c r="I10" t="n">
        <v>3075.85073128703</v>
      </c>
      <c r="J10" t="n">
        <v>211.732816604866</v>
      </c>
      <c r="K10" t="n">
        <v>52.2362278054496</v>
      </c>
      <c r="L10" t="n">
        <v>273.699295763114</v>
      </c>
      <c r="M10" t="n">
        <v>156.399469636725</v>
      </c>
    </row>
    <row r="11">
      <c r="B11" t="s">
        <v>532</v>
      </c>
      <c r="C11" t="n">
        <v>659.258318879763</v>
      </c>
      <c r="D11" t="n">
        <v>1651.61773833661</v>
      </c>
      <c r="E11" t="n">
        <v>2218.56835762381</v>
      </c>
      <c r="F11" t="n">
        <v>4391.736195638</v>
      </c>
      <c r="G11" t="n">
        <v>1727.22603981357</v>
      </c>
      <c r="H11" t="n">
        <v>2255.90801417661</v>
      </c>
      <c r="I11" t="n">
        <v>3111.79578197277</v>
      </c>
      <c r="J11" t="n">
        <v>210.127008793482</v>
      </c>
      <c r="K11" t="n">
        <v>50.4943121831741</v>
      </c>
      <c r="L11" t="n">
        <v>272.295617783798</v>
      </c>
      <c r="M11" t="n">
        <v>157.020549073961</v>
      </c>
    </row>
    <row r="12">
      <c r="B12" t="s">
        <v>533</v>
      </c>
      <c r="C12" t="n">
        <v>647.029856936267</v>
      </c>
      <c r="D12" t="n">
        <v>1640.00583544189</v>
      </c>
      <c r="E12" t="n">
        <v>2207.89128882855</v>
      </c>
      <c r="F12" t="n">
        <v>4366.04806089554</v>
      </c>
      <c r="G12" t="n">
        <v>1741.74727336751</v>
      </c>
      <c r="H12" t="n">
        <v>2279.15673924999</v>
      </c>
      <c r="I12" t="n">
        <v>3144.82588463097</v>
      </c>
      <c r="J12" t="n">
        <v>208.427273259064</v>
      </c>
      <c r="K12" t="n">
        <v>48.7497897522406</v>
      </c>
      <c r="L12" t="n">
        <v>270.793289450341</v>
      </c>
      <c r="M12" t="n">
        <v>157.502879938957</v>
      </c>
    </row>
    <row r="13">
      <c r="B13" t="s">
        <v>534</v>
      </c>
      <c r="C13" t="n">
        <v>634.507256885605</v>
      </c>
      <c r="D13" t="n">
        <v>1627.86783506442</v>
      </c>
      <c r="E13" t="n">
        <v>2196.7337624994</v>
      </c>
      <c r="F13" t="n">
        <v>4338.61446882683</v>
      </c>
      <c r="G13" t="n">
        <v>1755.40194906574</v>
      </c>
      <c r="H13" t="n">
        <v>2300.7577826312</v>
      </c>
      <c r="I13" t="n">
        <v>3177.42217778689</v>
      </c>
      <c r="J13" t="n">
        <v>206.675426808156</v>
      </c>
      <c r="K13" t="n">
        <v>47.0191256673298</v>
      </c>
      <c r="L13" t="n">
        <v>269.242969771416</v>
      </c>
      <c r="M13" t="n">
        <v>157.880379285467</v>
      </c>
    </row>
    <row r="14">
      <c r="B14" t="s">
        <v>535</v>
      </c>
      <c r="C14" t="n">
        <v>621.671097349486</v>
      </c>
      <c r="D14" t="n">
        <v>1615.03599778877</v>
      </c>
      <c r="E14" t="n">
        <v>2184.838292822</v>
      </c>
      <c r="F14" t="n">
        <v>4309.01110001562</v>
      </c>
      <c r="G14" t="n">
        <v>1767.1983281879</v>
      </c>
      <c r="H14" t="n">
        <v>2320.49008792771</v>
      </c>
      <c r="I14" t="n">
        <v>3208.27003931355</v>
      </c>
      <c r="J14" t="n">
        <v>204.849265151407</v>
      </c>
      <c r="K14" t="n">
        <v>45.302611918551</v>
      </c>
      <c r="L14" t="n">
        <v>267.612478234997</v>
      </c>
      <c r="M14" t="n">
        <v>158.138552857978</v>
      </c>
    </row>
    <row r="15">
      <c r="B15" t="s">
        <v>536</v>
      </c>
      <c r="C15" t="n">
        <v>608.612589850153</v>
      </c>
      <c r="D15" t="n">
        <v>1601.63674213205</v>
      </c>
      <c r="E15" t="n">
        <v>2172.34592385005</v>
      </c>
      <c r="F15" t="n">
        <v>4277.59222414515</v>
      </c>
      <c r="G15" t="n">
        <v>1777.31672658049</v>
      </c>
      <c r="H15" t="n">
        <v>2338.54095294418</v>
      </c>
      <c r="I15" t="n">
        <v>3237.57358236576</v>
      </c>
      <c r="J15" t="n">
        <v>202.964030491642</v>
      </c>
      <c r="K15" t="n">
        <v>43.6083252435467</v>
      </c>
      <c r="L15" t="n">
        <v>265.918554377211</v>
      </c>
      <c r="M15" t="n">
        <v>158.291070330991</v>
      </c>
    </row>
    <row r="16">
      <c r="B16" t="s">
        <v>550</v>
      </c>
      <c r="C16" t="n">
        <v>6770.53183584235</v>
      </c>
      <c r="D16" t="n">
        <v>16798.0069642277</v>
      </c>
      <c r="E16" t="n">
        <v>22523.1672555277</v>
      </c>
      <c r="F16" t="n">
        <v>44648.4539190296</v>
      </c>
      <c r="G16" t="n">
        <v>17373.6945331086</v>
      </c>
      <c r="H16" t="n">
        <v>22696.6609428146</v>
      </c>
      <c r="I16" t="n">
        <v>31310.3894988835</v>
      </c>
      <c r="J16" t="n">
        <v>2135.89851717812</v>
      </c>
      <c r="K16" t="n">
        <v>525.089640821878</v>
      </c>
      <c r="L16" t="n">
        <v>2762.46055986384</v>
      </c>
      <c r="M16" t="n">
        <v>1582.3960785414</v>
      </c>
    </row>
    <row r="17">
      <c r="B17" t="s">
        <v>551</v>
      </c>
      <c r="C17" t="n">
        <v>720.762147177056</v>
      </c>
      <c r="D17" t="n">
        <v>1579.50893420475</v>
      </c>
      <c r="E17" t="n">
        <v>2050.69543207827</v>
      </c>
      <c r="F17" t="n">
        <v>4198.27376031683</v>
      </c>
      <c r="G17" t="n">
        <v>1581.8448450506</v>
      </c>
      <c r="H17" t="n">
        <v>1999.99237342885</v>
      </c>
      <c r="I17" t="n">
        <v>2668.90879230982</v>
      </c>
      <c r="J17" t="n">
        <v>200.83756350512</v>
      </c>
      <c r="K17" t="n">
        <v>62.8274208719004</v>
      </c>
      <c r="L17" t="n">
        <v>251.517257192984</v>
      </c>
      <c r="M17" t="n">
        <v>139.43813571522</v>
      </c>
    </row>
  </sheetData>
  <pageMargins left="0.7" right="0.7" top="0.75" bottom="0.75" header="0.3" footer="0.3"/>
  <pageSetup paperSize="9"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</row>
    <row r="3">
      <c r="B3" t="s">
        <v>486</v>
      </c>
      <c r="C3" t="n">
        <v>20.2477628816478</v>
      </c>
      <c r="D3" t="n">
        <v>44.0482905413638</v>
      </c>
      <c r="E3" t="n">
        <v>57.4218878590414</v>
      </c>
      <c r="F3" t="n">
        <v>116.267043555138</v>
      </c>
      <c r="G3" t="n">
        <v>39.4727560405483</v>
      </c>
      <c r="H3" t="n">
        <v>50.7700376252488</v>
      </c>
      <c r="I3" t="n">
        <v>69.4633812546093</v>
      </c>
      <c r="J3" t="n">
        <v>1.82340787533815</v>
      </c>
      <c r="K3" t="n">
        <v>5.60305062886322</v>
      </c>
      <c r="L3" t="n">
        <v>7.03172331146828</v>
      </c>
      <c r="M3" t="n">
        <v>3.73866872587211</v>
      </c>
    </row>
    <row r="4">
      <c r="B4" t="s">
        <v>525</v>
      </c>
      <c r="C4" t="n">
        <v>31.2530077105696</v>
      </c>
      <c r="D4" t="n">
        <v>67.4935936760659</v>
      </c>
      <c r="E4" t="n">
        <v>87.7535701167144</v>
      </c>
      <c r="F4" t="n">
        <v>178.333973883129</v>
      </c>
      <c r="G4" t="n">
        <v>61.488866907531</v>
      </c>
      <c r="H4" t="n">
        <v>78.6766997832582</v>
      </c>
      <c r="I4" t="n">
        <v>106.919617654171</v>
      </c>
      <c r="J4" t="n">
        <v>2.82638419561307</v>
      </c>
      <c r="K4" t="n">
        <v>8.58721934967547</v>
      </c>
      <c r="L4" t="n">
        <v>10.7513897145602</v>
      </c>
      <c r="M4" t="n">
        <v>5.80997167630215</v>
      </c>
    </row>
    <row r="5">
      <c r="B5" t="s">
        <v>526</v>
      </c>
      <c r="C5" t="n">
        <v>42.9545345008404</v>
      </c>
      <c r="D5" t="n">
        <v>92.1283732933542</v>
      </c>
      <c r="E5" t="n">
        <v>119.483862365551</v>
      </c>
      <c r="F5" t="n">
        <v>243.659952395343</v>
      </c>
      <c r="G5" t="n">
        <v>85.1768693474414</v>
      </c>
      <c r="H5" t="n">
        <v>108.479975112307</v>
      </c>
      <c r="I5" t="n">
        <v>146.622070065375</v>
      </c>
      <c r="J5" t="n">
        <v>3.89986516148535</v>
      </c>
      <c r="K5" t="n">
        <v>11.7239172529689</v>
      </c>
      <c r="L5" t="n">
        <v>14.6458220927697</v>
      </c>
      <c r="M5" t="n">
        <v>7.98198335394262</v>
      </c>
    </row>
    <row r="6">
      <c r="B6" t="s">
        <v>527</v>
      </c>
      <c r="C6" t="n">
        <v>55.1083947247818</v>
      </c>
      <c r="D6" t="n">
        <v>117.433845279149</v>
      </c>
      <c r="E6" t="n">
        <v>151.942107161985</v>
      </c>
      <c r="F6" t="n">
        <v>310.871348015729</v>
      </c>
      <c r="G6" t="n">
        <v>110.14194344575</v>
      </c>
      <c r="H6" t="n">
        <v>139.654932516306</v>
      </c>
      <c r="I6" t="n">
        <v>187.646775104014</v>
      </c>
      <c r="J6" t="n">
        <v>5.0215962147678</v>
      </c>
      <c r="K6" t="n">
        <v>14.9471088489244</v>
      </c>
      <c r="L6" t="n">
        <v>18.6327573821657</v>
      </c>
      <c r="M6" t="n">
        <v>10.2364872001481</v>
      </c>
    </row>
    <row r="7">
      <c r="B7" t="s">
        <v>528</v>
      </c>
      <c r="C7" t="n">
        <v>67.7016104157853</v>
      </c>
      <c r="D7" t="n">
        <v>143.393002635636</v>
      </c>
      <c r="E7" t="n">
        <v>185.111119982418</v>
      </c>
      <c r="F7" t="n">
        <v>379.918927902867</v>
      </c>
      <c r="G7" t="n">
        <v>136.305811985647</v>
      </c>
      <c r="H7" t="n">
        <v>172.042602599054</v>
      </c>
      <c r="I7" t="n">
        <v>230.075355497815</v>
      </c>
      <c r="J7" t="n">
        <v>6.19014127391896</v>
      </c>
      <c r="K7" t="n">
        <v>18.254578771382</v>
      </c>
      <c r="L7" t="n">
        <v>22.7099861356818</v>
      </c>
      <c r="M7" t="n">
        <v>12.6501913675775</v>
      </c>
    </row>
    <row r="8">
      <c r="B8" t="s">
        <v>529</v>
      </c>
      <c r="C8" t="n">
        <v>80.8606822843658</v>
      </c>
      <c r="D8" t="n">
        <v>170.281685213952</v>
      </c>
      <c r="E8" t="n">
        <v>219.351100779823</v>
      </c>
      <c r="F8" t="n">
        <v>451.530876324779</v>
      </c>
      <c r="G8" t="n">
        <v>163.822502565321</v>
      </c>
      <c r="H8" t="n">
        <v>206.105181998381</v>
      </c>
      <c r="I8" t="n">
        <v>274.196769656816</v>
      </c>
      <c r="J8" t="n">
        <v>7.41687344025368</v>
      </c>
      <c r="K8" t="n">
        <v>21.6814300894436</v>
      </c>
      <c r="L8" t="n">
        <v>26.9216023812315</v>
      </c>
      <c r="M8" t="n">
        <v>15.1009569403787</v>
      </c>
    </row>
    <row r="9">
      <c r="B9" t="s">
        <v>530</v>
      </c>
      <c r="C9" t="n">
        <v>94.5318535641246</v>
      </c>
      <c r="D9" t="n">
        <v>197.991479097078</v>
      </c>
      <c r="E9" t="n">
        <v>254.524589498977</v>
      </c>
      <c r="F9" t="n">
        <v>525.41774699912</v>
      </c>
      <c r="G9" t="n">
        <v>192.74845135172</v>
      </c>
      <c r="H9" t="n">
        <v>241.532388958241</v>
      </c>
      <c r="I9" t="n">
        <v>319.89807596446</v>
      </c>
      <c r="J9" t="n">
        <v>8.69674861878012</v>
      </c>
      <c r="K9" t="n">
        <v>25.2138319580901</v>
      </c>
      <c r="L9" t="n">
        <v>31.2506821577502</v>
      </c>
      <c r="M9" t="n">
        <v>17.6452540278904</v>
      </c>
    </row>
    <row r="10">
      <c r="B10" t="s">
        <v>531</v>
      </c>
      <c r="C10" t="n">
        <v>108.700822935005</v>
      </c>
      <c r="D10" t="n">
        <v>226.497952923595</v>
      </c>
      <c r="E10" t="n">
        <v>290.602975121718</v>
      </c>
      <c r="F10" t="n">
        <v>601.512599325781</v>
      </c>
      <c r="G10" t="n">
        <v>222.969153176083</v>
      </c>
      <c r="H10" t="n">
        <v>278.479664803601</v>
      </c>
      <c r="I10" t="n">
        <v>367.250128074329</v>
      </c>
      <c r="J10" t="n">
        <v>10.0283186767434</v>
      </c>
      <c r="K10" t="n">
        <v>28.8486514903161</v>
      </c>
      <c r="L10" t="n">
        <v>35.6936358405597</v>
      </c>
      <c r="M10" t="n">
        <v>20.3963466522821</v>
      </c>
    </row>
    <row r="11">
      <c r="B11" t="s">
        <v>532</v>
      </c>
      <c r="C11" t="n">
        <v>124.325243757041</v>
      </c>
      <c r="D11" t="n">
        <v>256.975959098015</v>
      </c>
      <c r="E11" t="n">
        <v>328.792709039329</v>
      </c>
      <c r="F11" t="n">
        <v>683.312242768815</v>
      </c>
      <c r="G11" t="n">
        <v>255.975582993449</v>
      </c>
      <c r="H11" t="n">
        <v>318.371229597247</v>
      </c>
      <c r="I11" t="n">
        <v>418.101976218072</v>
      </c>
      <c r="J11" t="n">
        <v>11.4998174845198</v>
      </c>
      <c r="K11" t="n">
        <v>32.6937573772275</v>
      </c>
      <c r="L11" t="n">
        <v>40.3543183706822</v>
      </c>
      <c r="M11" t="n">
        <v>23.270507544859</v>
      </c>
    </row>
    <row r="12">
      <c r="B12" t="s">
        <v>533</v>
      </c>
      <c r="C12" t="n">
        <v>140.691261247015</v>
      </c>
      <c r="D12" t="n">
        <v>288.612659533493</v>
      </c>
      <c r="E12" t="n">
        <v>368.29915038294</v>
      </c>
      <c r="F12" t="n">
        <v>768.348938323494</v>
      </c>
      <c r="G12" t="n">
        <v>290.541497314123</v>
      </c>
      <c r="H12" t="n">
        <v>360.277046693511</v>
      </c>
      <c r="I12" t="n">
        <v>470.959521860796</v>
      </c>
      <c r="J12" t="n">
        <v>13.045322297968</v>
      </c>
      <c r="K12" t="n">
        <v>36.6795948859562</v>
      </c>
      <c r="L12" t="n">
        <v>45.1711272826653</v>
      </c>
      <c r="M12" t="n">
        <v>26.2731127922343</v>
      </c>
    </row>
    <row r="13">
      <c r="B13" t="s">
        <v>534</v>
      </c>
      <c r="C13" t="n">
        <v>157.872298606416</v>
      </c>
      <c r="D13" t="n">
        <v>321.561161341154</v>
      </c>
      <c r="E13" t="n">
        <v>409.318674983455</v>
      </c>
      <c r="F13" t="n">
        <v>857.0289781248</v>
      </c>
      <c r="G13" t="n">
        <v>327.085062432622</v>
      </c>
      <c r="H13" t="n">
        <v>404.269251945002</v>
      </c>
      <c r="I13" t="n">
        <v>526.338549700338</v>
      </c>
      <c r="J13" t="n">
        <v>14.6716051739554</v>
      </c>
      <c r="K13" t="n">
        <v>40.8256670680389</v>
      </c>
      <c r="L13" t="n">
        <v>50.1681985850011</v>
      </c>
      <c r="M13" t="n">
        <v>29.4179425646401</v>
      </c>
    </row>
    <row r="14">
      <c r="B14" t="s">
        <v>535</v>
      </c>
      <c r="C14" t="n">
        <v>175.75496819634</v>
      </c>
      <c r="D14" t="n">
        <v>355.59215722327</v>
      </c>
      <c r="E14" t="n">
        <v>451.560135627701</v>
      </c>
      <c r="F14" t="n">
        <v>948.740804942709</v>
      </c>
      <c r="G14" t="n">
        <v>365.242736443831</v>
      </c>
      <c r="H14" t="n">
        <v>450.057492691861</v>
      </c>
      <c r="I14" t="n">
        <v>583.734700034615</v>
      </c>
      <c r="J14" t="n">
        <v>16.3681048237287</v>
      </c>
      <c r="K14" t="n">
        <v>45.102890709881</v>
      </c>
      <c r="L14" t="n">
        <v>55.3098722978605</v>
      </c>
      <c r="M14" t="n">
        <v>32.6839137757343</v>
      </c>
    </row>
    <row r="15">
      <c r="B15" t="s">
        <v>536</v>
      </c>
      <c r="C15" t="n">
        <v>194.392083315827</v>
      </c>
      <c r="D15" t="n">
        <v>390.816259853073</v>
      </c>
      <c r="E15" t="n">
        <v>495.165700519999</v>
      </c>
      <c r="F15" t="n">
        <v>1043.77762462642</v>
      </c>
      <c r="G15" t="n">
        <v>405.122532420342</v>
      </c>
      <c r="H15" t="n">
        <v>497.77701562413</v>
      </c>
      <c r="I15" t="n">
        <v>643.326874872424</v>
      </c>
      <c r="J15" t="n">
        <v>18.1396854069225</v>
      </c>
      <c r="K15" t="n">
        <v>49.5253643943371</v>
      </c>
      <c r="L15" t="n">
        <v>60.6136185834028</v>
      </c>
      <c r="M15" t="n">
        <v>36.0809518714183</v>
      </c>
    </row>
  </sheetData>
  <pageMargins left="0.7" right="0.7" top="0.75" bottom="0.75" header="0.3" footer="0.3"/>
  <pageSetup paperSize="9"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565</v>
      </c>
      <c r="D2" t="s">
        <v>566</v>
      </c>
      <c r="E2" t="s">
        <v>567</v>
      </c>
      <c r="F2" t="s">
        <v>568</v>
      </c>
      <c r="G2" t="s">
        <v>569</v>
      </c>
      <c r="H2" t="s">
        <v>570</v>
      </c>
      <c r="I2" t="s">
        <v>571</v>
      </c>
      <c r="J2" t="s">
        <v>572</v>
      </c>
      <c r="K2" t="s">
        <v>573</v>
      </c>
      <c r="L2" t="s">
        <v>574</v>
      </c>
      <c r="M2" t="s">
        <v>575</v>
      </c>
    </row>
    <row r="3">
      <c r="B3" t="s">
        <v>486</v>
      </c>
      <c r="C3" t="n">
        <v>18.3653178064832</v>
      </c>
      <c r="D3" t="n">
        <v>41.5197384686246</v>
      </c>
      <c r="E3" t="n">
        <v>54.6549795208009</v>
      </c>
      <c r="F3" t="n">
        <v>109.59283962215</v>
      </c>
      <c r="G3" t="n">
        <v>37.5707374567979</v>
      </c>
      <c r="H3" t="n">
        <v>48.798575187667</v>
      </c>
      <c r="I3" t="n">
        <v>67.4254471155421</v>
      </c>
      <c r="J3" t="n">
        <v>5.28141260143578</v>
      </c>
      <c r="K3" t="n">
        <v>1.59263505575871</v>
      </c>
      <c r="L3" t="n">
        <v>6.69289547789961</v>
      </c>
      <c r="M3" t="n">
        <v>3.55851871588065</v>
      </c>
    </row>
    <row r="4">
      <c r="B4" t="s">
        <v>525</v>
      </c>
      <c r="C4" t="n">
        <v>26.9975231275842</v>
      </c>
      <c r="D4" t="n">
        <v>61.7661993124229</v>
      </c>
      <c r="E4" t="n">
        <v>81.4879135164859</v>
      </c>
      <c r="F4" t="n">
        <v>163.200848778449</v>
      </c>
      <c r="G4" t="n">
        <v>57.0985255884562</v>
      </c>
      <c r="H4" t="n">
        <v>74.1388114142168</v>
      </c>
      <c r="I4" t="n">
        <v>102.249047326977</v>
      </c>
      <c r="J4" t="n">
        <v>7.85852216489157</v>
      </c>
      <c r="K4" t="n">
        <v>2.30717141815681</v>
      </c>
      <c r="L4" t="n">
        <v>9.98373415550928</v>
      </c>
      <c r="M4" t="n">
        <v>5.3951362760746</v>
      </c>
    </row>
    <row r="5">
      <c r="B5" t="s">
        <v>526</v>
      </c>
      <c r="C5" t="n">
        <v>35.3388018373747</v>
      </c>
      <c r="D5" t="n">
        <v>81.8548664166868</v>
      </c>
      <c r="E5" t="n">
        <v>108.246482153236</v>
      </c>
      <c r="F5" t="n">
        <v>216.488711799016</v>
      </c>
      <c r="G5" t="n">
        <v>77.166039707339</v>
      </c>
      <c r="H5" t="n">
        <v>100.218728822975</v>
      </c>
      <c r="I5" t="n">
        <v>138.145002227592</v>
      </c>
      <c r="J5" t="n">
        <v>10.4165486300981</v>
      </c>
      <c r="K5" t="n">
        <v>2.97518845932812</v>
      </c>
      <c r="L5" t="n">
        <v>13.2683919685672</v>
      </c>
      <c r="M5" t="n">
        <v>7.23128296628523</v>
      </c>
    </row>
    <row r="6">
      <c r="B6" t="s">
        <v>527</v>
      </c>
      <c r="C6" t="n">
        <v>43.1788692589389</v>
      </c>
      <c r="D6" t="n">
        <v>101.299466521804</v>
      </c>
      <c r="E6" t="n">
        <v>134.294682883546</v>
      </c>
      <c r="F6" t="n">
        <v>268.160355611715</v>
      </c>
      <c r="G6" t="n">
        <v>97.3494289601707</v>
      </c>
      <c r="H6" t="n">
        <v>126.489775124736</v>
      </c>
      <c r="I6" t="n">
        <v>174.185056519371</v>
      </c>
      <c r="J6" t="n">
        <v>12.8935073942285</v>
      </c>
      <c r="K6" t="n">
        <v>3.58032870007694</v>
      </c>
      <c r="L6" t="n">
        <v>16.468642502215</v>
      </c>
      <c r="M6" t="n">
        <v>9.04756310191086</v>
      </c>
    </row>
    <row r="7">
      <c r="B7" t="s">
        <v>528</v>
      </c>
      <c r="C7" t="n">
        <v>50.5199840693536</v>
      </c>
      <c r="D7" t="n">
        <v>120.089382225943</v>
      </c>
      <c r="E7" t="n">
        <v>159.620738615278</v>
      </c>
      <c r="F7" t="n">
        <v>318.176120934784</v>
      </c>
      <c r="G7" t="n">
        <v>117.536074487425</v>
      </c>
      <c r="H7" t="n">
        <v>152.768907624791</v>
      </c>
      <c r="I7" t="n">
        <v>210.413620061301</v>
      </c>
      <c r="J7" t="n">
        <v>15.2879223334241</v>
      </c>
      <c r="K7" t="n">
        <v>4.12475250220154</v>
      </c>
      <c r="L7" t="n">
        <v>19.5827498708049</v>
      </c>
      <c r="M7" t="n">
        <v>10.9082203700627</v>
      </c>
    </row>
    <row r="8">
      <c r="B8" t="s">
        <v>529</v>
      </c>
      <c r="C8" t="n">
        <v>57.4661772410822</v>
      </c>
      <c r="D8" t="n">
        <v>138.454592784706</v>
      </c>
      <c r="E8" t="n">
        <v>184.532455363345</v>
      </c>
      <c r="F8" t="n">
        <v>367.135922649103</v>
      </c>
      <c r="G8" t="n">
        <v>137.818176132569</v>
      </c>
      <c r="H8" t="n">
        <v>179.426964053764</v>
      </c>
      <c r="I8" t="n">
        <v>247.058635372673</v>
      </c>
      <c r="J8" t="n">
        <v>17.628986759511</v>
      </c>
      <c r="K8" t="n">
        <v>4.61885602050866</v>
      </c>
      <c r="L8" t="n">
        <v>22.6482081560691</v>
      </c>
      <c r="M8" t="n">
        <v>12.7039100904323</v>
      </c>
    </row>
    <row r="9">
      <c r="B9" t="s">
        <v>530</v>
      </c>
      <c r="C9" t="n">
        <v>63.9828794577314</v>
      </c>
      <c r="D9" t="n">
        <v>156.296301914708</v>
      </c>
      <c r="E9" t="n">
        <v>208.900184018895</v>
      </c>
      <c r="F9" t="n">
        <v>414.769621353528</v>
      </c>
      <c r="G9" t="n">
        <v>158.197630476459</v>
      </c>
      <c r="H9" t="n">
        <v>206.145568306403</v>
      </c>
      <c r="I9" t="n">
        <v>283.977080516184</v>
      </c>
      <c r="J9" t="n">
        <v>19.9040317801561</v>
      </c>
      <c r="K9" t="n">
        <v>5.06158687624345</v>
      </c>
      <c r="L9" t="n">
        <v>25.6488902165433</v>
      </c>
      <c r="M9" t="n">
        <v>14.482281734517</v>
      </c>
    </row>
    <row r="10">
      <c r="B10" t="s">
        <v>531</v>
      </c>
      <c r="C10" t="n">
        <v>70.0695196641162</v>
      </c>
      <c r="D10" t="n">
        <v>173.591820962222</v>
      </c>
      <c r="E10" t="n">
        <v>232.694044194373</v>
      </c>
      <c r="F10" t="n">
        <v>461.009320838786</v>
      </c>
      <c r="G10" t="n">
        <v>178.537724747678</v>
      </c>
      <c r="H10" t="n">
        <v>233.019325962866</v>
      </c>
      <c r="I10" t="n">
        <v>321.194112225536</v>
      </c>
      <c r="J10" t="n">
        <v>22.1100892077282</v>
      </c>
      <c r="K10" t="n">
        <v>5.45474090966756</v>
      </c>
      <c r="L10" t="n">
        <v>28.580906552186</v>
      </c>
      <c r="M10" t="n">
        <v>16.3319332409518</v>
      </c>
    </row>
    <row r="11">
      <c r="B11" t="s">
        <v>532</v>
      </c>
      <c r="C11" t="n">
        <v>76.3249148921328</v>
      </c>
      <c r="D11" t="n">
        <v>191.214247439583</v>
      </c>
      <c r="E11" t="n">
        <v>256.852338800596</v>
      </c>
      <c r="F11" t="n">
        <v>508.448481818709</v>
      </c>
      <c r="G11" t="n">
        <v>199.967716315294</v>
      </c>
      <c r="H11" t="n">
        <v>261.175296929265</v>
      </c>
      <c r="I11" t="n">
        <v>360.2647724254</v>
      </c>
      <c r="J11" t="n">
        <v>24.3272259195049</v>
      </c>
      <c r="K11" t="n">
        <v>5.84592407793408</v>
      </c>
      <c r="L11" t="n">
        <v>31.5247290139081</v>
      </c>
      <c r="M11" t="n">
        <v>18.1788833013904</v>
      </c>
    </row>
    <row r="12">
      <c r="B12" t="s">
        <v>533</v>
      </c>
      <c r="C12" t="n">
        <v>82.259266606579</v>
      </c>
      <c r="D12" t="n">
        <v>208.49992594275</v>
      </c>
      <c r="E12" t="n">
        <v>280.697275742532</v>
      </c>
      <c r="F12" t="n">
        <v>555.071620896962</v>
      </c>
      <c r="G12" t="n">
        <v>221.434686182237</v>
      </c>
      <c r="H12" t="n">
        <v>289.757512489278</v>
      </c>
      <c r="I12" t="n">
        <v>399.813189610833</v>
      </c>
      <c r="J12" t="n">
        <v>26.4981197626379</v>
      </c>
      <c r="K12" t="n">
        <v>6.19773865031893</v>
      </c>
      <c r="L12" t="n">
        <v>34.4269389632854</v>
      </c>
      <c r="M12" t="n">
        <v>20.0239158260031</v>
      </c>
    </row>
    <row r="13">
      <c r="B13" t="s">
        <v>534</v>
      </c>
      <c r="C13" t="n">
        <v>87.9092031577534</v>
      </c>
      <c r="D13" t="n">
        <v>225.536528816172</v>
      </c>
      <c r="E13" t="n">
        <v>304.351309642896</v>
      </c>
      <c r="F13" t="n">
        <v>601.102881999078</v>
      </c>
      <c r="G13" t="n">
        <v>243.206023082188</v>
      </c>
      <c r="H13" t="n">
        <v>318.763546256135</v>
      </c>
      <c r="I13" t="n">
        <v>440.222942628028</v>
      </c>
      <c r="J13" t="n">
        <v>28.6343014769793</v>
      </c>
      <c r="K13" t="n">
        <v>6.51436815849443</v>
      </c>
      <c r="L13" t="n">
        <v>37.3028592999993</v>
      </c>
      <c r="M13" t="n">
        <v>21.873884319863</v>
      </c>
    </row>
    <row r="14">
      <c r="B14" t="s">
        <v>535</v>
      </c>
      <c r="C14" t="n">
        <v>93.2066121165039</v>
      </c>
      <c r="D14" t="n">
        <v>242.14095595225</v>
      </c>
      <c r="E14" t="n">
        <v>327.5709232174</v>
      </c>
      <c r="F14" t="n">
        <v>646.046322431944</v>
      </c>
      <c r="G14" t="n">
        <v>264.954523075964</v>
      </c>
      <c r="H14" t="n">
        <v>347.909080006788</v>
      </c>
      <c r="I14" t="n">
        <v>481.013163382102</v>
      </c>
      <c r="J14" t="n">
        <v>30.7128738664593</v>
      </c>
      <c r="K14" t="n">
        <v>6.7921815811603</v>
      </c>
      <c r="L14" t="n">
        <v>40.1229083396865</v>
      </c>
      <c r="M14" t="n">
        <v>23.7095770090348</v>
      </c>
    </row>
    <row r="15">
      <c r="B15" t="s">
        <v>536</v>
      </c>
      <c r="C15" t="n">
        <v>98.1812115988591</v>
      </c>
      <c r="D15" t="n">
        <v>258.375588192303</v>
      </c>
      <c r="E15" t="n">
        <v>350.442232665535</v>
      </c>
      <c r="F15" t="n">
        <v>690.059972955592</v>
      </c>
      <c r="G15" t="n">
        <v>286.716233809022</v>
      </c>
      <c r="H15" t="n">
        <v>377.252767955623</v>
      </c>
      <c r="I15" t="n">
        <v>522.284458550869</v>
      </c>
      <c r="J15" t="n">
        <v>32.7421002407517</v>
      </c>
      <c r="K15" t="n">
        <v>7.03488274743493</v>
      </c>
      <c r="L15" t="n">
        <v>42.8979063048955</v>
      </c>
      <c r="M15" t="n">
        <v>25.535470888309</v>
      </c>
    </row>
    <row r="16">
      <c r="B16" t="s">
        <v>550</v>
      </c>
      <c r="C16" t="n">
        <v>803.800280834493</v>
      </c>
      <c r="D16" t="n">
        <v>2000.63961495018</v>
      </c>
      <c r="E16" t="n">
        <v>2684.34556033492</v>
      </c>
      <c r="F16" t="n">
        <v>5319.26302168982</v>
      </c>
      <c r="G16" t="n">
        <v>2077.5535200216</v>
      </c>
      <c r="H16" t="n">
        <v>2715.86486013451</v>
      </c>
      <c r="I16" t="n">
        <v>3748.24652796241</v>
      </c>
      <c r="J16" t="n">
        <v>254.295642137806</v>
      </c>
      <c r="K16" t="n">
        <v>62.1003551572845</v>
      </c>
      <c r="L16" t="n">
        <v>329.149760821569</v>
      </c>
      <c r="M16" t="n">
        <v>188.980577840715</v>
      </c>
    </row>
    <row r="17">
      <c r="B17" t="s">
        <v>551</v>
      </c>
      <c r="C17" t="n">
        <v>85.5691739382703</v>
      </c>
      <c r="D17" t="n">
        <v>188.119230612728</v>
      </c>
      <c r="E17" t="n">
        <v>244.405021560518</v>
      </c>
      <c r="F17" t="n">
        <v>500.167876107933</v>
      </c>
      <c r="G17" t="n">
        <v>189.157655540689</v>
      </c>
      <c r="H17" t="n">
        <v>239.317537553999</v>
      </c>
      <c r="I17" t="n">
        <v>319.501873797525</v>
      </c>
      <c r="J17" t="n">
        <v>23.9113032600452</v>
      </c>
      <c r="K17" t="n">
        <v>7.43036016413188</v>
      </c>
      <c r="L17" t="n">
        <v>29.9685165646848</v>
      </c>
      <c r="M17" t="n">
        <v>16.652657206269</v>
      </c>
    </row>
  </sheetData>
  <pageMargins left="0.7" right="0.7" top="0.75" bottom="0.75" header="0.3" footer="0.3"/>
  <pageSetup paperSize="9" orientation="portrait" horizontalDpi="300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</row>
    <row r="3">
      <c r="B3" t="s">
        <v>486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B4" t="s">
        <v>525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B5" t="s">
        <v>526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B6" t="s">
        <v>527</v>
      </c>
      <c r="C6" t="n">
        <v>884.311992015342</v>
      </c>
      <c r="D6" t="n">
        <v>1884.43445263568</v>
      </c>
      <c r="E6" t="n">
        <v>2438.1807549731</v>
      </c>
      <c r="F6" t="n">
        <v>4988.48246981618</v>
      </c>
      <c r="G6" t="n">
        <v>1767.42294707329</v>
      </c>
      <c r="H6" t="n">
        <v>2241.01123222751</v>
      </c>
      <c r="I6" t="n">
        <v>3011.12551574405</v>
      </c>
      <c r="J6" t="n">
        <v>80.5804228911986</v>
      </c>
      <c r="K6" t="n">
        <v>239.852887515131</v>
      </c>
      <c r="L6" t="n">
        <v>298.995659003507</v>
      </c>
      <c r="M6" t="n">
        <v>164.262603409346</v>
      </c>
    </row>
    <row r="7">
      <c r="B7" t="s">
        <v>528</v>
      </c>
      <c r="C7" t="n">
        <v>897.368510617191</v>
      </c>
      <c r="D7" t="n">
        <v>1900.63965122558</v>
      </c>
      <c r="E7" t="n">
        <v>2453.60323066365</v>
      </c>
      <c r="F7" t="n">
        <v>5035.73372027183</v>
      </c>
      <c r="G7" t="n">
        <v>1806.70064919915</v>
      </c>
      <c r="H7" t="n">
        <v>2280.38318599614</v>
      </c>
      <c r="I7" t="n">
        <v>3049.59332318418</v>
      </c>
      <c r="J7" t="n">
        <v>82.0488289919836</v>
      </c>
      <c r="K7" t="n">
        <v>241.960037042189</v>
      </c>
      <c r="L7" t="n">
        <v>301.015386629004</v>
      </c>
      <c r="M7" t="n">
        <v>167.675234264422</v>
      </c>
    </row>
    <row r="8">
      <c r="B8" t="s">
        <v>529</v>
      </c>
      <c r="C8" t="n">
        <v>909.693903751756</v>
      </c>
      <c r="D8" t="n">
        <v>1915.69260342066</v>
      </c>
      <c r="E8" t="n">
        <v>2467.73034215695</v>
      </c>
      <c r="F8" t="n">
        <v>5079.78505676989</v>
      </c>
      <c r="G8" t="n">
        <v>1843.02590172236</v>
      </c>
      <c r="H8" t="n">
        <v>2318.71191658031</v>
      </c>
      <c r="I8" t="n">
        <v>3084.75173271519</v>
      </c>
      <c r="J8" t="n">
        <v>83.4408560858955</v>
      </c>
      <c r="K8" t="n">
        <v>243.919099119452</v>
      </c>
      <c r="L8" t="n">
        <v>302.871765035431</v>
      </c>
      <c r="M8" t="n">
        <v>169.887862449268</v>
      </c>
    </row>
    <row r="9">
      <c r="B9" t="s">
        <v>530</v>
      </c>
      <c r="C9" t="n">
        <v>921.315006934883</v>
      </c>
      <c r="D9" t="n">
        <v>1929.64079365729</v>
      </c>
      <c r="E9" t="n">
        <v>2480.61701001429</v>
      </c>
      <c r="F9" t="n">
        <v>5120.76339317559</v>
      </c>
      <c r="G9" t="n">
        <v>1878.54182583374</v>
      </c>
      <c r="H9" t="n">
        <v>2353.99398423</v>
      </c>
      <c r="I9" t="n">
        <v>3117.75223867506</v>
      </c>
      <c r="J9" t="n">
        <v>84.7592077371802</v>
      </c>
      <c r="K9" t="n">
        <v>245.736023250247</v>
      </c>
      <c r="L9" t="n">
        <v>304.571648215454</v>
      </c>
      <c r="M9" t="n">
        <v>171.972057292265</v>
      </c>
    </row>
    <row r="10">
      <c r="B10" t="s">
        <v>531</v>
      </c>
      <c r="C10" t="n">
        <v>932.250716928109</v>
      </c>
      <c r="D10" t="n">
        <v>1942.51407941984</v>
      </c>
      <c r="E10" t="n">
        <v>2492.29789235956</v>
      </c>
      <c r="F10" t="n">
        <v>5158.751671071</v>
      </c>
      <c r="G10" t="n">
        <v>1912.25003904105</v>
      </c>
      <c r="H10" t="n">
        <v>2388.32476289794</v>
      </c>
      <c r="I10" t="n">
        <v>3149.64676388829</v>
      </c>
      <c r="J10" t="n">
        <v>86.0058555542633</v>
      </c>
      <c r="K10" t="n">
        <v>247.414649752349</v>
      </c>
      <c r="L10" t="n">
        <v>306.119279538747</v>
      </c>
      <c r="M10" t="n">
        <v>174.925159496478</v>
      </c>
    </row>
    <row r="11">
      <c r="B11" t="s">
        <v>532</v>
      </c>
      <c r="C11" t="n">
        <v>949.537089524534</v>
      </c>
      <c r="D11" t="n">
        <v>1962.66017186784</v>
      </c>
      <c r="E11" t="n">
        <v>2511.162355798</v>
      </c>
      <c r="F11" t="n">
        <v>5218.81396430754</v>
      </c>
      <c r="G11" t="n">
        <v>1955.01977490538</v>
      </c>
      <c r="H11" t="n">
        <v>2431.56805170549</v>
      </c>
      <c r="I11" t="n">
        <v>3193.26406790239</v>
      </c>
      <c r="J11" t="n">
        <v>87.8301372620141</v>
      </c>
      <c r="K11" t="n">
        <v>249.69937148292</v>
      </c>
      <c r="L11" t="n">
        <v>308.207093406757</v>
      </c>
      <c r="M11" t="n">
        <v>177.729070445943</v>
      </c>
    </row>
    <row r="12">
      <c r="B12" t="s">
        <v>533</v>
      </c>
      <c r="C12" t="n">
        <v>965.94936894745</v>
      </c>
      <c r="D12" t="n">
        <v>1981.53896607091</v>
      </c>
      <c r="E12" t="n">
        <v>2528.64555156463</v>
      </c>
      <c r="F12" t="n">
        <v>5275.2826687789</v>
      </c>
      <c r="G12" t="n">
        <v>1994.78186133312</v>
      </c>
      <c r="H12" t="n">
        <v>2473.56788769445</v>
      </c>
      <c r="I12" t="n">
        <v>3233.48478724993</v>
      </c>
      <c r="J12" t="n">
        <v>89.5657678362422</v>
      </c>
      <c r="K12" t="n">
        <v>251.83249634198</v>
      </c>
      <c r="L12" t="n">
        <v>310.133134827244</v>
      </c>
      <c r="M12" t="n">
        <v>180.384314540945</v>
      </c>
    </row>
    <row r="13">
      <c r="B13" t="s">
        <v>534</v>
      </c>
      <c r="C13" t="n">
        <v>981.611572578546</v>
      </c>
      <c r="D13" t="n">
        <v>1999.38912684867</v>
      </c>
      <c r="E13" t="n">
        <v>2545.0440120465</v>
      </c>
      <c r="F13" t="n">
        <v>5328.79783463341</v>
      </c>
      <c r="G13" t="n">
        <v>2033.73540092606</v>
      </c>
      <c r="H13" t="n">
        <v>2513.64792715293</v>
      </c>
      <c r="I13" t="n">
        <v>3272.64514446655</v>
      </c>
      <c r="J13" t="n">
        <v>91.2244741742967</v>
      </c>
      <c r="K13" t="n">
        <v>253.84407274727</v>
      </c>
      <c r="L13" t="n">
        <v>311.933662467459</v>
      </c>
      <c r="M13" t="n">
        <v>182.913615104152</v>
      </c>
    </row>
    <row r="14">
      <c r="B14" t="s">
        <v>535</v>
      </c>
      <c r="C14" t="n">
        <v>996.498603327862</v>
      </c>
      <c r="D14" t="n">
        <v>2016.14265396743</v>
      </c>
      <c r="E14" t="n">
        <v>2560.26358224401</v>
      </c>
      <c r="F14" t="n">
        <v>5379.18726706724</v>
      </c>
      <c r="G14" t="n">
        <v>2070.85967740799</v>
      </c>
      <c r="H14" t="n">
        <v>2551.74387095373</v>
      </c>
      <c r="I14" t="n">
        <v>3309.66924729366</v>
      </c>
      <c r="J14" t="n">
        <v>92.8041680036524</v>
      </c>
      <c r="K14" t="n">
        <v>255.725161340739</v>
      </c>
      <c r="L14" t="n">
        <v>313.59688468942</v>
      </c>
      <c r="M14" t="n">
        <v>185.311827955972</v>
      </c>
    </row>
    <row r="15">
      <c r="B15" t="s">
        <v>536</v>
      </c>
      <c r="C15" t="n">
        <v>1010.61921514514</v>
      </c>
      <c r="D15" t="n">
        <v>2031.80301924628</v>
      </c>
      <c r="E15" t="n">
        <v>2574.3022199792</v>
      </c>
      <c r="F15" t="n">
        <v>5426.46442073565</v>
      </c>
      <c r="G15" t="n">
        <v>2106.17947381668</v>
      </c>
      <c r="H15" t="n">
        <v>2587.87810833853</v>
      </c>
      <c r="I15" t="n">
        <v>3344.57293874997</v>
      </c>
      <c r="J15" t="n">
        <v>94.3058704666459</v>
      </c>
      <c r="K15" t="n">
        <v>257.4759426425</v>
      </c>
      <c r="L15" t="n">
        <v>315.122337262785</v>
      </c>
      <c r="M15" t="n">
        <v>187.580186600189</v>
      </c>
    </row>
  </sheetData>
  <pageMargins left="0.7" right="0.7" top="0.75" bottom="0.75" header="0.3" footer="0.3"/>
  <pageSetup paperSize="9" orientation="portrait" horizontalDpi="300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565</v>
      </c>
      <c r="D2" t="s">
        <v>566</v>
      </c>
      <c r="E2" t="s">
        <v>567</v>
      </c>
      <c r="F2" t="s">
        <v>568</v>
      </c>
      <c r="G2" t="s">
        <v>569</v>
      </c>
      <c r="H2" t="s">
        <v>570</v>
      </c>
      <c r="I2" t="s">
        <v>571</v>
      </c>
      <c r="J2" t="s">
        <v>572</v>
      </c>
      <c r="K2" t="s">
        <v>573</v>
      </c>
      <c r="L2" t="s">
        <v>574</v>
      </c>
      <c r="M2" t="s">
        <v>575</v>
      </c>
    </row>
    <row r="3">
      <c r="B3" t="s">
        <v>486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B4" t="s">
        <v>525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B5" t="s">
        <v>526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B6" t="s">
        <v>527</v>
      </c>
      <c r="C6" t="n">
        <v>692.881585065867</v>
      </c>
      <c r="D6" t="n">
        <v>1625.5297124397</v>
      </c>
      <c r="E6" t="n">
        <v>2154.99651424998</v>
      </c>
      <c r="F6" t="n">
        <v>4303.10879920984</v>
      </c>
      <c r="G6" t="n">
        <v>1562.14434979018</v>
      </c>
      <c r="H6" t="n">
        <v>2029.75291820336</v>
      </c>
      <c r="I6" t="n">
        <v>2795.1083510818</v>
      </c>
      <c r="J6" t="n">
        <v>206.899207730459</v>
      </c>
      <c r="K6" t="n">
        <v>57.452727858374</v>
      </c>
      <c r="L6" t="n">
        <v>264.268595186883</v>
      </c>
      <c r="M6" t="n">
        <v>145.184206317252</v>
      </c>
    </row>
    <row r="7">
      <c r="B7" t="s">
        <v>528</v>
      </c>
      <c r="C7" t="n">
        <v>669.630199079427</v>
      </c>
      <c r="D7" t="n">
        <v>1591.75578553013</v>
      </c>
      <c r="E7" t="n">
        <v>2115.73437611183</v>
      </c>
      <c r="F7" t="n">
        <v>4217.34771157866</v>
      </c>
      <c r="G7" t="n">
        <v>1557.91230753324</v>
      </c>
      <c r="H7" t="n">
        <v>2024.91500958315</v>
      </c>
      <c r="I7" t="n">
        <v>2788.98176407272</v>
      </c>
      <c r="J7" t="n">
        <v>202.637721769427</v>
      </c>
      <c r="K7" t="n">
        <v>54.6725991720591</v>
      </c>
      <c r="L7" t="n">
        <v>259.56462449608</v>
      </c>
      <c r="M7" t="n">
        <v>144.585829005405</v>
      </c>
    </row>
    <row r="8">
      <c r="B8" t="s">
        <v>529</v>
      </c>
      <c r="C8" t="n">
        <v>646.502473529561</v>
      </c>
      <c r="D8" t="n">
        <v>1557.63339418459</v>
      </c>
      <c r="E8" t="n">
        <v>2076.01574641715</v>
      </c>
      <c r="F8" t="n">
        <v>4130.33010910841</v>
      </c>
      <c r="G8" t="n">
        <v>1550.47361847729</v>
      </c>
      <c r="H8" t="n">
        <v>2018.57826025237</v>
      </c>
      <c r="I8" t="n">
        <v>2779.44395370508</v>
      </c>
      <c r="J8" t="n">
        <v>198.328548948545</v>
      </c>
      <c r="K8" t="n">
        <v>51.9627715901207</v>
      </c>
      <c r="L8" t="n">
        <v>254.795486612662</v>
      </c>
      <c r="M8" t="n">
        <v>142.920752541203</v>
      </c>
    </row>
    <row r="9">
      <c r="B9" t="s">
        <v>530</v>
      </c>
      <c r="C9" t="n">
        <v>623.582261521261</v>
      </c>
      <c r="D9" t="n">
        <v>1523.27626142194</v>
      </c>
      <c r="E9" t="n">
        <v>2035.95790446986</v>
      </c>
      <c r="F9" t="n">
        <v>4042.37790930957</v>
      </c>
      <c r="G9" t="n">
        <v>1541.80676168201</v>
      </c>
      <c r="H9" t="n">
        <v>2009.11119937975</v>
      </c>
      <c r="I9" t="n">
        <v>2767.66334352728</v>
      </c>
      <c r="J9" t="n">
        <v>193.986285957329</v>
      </c>
      <c r="K9" t="n">
        <v>49.3306305987583</v>
      </c>
      <c r="L9" t="n">
        <v>249.976135839726</v>
      </c>
      <c r="M9" t="n">
        <v>141.145476298299</v>
      </c>
    </row>
    <row r="10">
      <c r="B10" t="s">
        <v>531</v>
      </c>
      <c r="C10" t="n">
        <v>600.937124282292</v>
      </c>
      <c r="D10" t="n">
        <v>1488.77529328044</v>
      </c>
      <c r="E10" t="n">
        <v>1995.65360838908</v>
      </c>
      <c r="F10" t="n">
        <v>3953.75359871446</v>
      </c>
      <c r="G10" t="n">
        <v>1531.19284105379</v>
      </c>
      <c r="H10" t="n">
        <v>1998.44332196892</v>
      </c>
      <c r="I10" t="n">
        <v>2754.6566190615</v>
      </c>
      <c r="J10" t="n">
        <v>189.622727397138</v>
      </c>
      <c r="K10" t="n">
        <v>46.7814868957821</v>
      </c>
      <c r="L10" t="n">
        <v>245.118389210928</v>
      </c>
      <c r="M10" t="n">
        <v>140.067536395773</v>
      </c>
    </row>
    <row r="11">
      <c r="B11" t="s">
        <v>532</v>
      </c>
      <c r="C11" t="n">
        <v>582.93340398763</v>
      </c>
      <c r="D11" t="n">
        <v>1460.40349089702</v>
      </c>
      <c r="E11" t="n">
        <v>1961.71601882321</v>
      </c>
      <c r="F11" t="n">
        <v>3883.28771381929</v>
      </c>
      <c r="G11" t="n">
        <v>1527.25832349827</v>
      </c>
      <c r="H11" t="n">
        <v>1994.73271724734</v>
      </c>
      <c r="I11" t="n">
        <v>2751.53100954737</v>
      </c>
      <c r="J11" t="n">
        <v>185.799782873977</v>
      </c>
      <c r="K11" t="n">
        <v>44.64838810524</v>
      </c>
      <c r="L11" t="n">
        <v>240.77088876989</v>
      </c>
      <c r="M11" t="n">
        <v>138.84166577257</v>
      </c>
    </row>
    <row r="12">
      <c r="B12" t="s">
        <v>533</v>
      </c>
      <c r="C12" t="n">
        <v>564.770590329688</v>
      </c>
      <c r="D12" t="n">
        <v>1431.50590949914</v>
      </c>
      <c r="E12" t="n">
        <v>1927.19401308601</v>
      </c>
      <c r="F12" t="n">
        <v>3810.97643999858</v>
      </c>
      <c r="G12" t="n">
        <v>1520.31258718527</v>
      </c>
      <c r="H12" t="n">
        <v>1989.39922676071</v>
      </c>
      <c r="I12" t="n">
        <v>2745.01269502014</v>
      </c>
      <c r="J12" t="n">
        <v>181.929153496426</v>
      </c>
      <c r="K12" t="n">
        <v>42.5520511019217</v>
      </c>
      <c r="L12" t="n">
        <v>236.366350487056</v>
      </c>
      <c r="M12" t="n">
        <v>137.478964112954</v>
      </c>
    </row>
    <row r="13">
      <c r="B13" t="s">
        <v>534</v>
      </c>
      <c r="C13" t="n">
        <v>546.598053727852</v>
      </c>
      <c r="D13" t="n">
        <v>1402.33130624825</v>
      </c>
      <c r="E13" t="n">
        <v>1892.3824528565</v>
      </c>
      <c r="F13" t="n">
        <v>3737.51158682775</v>
      </c>
      <c r="G13" t="n">
        <v>1512.19592598355</v>
      </c>
      <c r="H13" t="n">
        <v>1981.99423637506</v>
      </c>
      <c r="I13" t="n">
        <v>2737.19923515886</v>
      </c>
      <c r="J13" t="n">
        <v>178.041125331177</v>
      </c>
      <c r="K13" t="n">
        <v>40.5047575088353</v>
      </c>
      <c r="L13" t="n">
        <v>231.940110471416</v>
      </c>
      <c r="M13" t="n">
        <v>136.006494965604</v>
      </c>
    </row>
    <row r="14">
      <c r="B14" t="s">
        <v>535</v>
      </c>
      <c r="C14" t="n">
        <v>528.464485232982</v>
      </c>
      <c r="D14" t="n">
        <v>1372.89504183652</v>
      </c>
      <c r="E14" t="n">
        <v>1857.2673696046</v>
      </c>
      <c r="F14" t="n">
        <v>3662.96477758368</v>
      </c>
      <c r="G14" t="n">
        <v>1502.24380511194</v>
      </c>
      <c r="H14" t="n">
        <v>1972.58100792092</v>
      </c>
      <c r="I14" t="n">
        <v>2727.25687593145</v>
      </c>
      <c r="J14" t="n">
        <v>174.136391284948</v>
      </c>
      <c r="K14" t="n">
        <v>38.5104303373907</v>
      </c>
      <c r="L14" t="n">
        <v>227.489569895311</v>
      </c>
      <c r="M14" t="n">
        <v>134.428975848943</v>
      </c>
    </row>
    <row r="15">
      <c r="B15" t="s">
        <v>536</v>
      </c>
      <c r="C15" t="n">
        <v>510.431378251294</v>
      </c>
      <c r="D15" t="n">
        <v>1343.26115393975</v>
      </c>
      <c r="E15" t="n">
        <v>1821.90369118452</v>
      </c>
      <c r="F15" t="n">
        <v>3587.53225118956</v>
      </c>
      <c r="G15" t="n">
        <v>1490.60049277147</v>
      </c>
      <c r="H15" t="n">
        <v>1961.28818498856</v>
      </c>
      <c r="I15" t="n">
        <v>2715.28912381489</v>
      </c>
      <c r="J15" t="n">
        <v>170.22193025089</v>
      </c>
      <c r="K15" t="n">
        <v>36.5734424961118</v>
      </c>
      <c r="L15" t="n">
        <v>223.020648072315</v>
      </c>
      <c r="M15" t="n">
        <v>132.755599442682</v>
      </c>
    </row>
    <row r="16">
      <c r="B16" t="s">
        <v>550</v>
      </c>
      <c r="C16" t="n">
        <v>5966.73155500785</v>
      </c>
      <c r="D16" t="n">
        <v>14797.3673492775</v>
      </c>
      <c r="E16" t="n">
        <v>19838.8216951927</v>
      </c>
      <c r="F16" t="n">
        <v>39329.1908973398</v>
      </c>
      <c r="G16" t="n">
        <v>15296.141013087</v>
      </c>
      <c r="H16" t="n">
        <v>19980.7960826801</v>
      </c>
      <c r="I16" t="n">
        <v>27562.1429709211</v>
      </c>
      <c r="J16" t="n">
        <v>1881.60287504032</v>
      </c>
      <c r="K16" t="n">
        <v>462.989285664594</v>
      </c>
      <c r="L16" t="n">
        <v>2433.31079904227</v>
      </c>
      <c r="M16" t="n">
        <v>1393.41550070069</v>
      </c>
    </row>
    <row r="17">
      <c r="B17" t="s">
        <v>551</v>
      </c>
      <c r="C17" t="n">
        <v>635.192973238786</v>
      </c>
      <c r="D17" t="n">
        <v>1391.38970359202</v>
      </c>
      <c r="E17" t="n">
        <v>1806.29041051775</v>
      </c>
      <c r="F17" t="n">
        <v>3698.1058842089</v>
      </c>
      <c r="G17" t="n">
        <v>1392.68718950992</v>
      </c>
      <c r="H17" t="n">
        <v>1760.67483587485</v>
      </c>
      <c r="I17" t="n">
        <v>2349.40691851229</v>
      </c>
      <c r="J17" t="n">
        <v>176.926260245075</v>
      </c>
      <c r="K17" t="n">
        <v>55.3970607077685</v>
      </c>
      <c r="L17" t="n">
        <v>221.548740628299</v>
      </c>
      <c r="M17" t="n">
        <v>122.785478508951</v>
      </c>
    </row>
  </sheetData>
  <pageMargins left="0.7" right="0.7" top="0.75" bottom="0.75" header="0.3" footer="0.3"/>
  <pageSetup paperSize="9" orientation="portrait" horizontalDpi="300" verticalDpi="300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</row>
    <row r="3">
      <c r="B3" t="s">
        <v>486</v>
      </c>
      <c r="C3" t="n">
        <v>97.043720815362</v>
      </c>
      <c r="D3" t="n">
        <v>211.115175275215</v>
      </c>
      <c r="E3" t="n">
        <v>275.21231291851</v>
      </c>
      <c r="F3" t="n">
        <v>557.246080998859</v>
      </c>
      <c r="G3" t="n">
        <v>189.185498635202</v>
      </c>
      <c r="H3" t="n">
        <v>243.331245327638</v>
      </c>
      <c r="I3" t="n">
        <v>332.924926905049</v>
      </c>
      <c r="J3" t="n">
        <v>8.73925113708402</v>
      </c>
      <c r="K3" t="n">
        <v>26.8543682637936</v>
      </c>
      <c r="L3" t="n">
        <v>33.7017278342143</v>
      </c>
      <c r="M3" t="n">
        <v>17.9187363154824</v>
      </c>
    </row>
    <row r="4">
      <c r="B4" t="s">
        <v>525</v>
      </c>
      <c r="C4" t="n">
        <v>154.430626513644</v>
      </c>
      <c r="D4" t="n">
        <v>333.506395722903</v>
      </c>
      <c r="E4" t="n">
        <v>433.617107749601</v>
      </c>
      <c r="F4" t="n">
        <v>881.202461231447</v>
      </c>
      <c r="G4" t="n">
        <v>303.835212536445</v>
      </c>
      <c r="H4" t="n">
        <v>388.765527851751</v>
      </c>
      <c r="I4" t="n">
        <v>528.322384003661</v>
      </c>
      <c r="J4" t="n">
        <v>13.9660248427601</v>
      </c>
      <c r="K4" t="n">
        <v>42.432065305893</v>
      </c>
      <c r="L4" t="n">
        <v>53.1258899907532</v>
      </c>
      <c r="M4" t="n">
        <v>28.7088389798216</v>
      </c>
    </row>
    <row r="5">
      <c r="B5" t="s">
        <v>526</v>
      </c>
      <c r="C5" t="n">
        <v>218.647882269316</v>
      </c>
      <c r="D5" t="n">
        <v>468.953370152685</v>
      </c>
      <c r="E5" t="n">
        <v>608.198733269362</v>
      </c>
      <c r="F5" t="n">
        <v>1240.28192143583</v>
      </c>
      <c r="G5" t="n">
        <v>433.56870974318</v>
      </c>
      <c r="H5" t="n">
        <v>552.186564295559</v>
      </c>
      <c r="I5" t="n">
        <v>746.338087149109</v>
      </c>
      <c r="J5" t="n">
        <v>19.8511581746503</v>
      </c>
      <c r="K5" t="n">
        <v>59.6772775924785</v>
      </c>
      <c r="L5" t="n">
        <v>74.5504059557343</v>
      </c>
      <c r="M5" t="n">
        <v>40.6300237432288</v>
      </c>
    </row>
    <row r="6">
      <c r="B6" t="s">
        <v>527</v>
      </c>
      <c r="C6" t="n">
        <v>2598.94981597554</v>
      </c>
      <c r="D6" t="n">
        <v>5538.26095101797</v>
      </c>
      <c r="E6" t="n">
        <v>7165.69432696612</v>
      </c>
      <c r="F6" t="n">
        <v>14660.906686767</v>
      </c>
      <c r="G6" t="n">
        <v>5194.36984290877</v>
      </c>
      <c r="H6" t="n">
        <v>6586.22271572199</v>
      </c>
      <c r="I6" t="n">
        <v>8849.55103592726</v>
      </c>
      <c r="J6" t="n">
        <v>236.821932909713</v>
      </c>
      <c r="K6" t="n">
        <v>704.915938602173</v>
      </c>
      <c r="L6" t="n">
        <v>878.73365956929</v>
      </c>
      <c r="M6" t="n">
        <v>482.759780209989</v>
      </c>
    </row>
    <row r="7">
      <c r="B7" t="s">
        <v>528</v>
      </c>
      <c r="C7" t="n">
        <v>2686.67860449509</v>
      </c>
      <c r="D7" t="n">
        <v>5690.4246420355</v>
      </c>
      <c r="E7" t="n">
        <v>7345.97127685055</v>
      </c>
      <c r="F7" t="n">
        <v>15076.7470488613</v>
      </c>
      <c r="G7" t="n">
        <v>5409.17574162731</v>
      </c>
      <c r="H7" t="n">
        <v>6827.35870868969</v>
      </c>
      <c r="I7" t="n">
        <v>9130.33724369806</v>
      </c>
      <c r="J7" t="n">
        <v>245.650288335865</v>
      </c>
      <c r="K7" t="n">
        <v>724.416833188168</v>
      </c>
      <c r="L7" t="n">
        <v>901.225738714337</v>
      </c>
      <c r="M7" t="n">
        <v>502.011669756595</v>
      </c>
    </row>
    <row r="8">
      <c r="B8" t="s">
        <v>529</v>
      </c>
      <c r="C8" t="n">
        <v>2776.79031650915</v>
      </c>
      <c r="D8" t="n">
        <v>5847.54569492895</v>
      </c>
      <c r="E8" t="n">
        <v>7532.61035343504</v>
      </c>
      <c r="F8" t="n">
        <v>15505.7628697001</v>
      </c>
      <c r="G8" t="n">
        <v>5625.73460795088</v>
      </c>
      <c r="H8" t="n">
        <v>7077.7398531315</v>
      </c>
      <c r="I8" t="n">
        <v>9416.03401420159</v>
      </c>
      <c r="J8" t="n">
        <v>254.698597214932</v>
      </c>
      <c r="K8" t="n">
        <v>744.549556343251</v>
      </c>
      <c r="L8" t="n">
        <v>924.499307762668</v>
      </c>
      <c r="M8" t="n">
        <v>518.573301850221</v>
      </c>
    </row>
    <row r="9">
      <c r="B9" t="s">
        <v>530</v>
      </c>
      <c r="C9" t="n">
        <v>2866.81559966986</v>
      </c>
      <c r="D9" t="n">
        <v>6004.37883609448</v>
      </c>
      <c r="E9" t="n">
        <v>7718.82742339614</v>
      </c>
      <c r="F9" t="n">
        <v>15934.0554178249</v>
      </c>
      <c r="G9" t="n">
        <v>5845.376413491</v>
      </c>
      <c r="H9" t="n">
        <v>7324.82009380374</v>
      </c>
      <c r="I9" t="n">
        <v>9701.37323983805</v>
      </c>
      <c r="J9" t="n">
        <v>263.741518511681</v>
      </c>
      <c r="K9" t="n">
        <v>764.646032629354</v>
      </c>
      <c r="L9" t="n">
        <v>947.722272782796</v>
      </c>
      <c r="M9" t="n">
        <v>535.117926921631</v>
      </c>
    </row>
    <row r="10">
      <c r="B10" t="s">
        <v>531</v>
      </c>
      <c r="C10" t="n">
        <v>2956.6887257283</v>
      </c>
      <c r="D10" t="n">
        <v>6160.79920765782</v>
      </c>
      <c r="E10" t="n">
        <v>7904.47134626787</v>
      </c>
      <c r="F10" t="n">
        <v>16361.2884685653</v>
      </c>
      <c r="G10" t="n">
        <v>6064.81499937764</v>
      </c>
      <c r="H10" t="n">
        <v>7574.71436772582</v>
      </c>
      <c r="I10" t="n">
        <v>9989.29248078366</v>
      </c>
      <c r="J10" t="n">
        <v>272.772698209163</v>
      </c>
      <c r="K10" t="n">
        <v>784.690311543303</v>
      </c>
      <c r="L10" t="n">
        <v>970.875544641796</v>
      </c>
      <c r="M10" t="n">
        <v>554.785571668641</v>
      </c>
    </row>
    <row r="11">
      <c r="B11" t="s">
        <v>532</v>
      </c>
      <c r="C11" t="n">
        <v>3069.00962975041</v>
      </c>
      <c r="D11" t="n">
        <v>6343.53627029582</v>
      </c>
      <c r="E11" t="n">
        <v>8116.35641917879</v>
      </c>
      <c r="F11" t="n">
        <v>16867.7879874664</v>
      </c>
      <c r="G11" t="n">
        <v>6318.84165635013</v>
      </c>
      <c r="H11" t="n">
        <v>7859.09876339251</v>
      </c>
      <c r="I11" t="n">
        <v>10320.9851230094</v>
      </c>
      <c r="J11" t="n">
        <v>283.876785870888</v>
      </c>
      <c r="K11" t="n">
        <v>807.056179350966</v>
      </c>
      <c r="L11" t="n">
        <v>996.159653011933</v>
      </c>
      <c r="M11" t="n">
        <v>574.440150577284</v>
      </c>
    </row>
    <row r="12">
      <c r="B12" t="s">
        <v>533</v>
      </c>
      <c r="C12" t="n">
        <v>3182.07249214317</v>
      </c>
      <c r="D12" t="n">
        <v>6527.67198648804</v>
      </c>
      <c r="E12" t="n">
        <v>8329.97433476429</v>
      </c>
      <c r="F12" t="n">
        <v>17378.0659817525</v>
      </c>
      <c r="G12" t="n">
        <v>6571.29730897891</v>
      </c>
      <c r="H12" t="n">
        <v>8148.53509502051</v>
      </c>
      <c r="I12" t="n">
        <v>10651.886450822</v>
      </c>
      <c r="J12" t="n">
        <v>295.051454280615</v>
      </c>
      <c r="K12" t="n">
        <v>829.597580368786</v>
      </c>
      <c r="L12" t="n">
        <v>1021.65408349637</v>
      </c>
      <c r="M12" t="n">
        <v>594.229867286213</v>
      </c>
    </row>
    <row r="13">
      <c r="B13" t="s">
        <v>534</v>
      </c>
      <c r="C13" t="n">
        <v>3296.61324810295</v>
      </c>
      <c r="D13" t="n">
        <v>6714.68518486204</v>
      </c>
      <c r="E13" t="n">
        <v>8547.19528731536</v>
      </c>
      <c r="F13" t="n">
        <v>17896.0660498011</v>
      </c>
      <c r="G13" t="n">
        <v>6830.03262504052</v>
      </c>
      <c r="H13" t="n">
        <v>8441.75566915068</v>
      </c>
      <c r="I13" t="n">
        <v>10990.7479098357</v>
      </c>
      <c r="J13" t="n">
        <v>306.365387812447</v>
      </c>
      <c r="K13" t="n">
        <v>852.501902532428</v>
      </c>
      <c r="L13" t="n">
        <v>1047.58814275003</v>
      </c>
      <c r="M13" t="n">
        <v>614.291297755151</v>
      </c>
    </row>
    <row r="14">
      <c r="B14" t="s">
        <v>535</v>
      </c>
      <c r="C14" t="n">
        <v>3411.60523251559</v>
      </c>
      <c r="D14" t="n">
        <v>6902.45104689833</v>
      </c>
      <c r="E14" t="n">
        <v>8765.29942403637</v>
      </c>
      <c r="F14" t="n">
        <v>18416.1456581288</v>
      </c>
      <c r="G14" t="n">
        <v>7089.77984279839</v>
      </c>
      <c r="H14" t="n">
        <v>8736.13140360928</v>
      </c>
      <c r="I14" t="n">
        <v>11330.9591044635</v>
      </c>
      <c r="J14" t="n">
        <v>317.723661732365</v>
      </c>
      <c r="K14" t="n">
        <v>875.498766985141</v>
      </c>
      <c r="L14" t="n">
        <v>1073.62797010866</v>
      </c>
      <c r="M14" t="n">
        <v>634.432200697842</v>
      </c>
    </row>
    <row r="15">
      <c r="B15" t="s">
        <v>536</v>
      </c>
      <c r="C15" t="n">
        <v>3527.63427485302</v>
      </c>
      <c r="D15" t="n">
        <v>7092.14495730092</v>
      </c>
      <c r="E15" t="n">
        <v>8985.77486845491</v>
      </c>
      <c r="F15" t="n">
        <v>18941.4386694679</v>
      </c>
      <c r="G15" t="n">
        <v>7351.76096939795</v>
      </c>
      <c r="H15" t="n">
        <v>9033.16241894897</v>
      </c>
      <c r="I15" t="n">
        <v>11674.4565674875</v>
      </c>
      <c r="J15" t="n">
        <v>329.180977357739</v>
      </c>
      <c r="K15" t="n">
        <v>898.73707782741</v>
      </c>
      <c r="L15" t="n">
        <v>1099.95569156118</v>
      </c>
      <c r="M15" t="n">
        <v>654.761245004746</v>
      </c>
    </row>
  </sheetData>
  <pageMargins left="0.7" right="0.7" top="0.75" bottom="0.75" header="0.3" footer="0.3"/>
  <pageSetup paperSize="9" orientation="portrait" horizontalDpi="300" verticalDpi="300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565</v>
      </c>
      <c r="D2" t="s">
        <v>566</v>
      </c>
      <c r="E2" t="s">
        <v>567</v>
      </c>
      <c r="F2" t="s">
        <v>568</v>
      </c>
      <c r="G2" t="s">
        <v>569</v>
      </c>
      <c r="H2" t="s">
        <v>570</v>
      </c>
      <c r="I2" t="s">
        <v>571</v>
      </c>
      <c r="J2" t="s">
        <v>572</v>
      </c>
      <c r="K2" t="s">
        <v>573</v>
      </c>
      <c r="L2" t="s">
        <v>574</v>
      </c>
      <c r="M2" t="s">
        <v>575</v>
      </c>
    </row>
    <row r="3">
      <c r="B3" t="s">
        <v>486</v>
      </c>
      <c r="C3" t="n">
        <v>88.0215154787864</v>
      </c>
      <c r="D3" t="n">
        <v>198.996300570473</v>
      </c>
      <c r="E3" t="n">
        <v>261.95104144534</v>
      </c>
      <c r="F3" t="n">
        <v>525.257876330342</v>
      </c>
      <c r="G3" t="n">
        <v>180.069481151887</v>
      </c>
      <c r="H3" t="n">
        <v>233.882396508687</v>
      </c>
      <c r="I3" t="n">
        <v>323.157491717877</v>
      </c>
      <c r="J3" t="n">
        <v>25.3128176678232</v>
      </c>
      <c r="K3" t="n">
        <v>7.63320039923488</v>
      </c>
      <c r="L3" t="n">
        <v>32.0777897291749</v>
      </c>
      <c r="M3" t="n">
        <v>17.0553111866578</v>
      </c>
    </row>
    <row r="4">
      <c r="B4" t="s">
        <v>525</v>
      </c>
      <c r="C4" t="n">
        <v>133.402981547257</v>
      </c>
      <c r="D4" t="n">
        <v>305.205596386749</v>
      </c>
      <c r="E4" t="n">
        <v>402.656590821005</v>
      </c>
      <c r="F4" t="n">
        <v>806.425082597434</v>
      </c>
      <c r="G4" t="n">
        <v>282.14119937802</v>
      </c>
      <c r="H4" t="n">
        <v>366.342439796676</v>
      </c>
      <c r="I4" t="n">
        <v>505.243673996473</v>
      </c>
      <c r="J4" t="n">
        <v>38.8313506538166</v>
      </c>
      <c r="K4" t="n">
        <v>11.40043642775</v>
      </c>
      <c r="L4" t="n">
        <v>49.3326701500008</v>
      </c>
      <c r="M4" t="n">
        <v>26.6590109648522</v>
      </c>
    </row>
    <row r="5">
      <c r="B5" t="s">
        <v>526</v>
      </c>
      <c r="C5" t="n">
        <v>179.88215385097</v>
      </c>
      <c r="D5" t="n">
        <v>416.658995457073</v>
      </c>
      <c r="E5" t="n">
        <v>550.998034571773</v>
      </c>
      <c r="F5" t="n">
        <v>1101.97442295972</v>
      </c>
      <c r="G5" t="n">
        <v>392.791852156831</v>
      </c>
      <c r="H5" t="n">
        <v>510.135031737748</v>
      </c>
      <c r="I5" t="n">
        <v>703.187976174249</v>
      </c>
      <c r="J5" t="n">
        <v>53.0224881957863</v>
      </c>
      <c r="K5" t="n">
        <v>15.1443535250388</v>
      </c>
      <c r="L5" t="n">
        <v>67.538988345681</v>
      </c>
      <c r="M5" t="n">
        <v>36.8087962084075</v>
      </c>
    </row>
    <row r="6">
      <c r="B6" t="s">
        <v>527</v>
      </c>
      <c r="C6" t="n">
        <v>2036.34518615522</v>
      </c>
      <c r="D6" t="n">
        <v>4777.35254655989</v>
      </c>
      <c r="E6" t="n">
        <v>6333.4296545882</v>
      </c>
      <c r="F6" t="n">
        <v>12646.6268950417</v>
      </c>
      <c r="G6" t="n">
        <v>4591.0660570845</v>
      </c>
      <c r="H6" t="n">
        <v>5965.34483403107</v>
      </c>
      <c r="I6" t="n">
        <v>8214.68712430365</v>
      </c>
      <c r="J6" t="n">
        <v>608.066680890642</v>
      </c>
      <c r="K6" t="n">
        <v>168.850765163234</v>
      </c>
      <c r="L6" t="n">
        <v>776.672512677119</v>
      </c>
      <c r="M6" t="n">
        <v>426.689301624027</v>
      </c>
    </row>
    <row r="7">
      <c r="B7" t="s">
        <v>528</v>
      </c>
      <c r="C7" t="n">
        <v>2004.84094048844</v>
      </c>
      <c r="D7" t="n">
        <v>4765.64105154945</v>
      </c>
      <c r="E7" t="n">
        <v>6334.40800946411</v>
      </c>
      <c r="F7" t="n">
        <v>12626.5382954231</v>
      </c>
      <c r="G7" t="n">
        <v>4664.31528943482</v>
      </c>
      <c r="H7" t="n">
        <v>6062.49914923612</v>
      </c>
      <c r="I7" t="n">
        <v>8350.07864127921</v>
      </c>
      <c r="J7" t="n">
        <v>606.68769307172</v>
      </c>
      <c r="K7" t="n">
        <v>163.687159410887</v>
      </c>
      <c r="L7" t="n">
        <v>777.124130016314</v>
      </c>
      <c r="M7" t="n">
        <v>432.883089506711</v>
      </c>
    </row>
    <row r="8">
      <c r="B8" t="s">
        <v>529</v>
      </c>
      <c r="C8" t="n">
        <v>1973.41303562916</v>
      </c>
      <c r="D8" t="n">
        <v>4754.5897667391</v>
      </c>
      <c r="E8" t="n">
        <v>6336.92321977433</v>
      </c>
      <c r="F8" t="n">
        <v>12607.6041662561</v>
      </c>
      <c r="G8" t="n">
        <v>4732.73494747473</v>
      </c>
      <c r="H8" t="n">
        <v>6161.59847072497</v>
      </c>
      <c r="I8" t="n">
        <v>8484.09890854264</v>
      </c>
      <c r="J8" t="n">
        <v>605.386924037157</v>
      </c>
      <c r="K8" t="n">
        <v>158.613485673966</v>
      </c>
      <c r="L8" t="n">
        <v>777.749127479419</v>
      </c>
      <c r="M8" t="n">
        <v>436.257690689011</v>
      </c>
    </row>
    <row r="9">
      <c r="B9" t="s">
        <v>530</v>
      </c>
      <c r="C9" t="n">
        <v>1940.37364153443</v>
      </c>
      <c r="D9" t="n">
        <v>4739.91209953214</v>
      </c>
      <c r="E9" t="n">
        <v>6335.20113845044</v>
      </c>
      <c r="F9" t="n">
        <v>12578.4904869009</v>
      </c>
      <c r="G9" t="n">
        <v>4797.57264648447</v>
      </c>
      <c r="H9" t="n">
        <v>6251.66342076134</v>
      </c>
      <c r="I9" t="n">
        <v>8612.01694114945</v>
      </c>
      <c r="J9" t="n">
        <v>603.618639139127</v>
      </c>
      <c r="K9" t="n">
        <v>153.499965025607</v>
      </c>
      <c r="L9" t="n">
        <v>777.83980546967</v>
      </c>
      <c r="M9" t="n">
        <v>439.19620350154</v>
      </c>
    </row>
    <row r="10">
      <c r="B10" t="s">
        <v>531</v>
      </c>
      <c r="C10" t="n">
        <v>1905.9079150851</v>
      </c>
      <c r="D10" t="n">
        <v>4721.73959735831</v>
      </c>
      <c r="E10" t="n">
        <v>6329.33439174605</v>
      </c>
      <c r="F10" t="n">
        <v>12539.5652450093</v>
      </c>
      <c r="G10" t="n">
        <v>4856.26937888293</v>
      </c>
      <c r="H10" t="n">
        <v>6338.18213467586</v>
      </c>
      <c r="I10" t="n">
        <v>8736.55768876178</v>
      </c>
      <c r="J10" t="n">
        <v>601.399784474721</v>
      </c>
      <c r="K10" t="n">
        <v>148.370274611686</v>
      </c>
      <c r="L10" t="n">
        <v>777.407584342485</v>
      </c>
      <c r="M10" t="n">
        <v>444.232541935237</v>
      </c>
    </row>
    <row r="11">
      <c r="B11" t="s">
        <v>532</v>
      </c>
      <c r="C11" t="n">
        <v>1884.105686948</v>
      </c>
      <c r="D11" t="n">
        <v>4720.18673765379</v>
      </c>
      <c r="E11" t="n">
        <v>6340.48466249882</v>
      </c>
      <c r="F11" t="n">
        <v>12551.2183992418</v>
      </c>
      <c r="G11" t="n">
        <v>4936.26900269866</v>
      </c>
      <c r="H11" t="n">
        <v>6447.19830909998</v>
      </c>
      <c r="I11" t="n">
        <v>8893.2546795894</v>
      </c>
      <c r="J11" t="n">
        <v>600.525592034854</v>
      </c>
      <c r="K11" t="n">
        <v>144.308563150945</v>
      </c>
      <c r="L11" t="n">
        <v>778.198328796577</v>
      </c>
      <c r="M11" t="n">
        <v>448.751727518061</v>
      </c>
    </row>
    <row r="12">
      <c r="B12" t="s">
        <v>533</v>
      </c>
      <c r="C12" t="n">
        <v>1860.49188252778</v>
      </c>
      <c r="D12" t="n">
        <v>4715.72912969667</v>
      </c>
      <c r="E12" t="n">
        <v>6348.64647486263</v>
      </c>
      <c r="F12" t="n">
        <v>12554.2846113551</v>
      </c>
      <c r="G12" t="n">
        <v>5008.27995613551</v>
      </c>
      <c r="H12" t="n">
        <v>6553.56559967952</v>
      </c>
      <c r="I12" t="n">
        <v>9042.7404046294</v>
      </c>
      <c r="J12" t="n">
        <v>599.318943073262</v>
      </c>
      <c r="K12" t="n">
        <v>140.176820492402</v>
      </c>
      <c r="L12" t="n">
        <v>778.648328920902</v>
      </c>
      <c r="M12" t="n">
        <v>452.889192762615</v>
      </c>
    </row>
    <row r="13">
      <c r="B13" t="s">
        <v>534</v>
      </c>
      <c r="C13" t="n">
        <v>1835.67760980358</v>
      </c>
      <c r="D13" t="n">
        <v>4709.54509049207</v>
      </c>
      <c r="E13" t="n">
        <v>6355.31735651487</v>
      </c>
      <c r="F13" t="n">
        <v>12551.940661935</v>
      </c>
      <c r="G13" t="n">
        <v>5078.51095340033</v>
      </c>
      <c r="H13" t="n">
        <v>6656.26673505307</v>
      </c>
      <c r="I13" t="n">
        <v>9192.5233090097</v>
      </c>
      <c r="J13" t="n">
        <v>597.927682262476</v>
      </c>
      <c r="K13" t="n">
        <v>136.029896086152</v>
      </c>
      <c r="L13" t="n">
        <v>778.940328645472</v>
      </c>
      <c r="M13" t="n">
        <v>456.759909577963</v>
      </c>
    </row>
    <row r="14">
      <c r="B14" t="s">
        <v>535</v>
      </c>
      <c r="C14" t="n">
        <v>1809.24709477622</v>
      </c>
      <c r="D14" t="n">
        <v>4700.23328962273</v>
      </c>
      <c r="E14" t="n">
        <v>6358.5268009039</v>
      </c>
      <c r="F14" t="n">
        <v>12540.4990634123</v>
      </c>
      <c r="G14" t="n">
        <v>5143.07075686668</v>
      </c>
      <c r="H14" t="n">
        <v>6753.31371836325</v>
      </c>
      <c r="I14" t="n">
        <v>9337.01642658558</v>
      </c>
      <c r="J14" t="n">
        <v>596.172058540907</v>
      </c>
      <c r="K14" t="n">
        <v>131.844023871895</v>
      </c>
      <c r="L14" t="n">
        <v>778.831605388826</v>
      </c>
      <c r="M14" t="n">
        <v>460.230045357197</v>
      </c>
    </row>
    <row r="15">
      <c r="B15" t="s">
        <v>536</v>
      </c>
      <c r="C15" t="n">
        <v>1781.69502211685</v>
      </c>
      <c r="D15" t="n">
        <v>4688.74331271837</v>
      </c>
      <c r="E15" t="n">
        <v>6359.47724938193</v>
      </c>
      <c r="F15" t="n">
        <v>12522.5223722066</v>
      </c>
      <c r="G15" t="n">
        <v>5203.04117476954</v>
      </c>
      <c r="H15" t="n">
        <v>6846.00819037096</v>
      </c>
      <c r="I15" t="n">
        <v>9477.89912932678</v>
      </c>
      <c r="J15" t="n">
        <v>594.171084901095</v>
      </c>
      <c r="K15" t="n">
        <v>127.662058434265</v>
      </c>
      <c r="L15" t="n">
        <v>778.468557048804</v>
      </c>
      <c r="M15" t="n">
        <v>463.39233981951</v>
      </c>
    </row>
    <row r="16">
      <c r="B16" t="s">
        <v>550</v>
      </c>
      <c r="C16" t="n">
        <v>19433.4046659418</v>
      </c>
      <c r="D16" t="n">
        <v>48214.5335143368</v>
      </c>
      <c r="E16" t="n">
        <v>64647.3546250234</v>
      </c>
      <c r="F16" t="n">
        <v>128152.94757867</v>
      </c>
      <c r="G16" t="n">
        <v>49866.1326959189</v>
      </c>
      <c r="H16" t="n">
        <v>65146.0004300393</v>
      </c>
      <c r="I16" t="n">
        <v>89872.4623950662</v>
      </c>
      <c r="J16" t="n">
        <v>6130.44173894339</v>
      </c>
      <c r="K16" t="n">
        <v>1507.22100227306</v>
      </c>
      <c r="L16" t="n">
        <v>7928.82975701045</v>
      </c>
      <c r="M16" t="n">
        <v>4541.80516065179</v>
      </c>
    </row>
    <row r="17">
      <c r="B17" t="s">
        <v>551</v>
      </c>
      <c r="C17" t="n">
        <v>2068.79796352692</v>
      </c>
      <c r="D17" t="n">
        <v>4533.59059837197</v>
      </c>
      <c r="E17" t="n">
        <v>5886.02985190475</v>
      </c>
      <c r="F17" t="n">
        <v>12050.1632173533</v>
      </c>
      <c r="G17" t="n">
        <v>4540.22515460533</v>
      </c>
      <c r="H17" t="n">
        <v>5740.55824104465</v>
      </c>
      <c r="I17" t="n">
        <v>7660.76081810732</v>
      </c>
      <c r="J17" t="n">
        <v>576.442640957554</v>
      </c>
      <c r="K17" t="n">
        <v>180.340271250752</v>
      </c>
      <c r="L17" t="n">
        <v>721.9062390276</v>
      </c>
      <c r="M17" t="n">
        <v>400.216388912443</v>
      </c>
    </row>
  </sheetData>
  <pageMargins left="0.7" right="0.7" top="0.75" bottom="0.75" header="0.3" footer="0.3"/>
  <pageSetup paperSize="9"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</row>
    <row r="3">
      <c r="B3" t="s">
        <v>486</v>
      </c>
      <c r="C3" t="n">
        <v>97.043720815362</v>
      </c>
      <c r="D3" t="n">
        <v>211.115175275215</v>
      </c>
      <c r="E3" t="n">
        <v>275.21231291851</v>
      </c>
      <c r="F3" t="n">
        <v>557.246080998859</v>
      </c>
      <c r="G3" t="n">
        <v>189.185498635202</v>
      </c>
      <c r="H3" t="n">
        <v>243.331245327638</v>
      </c>
      <c r="I3" t="n">
        <v>332.924926905049</v>
      </c>
      <c r="J3" t="n">
        <v>8.73925113708402</v>
      </c>
      <c r="K3" t="n">
        <v>26.8543682637936</v>
      </c>
      <c r="L3" t="n">
        <v>33.7017278342143</v>
      </c>
      <c r="M3" t="n">
        <v>17.9187363154824</v>
      </c>
    </row>
    <row r="4">
      <c r="B4" t="s">
        <v>525</v>
      </c>
      <c r="C4" t="n">
        <v>154.430626513644</v>
      </c>
      <c r="D4" t="n">
        <v>333.506395722903</v>
      </c>
      <c r="E4" t="n">
        <v>433.617107749601</v>
      </c>
      <c r="F4" t="n">
        <v>881.202461231447</v>
      </c>
      <c r="G4" t="n">
        <v>303.835212536445</v>
      </c>
      <c r="H4" t="n">
        <v>388.765527851751</v>
      </c>
      <c r="I4" t="n">
        <v>528.322384003661</v>
      </c>
      <c r="J4" t="n">
        <v>13.9660248427601</v>
      </c>
      <c r="K4" t="n">
        <v>42.432065305893</v>
      </c>
      <c r="L4" t="n">
        <v>53.1258899907532</v>
      </c>
      <c r="M4" t="n">
        <v>28.7088389798216</v>
      </c>
    </row>
    <row r="5">
      <c r="B5" t="s">
        <v>526</v>
      </c>
      <c r="C5" t="n">
        <v>218.647882269316</v>
      </c>
      <c r="D5" t="n">
        <v>468.953370152685</v>
      </c>
      <c r="E5" t="n">
        <v>608.198733269362</v>
      </c>
      <c r="F5" t="n">
        <v>1240.28192143583</v>
      </c>
      <c r="G5" t="n">
        <v>433.56870974318</v>
      </c>
      <c r="H5" t="n">
        <v>552.186564295559</v>
      </c>
      <c r="I5" t="n">
        <v>746.338087149109</v>
      </c>
      <c r="J5" t="n">
        <v>19.8511581746503</v>
      </c>
      <c r="K5" t="n">
        <v>59.6772775924785</v>
      </c>
      <c r="L5" t="n">
        <v>74.5504059557343</v>
      </c>
      <c r="M5" t="n">
        <v>40.6300237432288</v>
      </c>
    </row>
    <row r="6">
      <c r="B6" t="s">
        <v>527</v>
      </c>
      <c r="C6" t="n">
        <v>286.891298323767</v>
      </c>
      <c r="D6" t="n">
        <v>611.35419580888</v>
      </c>
      <c r="E6" t="n">
        <v>791.002325715515</v>
      </c>
      <c r="F6" t="n">
        <v>1618.37928847864</v>
      </c>
      <c r="G6" t="n">
        <v>573.392952432423</v>
      </c>
      <c r="H6" t="n">
        <v>727.035964430007</v>
      </c>
      <c r="I6" t="n">
        <v>976.878880335987</v>
      </c>
      <c r="J6" t="n">
        <v>26.1421561072001</v>
      </c>
      <c r="K6" t="n">
        <v>77.8138337229815</v>
      </c>
      <c r="L6" t="n">
        <v>97.0011190385375</v>
      </c>
      <c r="M6" t="n">
        <v>53.2905942514141</v>
      </c>
    </row>
    <row r="7">
      <c r="B7" t="s">
        <v>528</v>
      </c>
      <c r="C7" t="n">
        <v>358.598308862612</v>
      </c>
      <c r="D7" t="n">
        <v>759.516471352387</v>
      </c>
      <c r="E7" t="n">
        <v>980.48678856658</v>
      </c>
      <c r="F7" t="n">
        <v>2012.33448088112</v>
      </c>
      <c r="G7" t="n">
        <v>721.977414806097</v>
      </c>
      <c r="H7" t="n">
        <v>911.266156971037</v>
      </c>
      <c r="I7" t="n">
        <v>1218.65097278755</v>
      </c>
      <c r="J7" t="n">
        <v>32.7876128620189</v>
      </c>
      <c r="K7" t="n">
        <v>96.689887230373</v>
      </c>
      <c r="L7" t="n">
        <v>120.289053281516</v>
      </c>
      <c r="M7" t="n">
        <v>67.0048644831645</v>
      </c>
    </row>
    <row r="8">
      <c r="B8" t="s">
        <v>529</v>
      </c>
      <c r="C8" t="n">
        <v>434.657839655774</v>
      </c>
      <c r="D8" t="n">
        <v>915.3307557776</v>
      </c>
      <c r="E8" t="n">
        <v>1179.09808447793</v>
      </c>
      <c r="F8" t="n">
        <v>2427.15532069105</v>
      </c>
      <c r="G8" t="n">
        <v>880.610119039429</v>
      </c>
      <c r="H8" t="n">
        <v>1107.89608272447</v>
      </c>
      <c r="I8" t="n">
        <v>1473.91503723024</v>
      </c>
      <c r="J8" t="n">
        <v>39.8685998617187</v>
      </c>
      <c r="K8" t="n">
        <v>116.546179145305</v>
      </c>
      <c r="L8" t="n">
        <v>144.714157740422</v>
      </c>
      <c r="M8" t="n">
        <v>81.1735584589418</v>
      </c>
    </row>
    <row r="9">
      <c r="B9" t="s">
        <v>530</v>
      </c>
      <c r="C9" t="n">
        <v>514.310650499675</v>
      </c>
      <c r="D9" t="n">
        <v>1077.19379837122</v>
      </c>
      <c r="E9" t="n">
        <v>1384.768226348</v>
      </c>
      <c r="F9" t="n">
        <v>2858.59139596671</v>
      </c>
      <c r="G9" t="n">
        <v>1048.66854567982</v>
      </c>
      <c r="H9" t="n">
        <v>1314.08277102689</v>
      </c>
      <c r="I9" t="n">
        <v>1740.43966493549</v>
      </c>
      <c r="J9" t="n">
        <v>47.3155901499685</v>
      </c>
      <c r="K9" t="n">
        <v>137.178546987427</v>
      </c>
      <c r="L9" t="n">
        <v>170.02267556521</v>
      </c>
      <c r="M9" t="n">
        <v>96.0008900191544</v>
      </c>
    </row>
    <row r="10">
      <c r="B10" t="s">
        <v>531</v>
      </c>
      <c r="C10" t="n">
        <v>597.239408211741</v>
      </c>
      <c r="D10" t="n">
        <v>1244.45703089242</v>
      </c>
      <c r="E10" t="n">
        <v>1596.67189447169</v>
      </c>
      <c r="F10" t="n">
        <v>3304.91544731026</v>
      </c>
      <c r="G10" t="n">
        <v>1225.06860110876</v>
      </c>
      <c r="H10" t="n">
        <v>1530.06229130163</v>
      </c>
      <c r="I10" t="n">
        <v>2017.79750359337</v>
      </c>
      <c r="J10" t="n">
        <v>55.0990043142374</v>
      </c>
      <c r="K10" t="n">
        <v>158.504333992808</v>
      </c>
      <c r="L10" t="n">
        <v>196.113013413778</v>
      </c>
      <c r="M10" t="n">
        <v>112.064487419512</v>
      </c>
    </row>
    <row r="11">
      <c r="B11" t="s">
        <v>532</v>
      </c>
      <c r="C11" t="n">
        <v>688.362469758907</v>
      </c>
      <c r="D11" t="n">
        <v>1422.82130746561</v>
      </c>
      <c r="E11" t="n">
        <v>1820.45539902846</v>
      </c>
      <c r="F11" t="n">
        <v>3783.35476235253</v>
      </c>
      <c r="G11" t="n">
        <v>1417.28243744037</v>
      </c>
      <c r="H11" t="n">
        <v>1762.75388073253</v>
      </c>
      <c r="I11" t="n">
        <v>2314.94184337163</v>
      </c>
      <c r="J11" t="n">
        <v>63.6720470131585</v>
      </c>
      <c r="K11" t="n">
        <v>181.018390905928</v>
      </c>
      <c r="L11" t="n">
        <v>223.433290131851</v>
      </c>
      <c r="M11" t="n">
        <v>128.843857949125</v>
      </c>
    </row>
    <row r="12">
      <c r="B12" t="s">
        <v>533</v>
      </c>
      <c r="C12" t="n">
        <v>784.17121903931</v>
      </c>
      <c r="D12" t="n">
        <v>1608.6410701742</v>
      </c>
      <c r="E12" t="n">
        <v>2052.78985465815</v>
      </c>
      <c r="F12" t="n">
        <v>4282.5483137495</v>
      </c>
      <c r="G12" t="n">
        <v>1619.39183792167</v>
      </c>
      <c r="H12" t="n">
        <v>2008.07703615299</v>
      </c>
      <c r="I12" t="n">
        <v>2624.98821250411</v>
      </c>
      <c r="J12" t="n">
        <v>72.7107440681591</v>
      </c>
      <c r="K12" t="n">
        <v>204.441145673492</v>
      </c>
      <c r="L12" t="n">
        <v>251.770420086265</v>
      </c>
      <c r="M12" t="n">
        <v>146.438511558093</v>
      </c>
    </row>
    <row r="13">
      <c r="B13" t="s">
        <v>534</v>
      </c>
      <c r="C13" t="n">
        <v>884.04800664307</v>
      </c>
      <c r="D13" t="n">
        <v>1800.66741414966</v>
      </c>
      <c r="E13" t="n">
        <v>2292.08899784905</v>
      </c>
      <c r="F13" t="n">
        <v>4799.16214836049</v>
      </c>
      <c r="G13" t="n">
        <v>1831.59997034801</v>
      </c>
      <c r="H13" t="n">
        <v>2263.81340794983</v>
      </c>
      <c r="I13" t="n">
        <v>2947.37297036529</v>
      </c>
      <c r="J13" t="n">
        <v>82.1575629339844</v>
      </c>
      <c r="K13" t="n">
        <v>228.614202174584</v>
      </c>
      <c r="L13" t="n">
        <v>280.930197048144</v>
      </c>
      <c r="M13" t="n">
        <v>164.733608830558</v>
      </c>
    </row>
    <row r="14">
      <c r="B14" t="s">
        <v>535</v>
      </c>
      <c r="C14" t="n">
        <v>986.470987283795</v>
      </c>
      <c r="D14" t="n">
        <v>1995.8545127131</v>
      </c>
      <c r="E14" t="n">
        <v>2534.50003366641</v>
      </c>
      <c r="F14" t="n">
        <v>5325.0573120797</v>
      </c>
      <c r="G14" t="n">
        <v>2050.02092695029</v>
      </c>
      <c r="H14" t="n">
        <v>2526.06605495352</v>
      </c>
      <c r="I14" t="n">
        <v>3276.36454186418</v>
      </c>
      <c r="J14" t="n">
        <v>91.8702935748053</v>
      </c>
      <c r="K14" t="n">
        <v>253.151837382062</v>
      </c>
      <c r="L14" t="n">
        <v>310.441206255171</v>
      </c>
      <c r="M14" t="n">
        <v>183.447062814344</v>
      </c>
    </row>
    <row r="15">
      <c r="B15" t="s">
        <v>536</v>
      </c>
      <c r="C15" t="n">
        <v>1091.24908481428</v>
      </c>
      <c r="D15" t="n">
        <v>2193.90562938878</v>
      </c>
      <c r="E15" t="n">
        <v>2779.68684890305</v>
      </c>
      <c r="F15" t="n">
        <v>5859.40208157886</v>
      </c>
      <c r="G15" t="n">
        <v>2274.2160339065</v>
      </c>
      <c r="H15" t="n">
        <v>2794.34585748477</v>
      </c>
      <c r="I15" t="n">
        <v>3611.41179962757</v>
      </c>
      <c r="J15" t="n">
        <v>101.82984184064</v>
      </c>
      <c r="K15" t="n">
        <v>278.018053248642</v>
      </c>
      <c r="L15" t="n">
        <v>340.263629455299</v>
      </c>
      <c r="M15" t="n">
        <v>202.545829219515</v>
      </c>
    </row>
  </sheetData>
  <pageMargins left="0.7" right="0.7" top="0.75" bottom="0.75" header="0.3" footer="0.3"/>
  <pageSetup paperSize="9" orientation="portrait" horizontalDpi="300" verticalDpi="300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565</v>
      </c>
      <c r="D2" t="s">
        <v>566</v>
      </c>
      <c r="E2" t="s">
        <v>567</v>
      </c>
      <c r="F2" t="s">
        <v>568</v>
      </c>
      <c r="G2" t="s">
        <v>569</v>
      </c>
      <c r="H2" t="s">
        <v>570</v>
      </c>
      <c r="I2" t="s">
        <v>571</v>
      </c>
      <c r="J2" t="s">
        <v>572</v>
      </c>
      <c r="K2" t="s">
        <v>573</v>
      </c>
      <c r="L2" t="s">
        <v>574</v>
      </c>
      <c r="M2" t="s">
        <v>575</v>
      </c>
    </row>
    <row r="3">
      <c r="B3" t="s">
        <v>486</v>
      </c>
      <c r="C3" t="n">
        <v>88.0215154787864</v>
      </c>
      <c r="D3" t="n">
        <v>198.996300570473</v>
      </c>
      <c r="E3" t="n">
        <v>261.95104144534</v>
      </c>
      <c r="F3" t="n">
        <v>525.257876330342</v>
      </c>
      <c r="G3" t="n">
        <v>180.069481151887</v>
      </c>
      <c r="H3" t="n">
        <v>233.882396508687</v>
      </c>
      <c r="I3" t="n">
        <v>323.157491717877</v>
      </c>
      <c r="J3" t="n">
        <v>25.3128176678232</v>
      </c>
      <c r="K3" t="n">
        <v>7.63320039923488</v>
      </c>
      <c r="L3" t="n">
        <v>32.0777897291749</v>
      </c>
      <c r="M3" t="n">
        <v>17.0553111866578</v>
      </c>
    </row>
    <row r="4">
      <c r="B4" t="s">
        <v>525</v>
      </c>
      <c r="C4" t="n">
        <v>133.402981547257</v>
      </c>
      <c r="D4" t="n">
        <v>305.205596386749</v>
      </c>
      <c r="E4" t="n">
        <v>402.656590821005</v>
      </c>
      <c r="F4" t="n">
        <v>806.425082597434</v>
      </c>
      <c r="G4" t="n">
        <v>282.14119937802</v>
      </c>
      <c r="H4" t="n">
        <v>366.342439796676</v>
      </c>
      <c r="I4" t="n">
        <v>505.243673996473</v>
      </c>
      <c r="J4" t="n">
        <v>38.8313506538166</v>
      </c>
      <c r="K4" t="n">
        <v>11.40043642775</v>
      </c>
      <c r="L4" t="n">
        <v>49.3326701500008</v>
      </c>
      <c r="M4" t="n">
        <v>26.6590109648522</v>
      </c>
    </row>
    <row r="5">
      <c r="B5" t="s">
        <v>526</v>
      </c>
      <c r="C5" t="n">
        <v>179.88215385097</v>
      </c>
      <c r="D5" t="n">
        <v>416.658995457073</v>
      </c>
      <c r="E5" t="n">
        <v>550.998034571773</v>
      </c>
      <c r="F5" t="n">
        <v>1101.97442295972</v>
      </c>
      <c r="G5" t="n">
        <v>392.791852156831</v>
      </c>
      <c r="H5" t="n">
        <v>510.135031737748</v>
      </c>
      <c r="I5" t="n">
        <v>703.187976174249</v>
      </c>
      <c r="J5" t="n">
        <v>53.0224881957863</v>
      </c>
      <c r="K5" t="n">
        <v>15.1443535250388</v>
      </c>
      <c r="L5" t="n">
        <v>67.538988345681</v>
      </c>
      <c r="M5" t="n">
        <v>36.8087962084075</v>
      </c>
    </row>
    <row r="6">
      <c r="B6" t="s">
        <v>527</v>
      </c>
      <c r="C6" t="n">
        <v>224.78683916878</v>
      </c>
      <c r="D6" t="n">
        <v>527.359499674856</v>
      </c>
      <c r="E6" t="n">
        <v>699.130797092757</v>
      </c>
      <c r="F6" t="n">
        <v>1396.02819070707</v>
      </c>
      <c r="G6" t="n">
        <v>506.795819492478</v>
      </c>
      <c r="H6" t="n">
        <v>658.498872838664</v>
      </c>
      <c r="I6" t="n">
        <v>906.797907342581</v>
      </c>
      <c r="J6" t="n">
        <v>67.1228965160525</v>
      </c>
      <c r="K6" t="n">
        <v>18.6389960063383</v>
      </c>
      <c r="L6" t="n">
        <v>85.7348549651326</v>
      </c>
      <c r="M6" t="n">
        <v>47.1011202183715</v>
      </c>
    </row>
    <row r="7">
      <c r="B7" t="s">
        <v>528</v>
      </c>
      <c r="C7" t="n">
        <v>267.591579281138</v>
      </c>
      <c r="D7" t="n">
        <v>636.083087449546</v>
      </c>
      <c r="E7" t="n">
        <v>845.470684896642</v>
      </c>
      <c r="F7" t="n">
        <v>1685.29844691961</v>
      </c>
      <c r="G7" t="n">
        <v>622.558862081565</v>
      </c>
      <c r="H7" t="n">
        <v>809.178268945071</v>
      </c>
      <c r="I7" t="n">
        <v>1114.50773256717</v>
      </c>
      <c r="J7" t="n">
        <v>80.9762583359553</v>
      </c>
      <c r="K7" t="n">
        <v>21.8477708681125</v>
      </c>
      <c r="L7" t="n">
        <v>103.724873654008</v>
      </c>
      <c r="M7" t="n">
        <v>57.7780846479411</v>
      </c>
    </row>
    <row r="8">
      <c r="B8" t="s">
        <v>529</v>
      </c>
      <c r="C8" t="n">
        <v>308.90321163805</v>
      </c>
      <c r="D8" t="n">
        <v>744.247667594263</v>
      </c>
      <c r="E8" t="n">
        <v>991.934227224732</v>
      </c>
      <c r="F8" t="n">
        <v>1973.49938796574</v>
      </c>
      <c r="G8" t="n">
        <v>740.826678810543</v>
      </c>
      <c r="H8" t="n">
        <v>964.490211662266</v>
      </c>
      <c r="I8" t="n">
        <v>1328.03693569813</v>
      </c>
      <c r="J8" t="n">
        <v>94.762708942549</v>
      </c>
      <c r="K8" t="n">
        <v>24.8281602731854</v>
      </c>
      <c r="L8" t="n">
        <v>121.742989931395</v>
      </c>
      <c r="M8" t="n">
        <v>68.2884927395193</v>
      </c>
    </row>
    <row r="9">
      <c r="B9" t="s">
        <v>530</v>
      </c>
      <c r="C9" t="n">
        <v>348.105692568759</v>
      </c>
      <c r="D9" t="n">
        <v>850.346731579944</v>
      </c>
      <c r="E9" t="n">
        <v>1136.54377314605</v>
      </c>
      <c r="F9" t="n">
        <v>2256.59844510648</v>
      </c>
      <c r="G9" t="n">
        <v>860.691112786266</v>
      </c>
      <c r="H9" t="n">
        <v>1121.55699201827</v>
      </c>
      <c r="I9" t="n">
        <v>1545.0076508677</v>
      </c>
      <c r="J9" t="n">
        <v>108.290011741643</v>
      </c>
      <c r="K9" t="n">
        <v>27.5381042551495</v>
      </c>
      <c r="L9" t="n">
        <v>139.545527930613</v>
      </c>
      <c r="M9" t="n">
        <v>78.7924012782258</v>
      </c>
    </row>
    <row r="10">
      <c r="B10" t="s">
        <v>531</v>
      </c>
      <c r="C10" t="n">
        <v>384.985847649929</v>
      </c>
      <c r="D10" t="n">
        <v>953.772691158617</v>
      </c>
      <c r="E10" t="n">
        <v>1278.50047034271</v>
      </c>
      <c r="F10" t="n">
        <v>2532.94249779951</v>
      </c>
      <c r="G10" t="n">
        <v>980.947174020296</v>
      </c>
      <c r="H10" t="n">
        <v>1280.28767935983</v>
      </c>
      <c r="I10" t="n">
        <v>1764.75003893369</v>
      </c>
      <c r="J10" t="n">
        <v>121.480373721071</v>
      </c>
      <c r="K10" t="n">
        <v>29.9702076293032</v>
      </c>
      <c r="L10" t="n">
        <v>157.033251952371</v>
      </c>
      <c r="M10" t="n">
        <v>89.7332134238941</v>
      </c>
    </row>
    <row r="11">
      <c r="B11" t="s">
        <v>532</v>
      </c>
      <c r="C11" t="n">
        <v>422.594843425043</v>
      </c>
      <c r="D11" t="n">
        <v>1058.71267687056</v>
      </c>
      <c r="E11" t="n">
        <v>1422.136848134</v>
      </c>
      <c r="F11" t="n">
        <v>2815.17125656206</v>
      </c>
      <c r="G11" t="n">
        <v>1107.17877492236</v>
      </c>
      <c r="H11" t="n">
        <v>1446.07214915726</v>
      </c>
      <c r="I11" t="n">
        <v>1994.70952977589</v>
      </c>
      <c r="J11" t="n">
        <v>134.694683157498</v>
      </c>
      <c r="K11" t="n">
        <v>32.3676400279076</v>
      </c>
      <c r="L11" t="n">
        <v>174.545729143323</v>
      </c>
      <c r="M11" t="n">
        <v>100.652615902033</v>
      </c>
    </row>
    <row r="12">
      <c r="B12" t="s">
        <v>533</v>
      </c>
      <c r="C12" t="n">
        <v>458.488670869949</v>
      </c>
      <c r="D12" t="n">
        <v>1162.11653550445</v>
      </c>
      <c r="E12" t="n">
        <v>1564.52307662218</v>
      </c>
      <c r="F12" t="n">
        <v>3093.80401991479</v>
      </c>
      <c r="G12" t="n">
        <v>1234.21103956302</v>
      </c>
      <c r="H12" t="n">
        <v>1615.02213982985</v>
      </c>
      <c r="I12" t="n">
        <v>2228.43973041555</v>
      </c>
      <c r="J12" t="n">
        <v>147.692633446757</v>
      </c>
      <c r="K12" t="n">
        <v>34.5443507267638</v>
      </c>
      <c r="L12" t="n">
        <v>191.885511973859</v>
      </c>
      <c r="M12" t="n">
        <v>111.607347492953</v>
      </c>
    </row>
    <row r="13">
      <c r="B13" t="s">
        <v>534</v>
      </c>
      <c r="C13" t="n">
        <v>492.271009564145</v>
      </c>
      <c r="D13" t="n">
        <v>1262.95189520368</v>
      </c>
      <c r="E13" t="n">
        <v>1704.29626339827</v>
      </c>
      <c r="F13" t="n">
        <v>3366.03577264373</v>
      </c>
      <c r="G13" t="n">
        <v>1361.89693700107</v>
      </c>
      <c r="H13" t="n">
        <v>1785.00142295869</v>
      </c>
      <c r="I13" t="n">
        <v>2465.145680048</v>
      </c>
      <c r="J13" t="n">
        <v>160.345401731622</v>
      </c>
      <c r="K13" t="n">
        <v>36.4789404847624</v>
      </c>
      <c r="L13" t="n">
        <v>208.887301302086</v>
      </c>
      <c r="M13" t="n">
        <v>122.488644310713</v>
      </c>
    </row>
    <row r="14">
      <c r="B14" t="s">
        <v>535</v>
      </c>
      <c r="C14" t="n">
        <v>523.14662634874</v>
      </c>
      <c r="D14" t="n">
        <v>1359.07980486342</v>
      </c>
      <c r="E14" t="n">
        <v>1838.57796651726</v>
      </c>
      <c r="F14" t="n">
        <v>3626.10491220114</v>
      </c>
      <c r="G14" t="n">
        <v>1487.12695092676</v>
      </c>
      <c r="H14" t="n">
        <v>1952.73122097973</v>
      </c>
      <c r="I14" t="n">
        <v>2699.81289887613</v>
      </c>
      <c r="J14" t="n">
        <v>172.38408288705</v>
      </c>
      <c r="K14" t="n">
        <v>38.1229056506269</v>
      </c>
      <c r="L14" t="n">
        <v>225.200376460095</v>
      </c>
      <c r="M14" t="n">
        <v>133.076237219397</v>
      </c>
    </row>
    <row r="15">
      <c r="B15" t="s">
        <v>536</v>
      </c>
      <c r="C15" t="n">
        <v>551.154941475382</v>
      </c>
      <c r="D15" t="n">
        <v>1450.43007587463</v>
      </c>
      <c r="E15" t="n">
        <v>1967.259978665</v>
      </c>
      <c r="F15" t="n">
        <v>3873.75504758246</v>
      </c>
      <c r="G15" t="n">
        <v>1609.52453622899</v>
      </c>
      <c r="H15" t="n">
        <v>2117.76493544945</v>
      </c>
      <c r="I15" t="n">
        <v>2931.92206022288</v>
      </c>
      <c r="J15" t="n">
        <v>183.802685341706</v>
      </c>
      <c r="K15" t="n">
        <v>39.4913683158675</v>
      </c>
      <c r="L15" t="n">
        <v>240.813824293505</v>
      </c>
      <c r="M15" t="n">
        <v>143.347191726403</v>
      </c>
    </row>
    <row r="16">
      <c r="B16" t="s">
        <v>550</v>
      </c>
      <c r="C16" t="n">
        <v>4383.33591286693</v>
      </c>
      <c r="D16" t="n">
        <v>10925.9615581883</v>
      </c>
      <c r="E16" t="n">
        <v>14663.9797528777</v>
      </c>
      <c r="F16" t="n">
        <v>29052.8953592901</v>
      </c>
      <c r="G16" t="n">
        <v>11366.7604185201</v>
      </c>
      <c r="H16" t="n">
        <v>14860.9637612422</v>
      </c>
      <c r="I16" t="n">
        <v>20510.7193066363</v>
      </c>
      <c r="J16" t="n">
        <v>1388.71839233933</v>
      </c>
      <c r="K16" t="n">
        <v>338.006434590041</v>
      </c>
      <c r="L16" t="n">
        <v>1798.06368983124</v>
      </c>
      <c r="M16" t="n">
        <v>1033.38846731937</v>
      </c>
    </row>
    <row r="17">
      <c r="B17" t="s">
        <v>551</v>
      </c>
      <c r="C17" t="n">
        <v>466.631378591429</v>
      </c>
      <c r="D17" t="n">
        <v>1027.36318258989</v>
      </c>
      <c r="E17" t="n">
        <v>1335.12999988642</v>
      </c>
      <c r="F17" t="n">
        <v>2731.83050121591</v>
      </c>
      <c r="G17" t="n">
        <v>1034.92388096823</v>
      </c>
      <c r="H17" t="n">
        <v>1309.52364575443</v>
      </c>
      <c r="I17" t="n">
        <v>1748.34104494396</v>
      </c>
      <c r="J17" t="n">
        <v>130.580557114043</v>
      </c>
      <c r="K17" t="n">
        <v>40.4427565742107</v>
      </c>
      <c r="L17" t="n">
        <v>163.710589789178</v>
      </c>
      <c r="M17" t="n">
        <v>91.0604894101114</v>
      </c>
    </row>
  </sheetData>
  <pageMargins left="0.7" right="0.7" top="0.75" bottom="0.75" header="0.3" footer="0.3"/>
  <pageSetup paperSize="9" orientation="portrait" horizontalDpi="300" verticalDpi="300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</row>
    <row r="3">
      <c r="B3" t="s">
        <v>486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B4" t="s">
        <v>525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B5" t="s">
        <v>526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B6" t="s">
        <v>527</v>
      </c>
      <c r="C6" t="n">
        <v>2312.05851765178</v>
      </c>
      <c r="D6" t="n">
        <v>4926.90675520909</v>
      </c>
      <c r="E6" t="n">
        <v>6374.69200125061</v>
      </c>
      <c r="F6" t="n">
        <v>13042.5273982884</v>
      </c>
      <c r="G6" t="n">
        <v>4620.97689047635</v>
      </c>
      <c r="H6" t="n">
        <v>5859.18675129198</v>
      </c>
      <c r="I6" t="n">
        <v>7872.67215559127</v>
      </c>
      <c r="J6" t="n">
        <v>210.679776802513</v>
      </c>
      <c r="K6" t="n">
        <v>627.102104879192</v>
      </c>
      <c r="L6" t="n">
        <v>781.732540530753</v>
      </c>
      <c r="M6" t="n">
        <v>429.469185958575</v>
      </c>
    </row>
    <row r="7">
      <c r="B7" t="s">
        <v>528</v>
      </c>
      <c r="C7" t="n">
        <v>2328.08029563248</v>
      </c>
      <c r="D7" t="n">
        <v>4930.90817068312</v>
      </c>
      <c r="E7" t="n">
        <v>6365.48448828397</v>
      </c>
      <c r="F7" t="n">
        <v>13064.4125679801</v>
      </c>
      <c r="G7" t="n">
        <v>4687.19832682121</v>
      </c>
      <c r="H7" t="n">
        <v>5916.09255171865</v>
      </c>
      <c r="I7" t="n">
        <v>7911.68627091051</v>
      </c>
      <c r="J7" t="n">
        <v>212.862675473846</v>
      </c>
      <c r="K7" t="n">
        <v>627.726945957795</v>
      </c>
      <c r="L7" t="n">
        <v>780.936685432821</v>
      </c>
      <c r="M7" t="n">
        <v>435.00680527343</v>
      </c>
    </row>
    <row r="8">
      <c r="B8" t="s">
        <v>529</v>
      </c>
      <c r="C8" t="n">
        <v>2342.13247685337</v>
      </c>
      <c r="D8" t="n">
        <v>4932.21493915135</v>
      </c>
      <c r="E8" t="n">
        <v>6353.51226895712</v>
      </c>
      <c r="F8" t="n">
        <v>13078.607549009</v>
      </c>
      <c r="G8" t="n">
        <v>4745.12448891145</v>
      </c>
      <c r="H8" t="n">
        <v>5969.84377040703</v>
      </c>
      <c r="I8" t="n">
        <v>7942.11897697135</v>
      </c>
      <c r="J8" t="n">
        <v>214.829997353213</v>
      </c>
      <c r="K8" t="n">
        <v>628.003377197946</v>
      </c>
      <c r="L8" t="n">
        <v>779.785150022247</v>
      </c>
      <c r="M8" t="n">
        <v>437.399743391279</v>
      </c>
    </row>
    <row r="9">
      <c r="B9" t="s">
        <v>530</v>
      </c>
      <c r="C9" t="n">
        <v>2352.50494917018</v>
      </c>
      <c r="D9" t="n">
        <v>4927.18503772326</v>
      </c>
      <c r="E9" t="n">
        <v>6334.05919704814</v>
      </c>
      <c r="F9" t="n">
        <v>13075.4640218582</v>
      </c>
      <c r="G9" t="n">
        <v>4796.70786781118</v>
      </c>
      <c r="H9" t="n">
        <v>6010.73732277685</v>
      </c>
      <c r="I9" t="n">
        <v>7960.93357490255</v>
      </c>
      <c r="J9" t="n">
        <v>216.425928361713</v>
      </c>
      <c r="K9" t="n">
        <v>627.467485641928</v>
      </c>
      <c r="L9" t="n">
        <v>777.699597217586</v>
      </c>
      <c r="M9" t="n">
        <v>439.117036902477</v>
      </c>
    </row>
    <row r="10">
      <c r="B10" t="s">
        <v>531</v>
      </c>
      <c r="C10" t="n">
        <v>2359.44931751656</v>
      </c>
      <c r="D10" t="n">
        <v>4916.3421767654</v>
      </c>
      <c r="E10" t="n">
        <v>6307.79945179618</v>
      </c>
      <c r="F10" t="n">
        <v>13056.3730212551</v>
      </c>
      <c r="G10" t="n">
        <v>4839.74639826889</v>
      </c>
      <c r="H10" t="n">
        <v>6044.65207642419</v>
      </c>
      <c r="I10" t="n">
        <v>7971.49497719028</v>
      </c>
      <c r="J10" t="n">
        <v>217.673693894926</v>
      </c>
      <c r="K10" t="n">
        <v>626.185977550494</v>
      </c>
      <c r="L10" t="n">
        <v>774.762531228018</v>
      </c>
      <c r="M10" t="n">
        <v>442.721084249129</v>
      </c>
    </row>
    <row r="11">
      <c r="B11" t="s">
        <v>532</v>
      </c>
      <c r="C11" t="n">
        <v>2380.64715999151</v>
      </c>
      <c r="D11" t="n">
        <v>4920.71496283021</v>
      </c>
      <c r="E11" t="n">
        <v>6295.90102015034</v>
      </c>
      <c r="F11" t="n">
        <v>13084.4332251139</v>
      </c>
      <c r="G11" t="n">
        <v>4901.55921890976</v>
      </c>
      <c r="H11" t="n">
        <v>6096.34488265999</v>
      </c>
      <c r="I11" t="n">
        <v>8006.04327963781</v>
      </c>
      <c r="J11" t="n">
        <v>220.204738857729</v>
      </c>
      <c r="K11" t="n">
        <v>626.037788445038</v>
      </c>
      <c r="L11" t="n">
        <v>772.726362880082</v>
      </c>
      <c r="M11" t="n">
        <v>445.59629262816</v>
      </c>
    </row>
    <row r="12">
      <c r="B12" t="s">
        <v>533</v>
      </c>
      <c r="C12" t="n">
        <v>2397.90127310386</v>
      </c>
      <c r="D12" t="n">
        <v>4919.03091631384</v>
      </c>
      <c r="E12" t="n">
        <v>6277.18448010614</v>
      </c>
      <c r="F12" t="n">
        <v>13095.517668003</v>
      </c>
      <c r="G12" t="n">
        <v>4951.90547105724</v>
      </c>
      <c r="H12" t="n">
        <v>6140.45805886752</v>
      </c>
      <c r="I12" t="n">
        <v>8026.89823831789</v>
      </c>
      <c r="J12" t="n">
        <v>222.340710212456</v>
      </c>
      <c r="K12" t="n">
        <v>625.156434695294</v>
      </c>
      <c r="L12" t="n">
        <v>769.883663410102</v>
      </c>
      <c r="M12" t="n">
        <v>447.79135572812</v>
      </c>
    </row>
    <row r="13">
      <c r="B13" t="s">
        <v>534</v>
      </c>
      <c r="C13" t="n">
        <v>2412.56524145988</v>
      </c>
      <c r="D13" t="n">
        <v>4914.01777071238</v>
      </c>
      <c r="E13" t="n">
        <v>6255.10628946631</v>
      </c>
      <c r="F13" t="n">
        <v>13096.9039014406</v>
      </c>
      <c r="G13" t="n">
        <v>4998.43265469251</v>
      </c>
      <c r="H13" t="n">
        <v>6177.94226120085</v>
      </c>
      <c r="I13" t="n">
        <v>8043.37493947042</v>
      </c>
      <c r="J13" t="n">
        <v>224.207824878462</v>
      </c>
      <c r="K13" t="n">
        <v>623.887700357844</v>
      </c>
      <c r="L13" t="n">
        <v>766.65794570189</v>
      </c>
      <c r="M13" t="n">
        <v>449.557688924593</v>
      </c>
    </row>
    <row r="14">
      <c r="B14" t="s">
        <v>535</v>
      </c>
      <c r="C14" t="n">
        <v>2425.13424523179</v>
      </c>
      <c r="D14" t="n">
        <v>4906.59653418523</v>
      </c>
      <c r="E14" t="n">
        <v>6230.79939036996</v>
      </c>
      <c r="F14" t="n">
        <v>13091.0883460491</v>
      </c>
      <c r="G14" t="n">
        <v>5039.75891584809</v>
      </c>
      <c r="H14" t="n">
        <v>6210.06534865577</v>
      </c>
      <c r="I14" t="n">
        <v>8054.59456259928</v>
      </c>
      <c r="J14" t="n">
        <v>225.85336815756</v>
      </c>
      <c r="K14" t="n">
        <v>622.346929603079</v>
      </c>
      <c r="L14" t="n">
        <v>763.186763853494</v>
      </c>
      <c r="M14" t="n">
        <v>450.985137883498</v>
      </c>
    </row>
    <row r="15">
      <c r="B15" t="s">
        <v>536</v>
      </c>
      <c r="C15" t="n">
        <v>2436.38519003874</v>
      </c>
      <c r="D15" t="n">
        <v>4898.23932791214</v>
      </c>
      <c r="E15" t="n">
        <v>6206.08801955186</v>
      </c>
      <c r="F15" t="n">
        <v>13082.0365878891</v>
      </c>
      <c r="G15" t="n">
        <v>5077.54493549145</v>
      </c>
      <c r="H15" t="n">
        <v>6238.8165614642</v>
      </c>
      <c r="I15" t="n">
        <v>8063.04476785997</v>
      </c>
      <c r="J15" t="n">
        <v>227.3511355171</v>
      </c>
      <c r="K15" t="n">
        <v>620.719024578768</v>
      </c>
      <c r="L15" t="n">
        <v>759.692062105884</v>
      </c>
      <c r="M15" t="n">
        <v>452.215415785231</v>
      </c>
    </row>
  </sheetData>
  <pageMargins left="0.7" right="0.7" top="0.75" bottom="0.75" header="0.3" footer="0.3"/>
  <pageSetup paperSize="9" orientation="portrait" horizontalDpi="300" verticalDpi="300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481</v>
      </c>
      <c r="C2" t="s">
        <v>565</v>
      </c>
      <c r="D2" t="s">
        <v>566</v>
      </c>
      <c r="E2" t="s">
        <v>567</v>
      </c>
      <c r="F2" t="s">
        <v>568</v>
      </c>
      <c r="G2" t="s">
        <v>569</v>
      </c>
      <c r="H2" t="s">
        <v>570</v>
      </c>
      <c r="I2" t="s">
        <v>571</v>
      </c>
      <c r="J2" t="s">
        <v>572</v>
      </c>
      <c r="K2" t="s">
        <v>573</v>
      </c>
      <c r="L2" t="s">
        <v>574</v>
      </c>
      <c r="M2" t="s">
        <v>575</v>
      </c>
    </row>
    <row r="3">
      <c r="B3" t="s">
        <v>486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B4" t="s">
        <v>525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B5" t="s">
        <v>526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B6" t="s">
        <v>527</v>
      </c>
      <c r="C6" t="n">
        <v>1811.55834698644</v>
      </c>
      <c r="D6" t="n">
        <v>4249.99304688504</v>
      </c>
      <c r="E6" t="n">
        <v>5634.29885749544</v>
      </c>
      <c r="F6" t="n">
        <v>11250.5987043347</v>
      </c>
      <c r="G6" t="n">
        <v>4084.27023759202</v>
      </c>
      <c r="H6" t="n">
        <v>5306.8459611924</v>
      </c>
      <c r="I6" t="n">
        <v>7307.88921696107</v>
      </c>
      <c r="J6" t="n">
        <v>540.94378437459</v>
      </c>
      <c r="K6" t="n">
        <v>150.211769156896</v>
      </c>
      <c r="L6" t="n">
        <v>690.937657711987</v>
      </c>
      <c r="M6" t="n">
        <v>379.588181405655</v>
      </c>
    </row>
    <row r="7">
      <c r="B7" t="s">
        <v>528</v>
      </c>
      <c r="C7" t="n">
        <v>1737.2493612073</v>
      </c>
      <c r="D7" t="n">
        <v>4129.55796409991</v>
      </c>
      <c r="E7" t="n">
        <v>5488.93732456747</v>
      </c>
      <c r="F7" t="n">
        <v>10941.2398485034</v>
      </c>
      <c r="G7" t="n">
        <v>4041.75642735325</v>
      </c>
      <c r="H7" t="n">
        <v>5253.32088029104</v>
      </c>
      <c r="I7" t="n">
        <v>7235.57090871204</v>
      </c>
      <c r="J7" t="n">
        <v>525.711434735764</v>
      </c>
      <c r="K7" t="n">
        <v>141.839388542775</v>
      </c>
      <c r="L7" t="n">
        <v>673.399256362306</v>
      </c>
      <c r="M7" t="n">
        <v>375.10500485877</v>
      </c>
    </row>
    <row r="8">
      <c r="B8" t="s">
        <v>529</v>
      </c>
      <c r="C8" t="n">
        <v>1664.50982399111</v>
      </c>
      <c r="D8" t="n">
        <v>4010.34209914484</v>
      </c>
      <c r="E8" t="n">
        <v>5344.9889925496</v>
      </c>
      <c r="F8" t="n">
        <v>10634.1047782903</v>
      </c>
      <c r="G8" t="n">
        <v>3991.90826866418</v>
      </c>
      <c r="H8" t="n">
        <v>5197.10825906271</v>
      </c>
      <c r="I8" t="n">
        <v>7156.06197284451</v>
      </c>
      <c r="J8" t="n">
        <v>510.624215094608</v>
      </c>
      <c r="K8" t="n">
        <v>133.785325400781</v>
      </c>
      <c r="L8" t="n">
        <v>656.006137548025</v>
      </c>
      <c r="M8" t="n">
        <v>367.969197949492</v>
      </c>
    </row>
    <row r="9">
      <c r="B9" t="s">
        <v>530</v>
      </c>
      <c r="C9" t="n">
        <v>1592.26794896567</v>
      </c>
      <c r="D9" t="n">
        <v>3889.5653679522</v>
      </c>
      <c r="E9" t="n">
        <v>5198.65736530439</v>
      </c>
      <c r="F9" t="n">
        <v>10321.8920417945</v>
      </c>
      <c r="G9" t="n">
        <v>3936.8815336982</v>
      </c>
      <c r="H9" t="n">
        <v>5130.10642874307</v>
      </c>
      <c r="I9" t="n">
        <v>7067.00929028175</v>
      </c>
      <c r="J9" t="n">
        <v>495.328627397484</v>
      </c>
      <c r="K9" t="n">
        <v>125.961860770458</v>
      </c>
      <c r="L9" t="n">
        <v>638.294277539057</v>
      </c>
      <c r="M9" t="n">
        <v>360.403802223314</v>
      </c>
    </row>
    <row r="10">
      <c r="B10" t="s">
        <v>531</v>
      </c>
      <c r="C10" t="n">
        <v>1520.92206743517</v>
      </c>
      <c r="D10" t="n">
        <v>3767.96690619969</v>
      </c>
      <c r="E10" t="n">
        <v>5050.83392140333</v>
      </c>
      <c r="F10" t="n">
        <v>10006.6227472098</v>
      </c>
      <c r="G10" t="n">
        <v>3875.32220486264</v>
      </c>
      <c r="H10" t="n">
        <v>5057.89445531604</v>
      </c>
      <c r="I10" t="n">
        <v>6971.80764982809</v>
      </c>
      <c r="J10" t="n">
        <v>479.91941075365</v>
      </c>
      <c r="K10" t="n">
        <v>118.400066982383</v>
      </c>
      <c r="L10" t="n">
        <v>620.374332390115</v>
      </c>
      <c r="M10" t="n">
        <v>354.499328511343</v>
      </c>
    </row>
    <row r="11">
      <c r="B11" t="s">
        <v>532</v>
      </c>
      <c r="C11" t="n">
        <v>1461.51084352295</v>
      </c>
      <c r="D11" t="n">
        <v>3661.47406078322</v>
      </c>
      <c r="E11" t="n">
        <v>4918.34781436482</v>
      </c>
      <c r="F11" t="n">
        <v>9736.04714267977</v>
      </c>
      <c r="G11" t="n">
        <v>3829.09022777631</v>
      </c>
      <c r="H11" t="n">
        <v>5001.12615994272</v>
      </c>
      <c r="I11" t="n">
        <v>6898.54514981351</v>
      </c>
      <c r="J11" t="n">
        <v>465.830908877356</v>
      </c>
      <c r="K11" t="n">
        <v>111.940923123037</v>
      </c>
      <c r="L11" t="n">
        <v>603.652599653254</v>
      </c>
      <c r="M11" t="n">
        <v>348.099111616028</v>
      </c>
    </row>
    <row r="12">
      <c r="B12" t="s">
        <v>533</v>
      </c>
      <c r="C12" t="n">
        <v>1402.00321165783</v>
      </c>
      <c r="D12" t="n">
        <v>3553.61259419222</v>
      </c>
      <c r="E12" t="n">
        <v>4784.12339824045</v>
      </c>
      <c r="F12" t="n">
        <v>9460.48059144035</v>
      </c>
      <c r="G12" t="n">
        <v>3774.06891657249</v>
      </c>
      <c r="H12" t="n">
        <v>4938.54345984967</v>
      </c>
      <c r="I12" t="n">
        <v>6814.30067421385</v>
      </c>
      <c r="J12" t="n">
        <v>451.626309626505</v>
      </c>
      <c r="K12" t="n">
        <v>105.632469765638</v>
      </c>
      <c r="L12" t="n">
        <v>586.762816947044</v>
      </c>
      <c r="M12" t="n">
        <v>341.281845269662</v>
      </c>
    </row>
    <row r="13">
      <c r="B13" t="s">
        <v>534</v>
      </c>
      <c r="C13" t="n">
        <v>1343.40660023944</v>
      </c>
      <c r="D13" t="n">
        <v>3446.59319528839</v>
      </c>
      <c r="E13" t="n">
        <v>4651.0210931166</v>
      </c>
      <c r="F13" t="n">
        <v>9185.9048892913</v>
      </c>
      <c r="G13" t="n">
        <v>3716.61401639926</v>
      </c>
      <c r="H13" t="n">
        <v>4871.26531209438</v>
      </c>
      <c r="I13" t="n">
        <v>6727.3776289617</v>
      </c>
      <c r="J13" t="n">
        <v>437.582280530854</v>
      </c>
      <c r="K13" t="n">
        <v>99.5509556013896</v>
      </c>
      <c r="L13" t="n">
        <v>570.053027343387</v>
      </c>
      <c r="M13" t="n">
        <v>334.271265267249</v>
      </c>
    </row>
    <row r="14">
      <c r="B14" t="s">
        <v>535</v>
      </c>
      <c r="C14" t="n">
        <v>1286.10046842748</v>
      </c>
      <c r="D14" t="n">
        <v>3341.15348475931</v>
      </c>
      <c r="E14" t="n">
        <v>4519.94883438664</v>
      </c>
      <c r="F14" t="n">
        <v>8914.3941512112</v>
      </c>
      <c r="G14" t="n">
        <v>3655.94380593992</v>
      </c>
      <c r="H14" t="n">
        <v>4800.58249738352</v>
      </c>
      <c r="I14" t="n">
        <v>6637.20352770944</v>
      </c>
      <c r="J14" t="n">
        <v>423.787975653856</v>
      </c>
      <c r="K14" t="n">
        <v>93.7211182212684</v>
      </c>
      <c r="L14" t="n">
        <v>553.631228928731</v>
      </c>
      <c r="M14" t="n">
        <v>327.1538081378</v>
      </c>
    </row>
    <row r="15">
      <c r="B15" t="s">
        <v>536</v>
      </c>
      <c r="C15" t="n">
        <v>1230.54008064146</v>
      </c>
      <c r="D15" t="n">
        <v>3238.31323684374</v>
      </c>
      <c r="E15" t="n">
        <v>4392.21727071693</v>
      </c>
      <c r="F15" t="n">
        <v>8648.76732462413</v>
      </c>
      <c r="G15" t="n">
        <v>3593.51663854056</v>
      </c>
      <c r="H15" t="n">
        <v>4728.24325492151</v>
      </c>
      <c r="I15" t="n">
        <v>6545.97706910389</v>
      </c>
      <c r="J15" t="n">
        <v>410.368399559388</v>
      </c>
      <c r="K15" t="n">
        <v>88.1706901183974</v>
      </c>
      <c r="L15" t="n">
        <v>537.654732755299</v>
      </c>
      <c r="M15" t="n">
        <v>320.045148093106</v>
      </c>
    </row>
    <row r="16">
      <c r="B16" t="s">
        <v>550</v>
      </c>
      <c r="C16" t="n">
        <v>15050.0687530749</v>
      </c>
      <c r="D16" t="n">
        <v>37288.5719561486</v>
      </c>
      <c r="E16" t="n">
        <v>49983.3748721457</v>
      </c>
      <c r="F16" t="n">
        <v>99100.0522193795</v>
      </c>
      <c r="G16" t="n">
        <v>38499.3722773988</v>
      </c>
      <c r="H16" t="n">
        <v>50285.0366687971</v>
      </c>
      <c r="I16" t="n">
        <v>69361.7430884299</v>
      </c>
      <c r="J16" t="n">
        <v>4741.72334660406</v>
      </c>
      <c r="K16" t="n">
        <v>1169.21456768302</v>
      </c>
      <c r="L16" t="n">
        <v>6130.7660671792</v>
      </c>
      <c r="M16" t="n">
        <v>3508.41669333242</v>
      </c>
    </row>
    <row r="17">
      <c r="B17" t="s">
        <v>551</v>
      </c>
      <c r="C17" t="n">
        <v>1602.16658493549</v>
      </c>
      <c r="D17" t="n">
        <v>3506.22741578208</v>
      </c>
      <c r="E17" t="n">
        <v>4550.89985201833</v>
      </c>
      <c r="F17" t="n">
        <v>9318.33271613744</v>
      </c>
      <c r="G17" t="n">
        <v>3505.3012736371</v>
      </c>
      <c r="H17" t="n">
        <v>4431.03459529022</v>
      </c>
      <c r="I17" t="n">
        <v>5912.41977316336</v>
      </c>
      <c r="J17" t="n">
        <v>445.862083843511</v>
      </c>
      <c r="K17" t="n">
        <v>139.897514676541</v>
      </c>
      <c r="L17" t="n">
        <v>558.195649238423</v>
      </c>
      <c r="M17" t="n">
        <v>309.155899502331</v>
      </c>
    </row>
  </sheetData>
  <pageMargins left="0.7" right="0.7" top="0.75" bottom="0.75" header="0.3" footer="0.3"/>
  <pageSetup paperSize="9" orientation="portrait" horizontalDpi="300" verticalDpi="300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t="s">
        <v>0</v>
      </c>
      <c r="C2" t="s">
        <v>62</v>
      </c>
      <c r="D2" t="s">
        <v>61</v>
      </c>
      <c r="E2" t="s">
        <v>60</v>
      </c>
      <c r="F2" t="s">
        <v>59</v>
      </c>
      <c r="G2" t="s">
        <v>58</v>
      </c>
      <c r="H2" t="s">
        <v>57</v>
      </c>
      <c r="I2" t="s">
        <v>56</v>
      </c>
      <c r="J2" t="s">
        <v>55</v>
      </c>
      <c r="K2" t="s">
        <v>54</v>
      </c>
      <c r="L2" t="s">
        <v>53</v>
      </c>
      <c r="M2" t="s">
        <v>52</v>
      </c>
      <c r="N2" t="s">
        <v>51</v>
      </c>
    </row>
    <row r="3">
      <c r="B3" t="n">
        <v>2020</v>
      </c>
      <c r="C3" t="n">
        <v>14.476000000000001</v>
      </c>
      <c r="D3" t="n">
        <v>51.082000000000001</v>
      </c>
      <c r="E3" t="n">
        <v>76.421000000000006</v>
      </c>
      <c r="F3" t="n">
        <v>151.608</v>
      </c>
      <c r="G3" t="n">
        <v>665.68799999999999</v>
      </c>
      <c r="H3" t="n">
        <v>1485.078</v>
      </c>
      <c r="I3" t="n">
        <v>1953.2090000000001</v>
      </c>
      <c r="J3" t="n">
        <v>3906.3710000000001</v>
      </c>
      <c r="K3" t="n">
        <v>5779.4260000000004</v>
      </c>
      <c r="L3" t="n">
        <v>18405.297999999999</v>
      </c>
      <c r="M3" t="n">
        <v>27130.806</v>
      </c>
      <c r="N3" t="n">
        <v>48255.974000000002</v>
      </c>
    </row>
    <row r="4">
      <c r="B4" t="n">
        <v>2021</v>
      </c>
      <c r="C4" t="n">
        <v>14.964</v>
      </c>
      <c r="D4" t="n">
        <v>52.15</v>
      </c>
      <c r="E4" t="n">
        <v>77.727000000000004</v>
      </c>
      <c r="F4" t="n">
        <v>155.119</v>
      </c>
      <c r="G4" t="n">
        <v>692.91700000000003</v>
      </c>
      <c r="H4" t="n">
        <v>1532.0150000000001</v>
      </c>
      <c r="I4" t="n">
        <v>2008.6489999999999</v>
      </c>
      <c r="J4" t="n">
        <v>4034.779</v>
      </c>
      <c r="K4" t="n">
        <v>5981.4</v>
      </c>
      <c r="L4" t="n">
        <v>18842.379000000001</v>
      </c>
      <c r="M4" t="n">
        <v>27687.531999999999</v>
      </c>
      <c r="N4" t="n">
        <v>49463.690999999999</v>
      </c>
    </row>
    <row r="5">
      <c r="B5" t="n">
        <v>2022</v>
      </c>
      <c r="C5" t="n">
        <v>15.452999999999999</v>
      </c>
      <c r="D5" t="n">
        <v>53.219000000000001</v>
      </c>
      <c r="E5" t="n">
        <v>79.033000000000001</v>
      </c>
      <c r="F5" t="n">
        <v>158.62899999999999</v>
      </c>
      <c r="G5" t="n">
        <v>720.14700000000005</v>
      </c>
      <c r="H5" t="n">
        <v>1578.952</v>
      </c>
      <c r="I5" t="n">
        <v>2064.09</v>
      </c>
      <c r="J5" t="n">
        <v>4163.1869999999999</v>
      </c>
      <c r="K5" t="n">
        <v>6183.3729999999996</v>
      </c>
      <c r="L5" t="n">
        <v>19279.46</v>
      </c>
      <c r="M5" t="n">
        <v>28244.258999999998</v>
      </c>
      <c r="N5" t="n">
        <v>50671.409</v>
      </c>
    </row>
    <row r="6">
      <c r="B6" t="n">
        <v>2023</v>
      </c>
      <c r="C6" t="n">
        <v>15.942</v>
      </c>
      <c r="D6" t="n">
        <v>54.286999999999999</v>
      </c>
      <c r="E6" t="n">
        <v>80.338999999999999</v>
      </c>
      <c r="F6" t="n">
        <v>162.13900000000001</v>
      </c>
      <c r="G6" t="n">
        <v>747.37599999999998</v>
      </c>
      <c r="H6" t="n">
        <v>1625.89</v>
      </c>
      <c r="I6" t="n">
        <v>2119.5300000000002</v>
      </c>
      <c r="J6" t="n">
        <v>4291.5950000000003</v>
      </c>
      <c r="K6" t="n">
        <v>6385.3469999999998</v>
      </c>
      <c r="L6" t="n">
        <v>19716.542000000001</v>
      </c>
      <c r="M6" t="n">
        <v>28800.985000000001</v>
      </c>
      <c r="N6" t="n">
        <v>51879.127</v>
      </c>
    </row>
    <row r="7">
      <c r="B7" t="n">
        <v>2024</v>
      </c>
      <c r="C7" t="n">
        <v>16.431000000000001</v>
      </c>
      <c r="D7" t="n">
        <v>55.354999999999997</v>
      </c>
      <c r="E7" t="n">
        <v>81.644999999999996</v>
      </c>
      <c r="F7" t="n">
        <v>165.65</v>
      </c>
      <c r="G7" t="n">
        <v>774.60500000000002</v>
      </c>
      <c r="H7" t="n">
        <v>1672.827</v>
      </c>
      <c r="I7" t="n">
        <v>2174.9699999999998</v>
      </c>
      <c r="J7" t="n">
        <v>4420.0029999999997</v>
      </c>
      <c r="K7" t="n">
        <v>6587.3209999999999</v>
      </c>
      <c r="L7" t="n">
        <v>20153.623</v>
      </c>
      <c r="M7" t="n">
        <v>29357.712</v>
      </c>
      <c r="N7" t="n">
        <v>53086.843999999997</v>
      </c>
    </row>
    <row r="8">
      <c r="B8" t="n">
        <v>2025</v>
      </c>
      <c r="C8" t="n">
        <v>16.919</v>
      </c>
      <c r="D8" t="n">
        <v>56.423000000000002</v>
      </c>
      <c r="E8" t="n">
        <v>82.950999999999993</v>
      </c>
      <c r="F8" t="n">
        <v>169.16</v>
      </c>
      <c r="G8" t="n">
        <v>801.83399999999995</v>
      </c>
      <c r="H8" t="n">
        <v>1719.7639999999999</v>
      </c>
      <c r="I8" t="n">
        <v>2230.41</v>
      </c>
      <c r="J8" t="n">
        <v>4548.41</v>
      </c>
      <c r="K8" t="n">
        <v>6789.2939999999999</v>
      </c>
      <c r="L8" t="n">
        <v>20590.704000000002</v>
      </c>
      <c r="M8" t="n">
        <v>29914.438999999998</v>
      </c>
      <c r="N8" t="n">
        <v>54294.561999999998</v>
      </c>
    </row>
    <row r="9">
      <c r="B9" t="n">
        <v>2026</v>
      </c>
      <c r="C9" t="n">
        <v>17.408000000000001</v>
      </c>
      <c r="D9" t="n">
        <v>57.491</v>
      </c>
      <c r="E9" t="n">
        <v>84.257000000000005</v>
      </c>
      <c r="F9" t="n">
        <v>172.67</v>
      </c>
      <c r="G9" t="n">
        <v>829.06299999999999</v>
      </c>
      <c r="H9" t="n">
        <v>1766.701</v>
      </c>
      <c r="I9" t="n">
        <v>2285.8510000000001</v>
      </c>
      <c r="J9" t="n">
        <v>4676.8180000000002</v>
      </c>
      <c r="K9" t="n">
        <v>6991.268</v>
      </c>
      <c r="L9" t="n">
        <v>21027.785</v>
      </c>
      <c r="M9" t="n">
        <v>30471.165000000001</v>
      </c>
      <c r="N9" t="n">
        <v>55502.279000000002</v>
      </c>
    </row>
    <row r="10">
      <c r="B10" t="n">
        <v>2027</v>
      </c>
      <c r="C10" t="n">
        <v>17.896999999999998</v>
      </c>
      <c r="D10" t="n">
        <v>58.56</v>
      </c>
      <c r="E10" t="n">
        <v>85.563000000000002</v>
      </c>
      <c r="F10" t="n">
        <v>176.18100000000001</v>
      </c>
      <c r="G10" t="n">
        <v>856.29200000000003</v>
      </c>
      <c r="H10" t="n">
        <v>1813.6389999999999</v>
      </c>
      <c r="I10" t="n">
        <v>2341.2910000000002</v>
      </c>
      <c r="J10" t="n">
        <v>4805.2259999999997</v>
      </c>
      <c r="K10" t="n">
        <v>7193.2420000000002</v>
      </c>
      <c r="L10" t="n">
        <v>21464.866999999998</v>
      </c>
      <c r="M10" t="n">
        <v>31027.892</v>
      </c>
      <c r="N10" t="n">
        <v>56709.997000000003</v>
      </c>
    </row>
    <row r="11">
      <c r="B11" t="n">
        <v>2028</v>
      </c>
      <c r="C11" t="n">
        <v>18.385999999999999</v>
      </c>
      <c r="D11" t="n">
        <v>59.628</v>
      </c>
      <c r="E11" t="n">
        <v>86.869</v>
      </c>
      <c r="F11" t="n">
        <v>179.691</v>
      </c>
      <c r="G11" t="n">
        <v>883.52099999999996</v>
      </c>
      <c r="H11" t="n">
        <v>1860.576</v>
      </c>
      <c r="I11" t="n">
        <v>2396.7310000000002</v>
      </c>
      <c r="J11" t="n">
        <v>4933.634</v>
      </c>
      <c r="K11" t="n">
        <v>7395.2150000000001</v>
      </c>
      <c r="L11" t="n">
        <v>21901.948</v>
      </c>
      <c r="M11" t="n">
        <v>31584.617999999999</v>
      </c>
      <c r="N11" t="n">
        <v>57917.714999999997</v>
      </c>
    </row>
    <row r="12">
      <c r="B12" t="n">
        <v>2029</v>
      </c>
      <c r="C12" t="n">
        <v>18.873999999999999</v>
      </c>
      <c r="D12" t="n">
        <v>60.695999999999998</v>
      </c>
      <c r="E12" t="n">
        <v>88.174999999999997</v>
      </c>
      <c r="F12" t="n">
        <v>183.20099999999999</v>
      </c>
      <c r="G12" t="n">
        <v>910.75</v>
      </c>
      <c r="H12" t="n">
        <v>1907.5129999999999</v>
      </c>
      <c r="I12" t="n">
        <v>2452.1709999999998</v>
      </c>
      <c r="J12" t="n">
        <v>5062.0420000000004</v>
      </c>
      <c r="K12" t="n">
        <v>7597.1890000000003</v>
      </c>
      <c r="L12" t="n">
        <v>22339.028999999999</v>
      </c>
      <c r="M12" t="n">
        <v>32141.345000000001</v>
      </c>
      <c r="N12" t="n">
        <v>59125.432000000001</v>
      </c>
    </row>
    <row r="13">
      <c r="B13" t="n">
        <v>2030</v>
      </c>
      <c r="C13" t="n">
        <v>19.363</v>
      </c>
      <c r="D13" t="n">
        <v>61.764000000000003</v>
      </c>
      <c r="E13" t="n">
        <v>89.480999999999995</v>
      </c>
      <c r="F13" t="n">
        <v>186.71199999999999</v>
      </c>
      <c r="G13" t="n">
        <v>937.97900000000004</v>
      </c>
      <c r="H13" t="n">
        <v>1954.45</v>
      </c>
      <c r="I13" t="n">
        <v>2507.6120000000001</v>
      </c>
      <c r="J13" t="n">
        <v>5190.45</v>
      </c>
      <c r="K13" t="n">
        <v>7799.1629999999996</v>
      </c>
      <c r="L13" t="n">
        <v>22776.11</v>
      </c>
      <c r="M13" t="n">
        <v>32698.071</v>
      </c>
      <c r="N13" t="n">
        <v>60333.15</v>
      </c>
    </row>
    <row r="14">
      <c r="B14" t="n">
        <v>2031</v>
      </c>
      <c r="C14" t="n">
        <v>19.946999999999999</v>
      </c>
      <c r="D14" t="n">
        <v>62.908000000000001</v>
      </c>
      <c r="E14" t="n">
        <v>90.843999999999994</v>
      </c>
      <c r="F14" t="n">
        <v>190.535</v>
      </c>
      <c r="G14" t="n">
        <v>972.35500000000002</v>
      </c>
      <c r="H14" t="n">
        <v>2009.8240000000001</v>
      </c>
      <c r="I14" t="n">
        <v>2571.5070000000001</v>
      </c>
      <c r="J14" t="n">
        <v>5344.2250000000004</v>
      </c>
      <c r="K14" t="n">
        <v>8046.8789999999999</v>
      </c>
      <c r="L14" t="n">
        <v>23268.02</v>
      </c>
      <c r="M14" t="n">
        <v>33309.463000000003</v>
      </c>
      <c r="N14" t="n">
        <v>61692.264999999999</v>
      </c>
    </row>
    <row r="15">
      <c r="B15" t="n">
        <v>2032</v>
      </c>
      <c r="C15" t="n">
        <v>20.53</v>
      </c>
      <c r="D15" t="n">
        <v>64.052000000000007</v>
      </c>
      <c r="E15" t="n">
        <v>92.206999999999994</v>
      </c>
      <c r="F15" t="n">
        <v>194.35900000000001</v>
      </c>
      <c r="G15" t="n">
        <v>1006.731</v>
      </c>
      <c r="H15" t="n">
        <v>2065.1979999999999</v>
      </c>
      <c r="I15" t="n">
        <v>2635.4029999999998</v>
      </c>
      <c r="J15" t="n">
        <v>5498.0010000000002</v>
      </c>
      <c r="K15" t="n">
        <v>8294.5949999999993</v>
      </c>
      <c r="L15" t="n">
        <v>23759.929</v>
      </c>
      <c r="M15" t="n">
        <v>33920.853999999999</v>
      </c>
      <c r="N15" t="n">
        <v>63051.381000000001</v>
      </c>
    </row>
    <row r="16">
      <c r="B16" t="n">
        <v>2033</v>
      </c>
      <c r="C16" t="n">
        <v>21.114000000000001</v>
      </c>
      <c r="D16" t="n">
        <v>65.195999999999998</v>
      </c>
      <c r="E16" t="n">
        <v>93.57</v>
      </c>
      <c r="F16" t="n">
        <v>198.18299999999999</v>
      </c>
      <c r="G16" t="n">
        <v>1041.107</v>
      </c>
      <c r="H16" t="n">
        <v>2120.5720000000001</v>
      </c>
      <c r="I16" t="n">
        <v>2699.299</v>
      </c>
      <c r="J16" t="n">
        <v>5651.7759999999998</v>
      </c>
      <c r="K16" t="n">
        <v>8542.3109999999997</v>
      </c>
      <c r="L16" t="n">
        <v>24251.838</v>
      </c>
      <c r="M16" t="n">
        <v>34532.245000000003</v>
      </c>
      <c r="N16" t="n">
        <v>64410.495999999999</v>
      </c>
    </row>
    <row r="17">
      <c r="B17" t="n">
        <v>2034</v>
      </c>
      <c r="C17" t="n">
        <v>21.696999999999999</v>
      </c>
      <c r="D17" t="n">
        <v>66.34</v>
      </c>
      <c r="E17" t="n">
        <v>94.933999999999997</v>
      </c>
      <c r="F17" t="n">
        <v>202.006</v>
      </c>
      <c r="G17" t="n">
        <v>1075.4829999999999</v>
      </c>
      <c r="H17" t="n">
        <v>2175.9459999999999</v>
      </c>
      <c r="I17" t="n">
        <v>2763.1950000000002</v>
      </c>
      <c r="J17" t="n">
        <v>5805.5519999999997</v>
      </c>
      <c r="K17" t="n">
        <v>8790.027</v>
      </c>
      <c r="L17" t="n">
        <v>24743.748</v>
      </c>
      <c r="M17" t="n">
        <v>35143.635999999999</v>
      </c>
      <c r="N17" t="n">
        <v>65769.611000000004</v>
      </c>
    </row>
    <row r="18">
      <c r="B18" t="n">
        <v>2035</v>
      </c>
      <c r="C18" t="n">
        <v>22.280999999999999</v>
      </c>
      <c r="D18" t="n">
        <v>67.483999999999995</v>
      </c>
      <c r="E18" t="n">
        <v>96.296999999999997</v>
      </c>
      <c r="F18" t="n">
        <v>205.83</v>
      </c>
      <c r="G18" t="n">
        <v>1109.8589999999999</v>
      </c>
      <c r="H18" t="n">
        <v>2231.3200000000002</v>
      </c>
      <c r="I18" t="n">
        <v>2827.0909999999999</v>
      </c>
      <c r="J18" t="n">
        <v>5959.3270000000002</v>
      </c>
      <c r="K18" t="n">
        <v>9037.7430000000004</v>
      </c>
      <c r="L18" t="n">
        <v>25235.656999999999</v>
      </c>
      <c r="M18" t="n">
        <v>35755.027999999998</v>
      </c>
      <c r="N18" t="n">
        <v>67128.726999999999</v>
      </c>
    </row>
    <row r="19">
      <c r="B19" t="n">
        <v>2036</v>
      </c>
      <c r="C19" t="n">
        <v>22.864000000000001</v>
      </c>
      <c r="D19" t="n">
        <v>68.628</v>
      </c>
      <c r="E19" t="n">
        <v>97.66</v>
      </c>
      <c r="F19" t="n">
        <v>209.654</v>
      </c>
      <c r="G19" t="n">
        <v>1144.2349999999999</v>
      </c>
      <c r="H19" t="n">
        <v>2286.694</v>
      </c>
      <c r="I19" t="n">
        <v>2890.9859999999999</v>
      </c>
      <c r="J19" t="n">
        <v>6113.1030000000001</v>
      </c>
      <c r="K19" t="n">
        <v>9285.4590000000007</v>
      </c>
      <c r="L19" t="n">
        <v>25727.566999999999</v>
      </c>
      <c r="M19" t="n">
        <v>36366.419000000002</v>
      </c>
      <c r="N19" t="n">
        <v>68487.842000000004</v>
      </c>
    </row>
    <row r="20">
      <c r="B20" t="n">
        <v>2037</v>
      </c>
      <c r="C20" t="n">
        <v>23.448</v>
      </c>
      <c r="D20" t="n">
        <v>69.772000000000006</v>
      </c>
      <c r="E20" t="n">
        <v>99.022999999999996</v>
      </c>
      <c r="F20" t="n">
        <v>213.477</v>
      </c>
      <c r="G20" t="n">
        <v>1178.6110000000001</v>
      </c>
      <c r="H20" t="n">
        <v>2342.0680000000002</v>
      </c>
      <c r="I20" t="n">
        <v>2954.8820000000001</v>
      </c>
      <c r="J20" t="n">
        <v>6266.8779999999997</v>
      </c>
      <c r="K20" t="n">
        <v>9533.1749999999993</v>
      </c>
      <c r="L20" t="n">
        <v>26219.475999999999</v>
      </c>
      <c r="M20" t="n">
        <v>36977.81</v>
      </c>
      <c r="N20" t="n">
        <v>69846.957999999999</v>
      </c>
    </row>
    <row r="21">
      <c r="B21" t="n">
        <v>2038</v>
      </c>
      <c r="C21" t="n">
        <v>24.030999999999999</v>
      </c>
      <c r="D21" t="n">
        <v>70.915999999999997</v>
      </c>
      <c r="E21" t="n">
        <v>100.387</v>
      </c>
      <c r="F21" t="n">
        <v>217.30099999999999</v>
      </c>
      <c r="G21" t="n">
        <v>1212.9870000000001</v>
      </c>
      <c r="H21" t="n">
        <v>2397.4409999999998</v>
      </c>
      <c r="I21" t="n">
        <v>3018.7779999999998</v>
      </c>
      <c r="J21" t="n">
        <v>6420.6530000000002</v>
      </c>
      <c r="K21" t="n">
        <v>9780.8909999999996</v>
      </c>
      <c r="L21" t="n">
        <v>26711.384999999998</v>
      </c>
      <c r="M21" t="n">
        <v>37589.201999999997</v>
      </c>
      <c r="N21" t="n">
        <v>71206.073000000004</v>
      </c>
    </row>
    <row r="22">
      <c r="B22" t="n">
        <v>2039</v>
      </c>
      <c r="C22" t="n">
        <v>24.614999999999998</v>
      </c>
      <c r="D22" t="n">
        <v>72.06</v>
      </c>
      <c r="E22" t="n">
        <v>101.75</v>
      </c>
      <c r="F22" t="n">
        <v>221.124</v>
      </c>
      <c r="G22" t="n">
        <v>1247.3630000000001</v>
      </c>
      <c r="H22" t="n">
        <v>2452.8150000000001</v>
      </c>
      <c r="I22" t="n">
        <v>3082.674</v>
      </c>
      <c r="J22" t="n">
        <v>6574.4290000000001</v>
      </c>
      <c r="K22" t="n">
        <v>10028.607</v>
      </c>
      <c r="L22" t="n">
        <v>27203.294999999998</v>
      </c>
      <c r="M22" t="n">
        <v>38200.593000000001</v>
      </c>
      <c r="N22" t="n">
        <v>72565.187999999995</v>
      </c>
    </row>
    <row r="23">
      <c r="B23" t="n">
        <v>2040</v>
      </c>
      <c r="C23" t="n">
        <v>25.199000000000002</v>
      </c>
      <c r="D23" t="n">
        <v>73.203999999999994</v>
      </c>
      <c r="E23" t="n">
        <v>103.113</v>
      </c>
      <c r="F23" t="n">
        <v>224.94800000000001</v>
      </c>
      <c r="G23" t="n">
        <v>1281.739</v>
      </c>
      <c r="H23" t="n">
        <v>2508.1889999999999</v>
      </c>
      <c r="I23" t="n">
        <v>3146.569</v>
      </c>
      <c r="J23" t="n">
        <v>6728.2039999999997</v>
      </c>
      <c r="K23" t="n">
        <v>10276.323</v>
      </c>
      <c r="L23" t="n">
        <v>27695.204000000002</v>
      </c>
      <c r="M23" t="n">
        <v>38811.983999999997</v>
      </c>
      <c r="N23" t="n">
        <v>73924.304000000004</v>
      </c>
    </row>
    <row r="24">
      <c r="B24" t="n">
        <v>2041</v>
      </c>
      <c r="C24" t="n">
        <v>25.844999999999999</v>
      </c>
      <c r="D24" t="n">
        <v>74.349999999999994</v>
      </c>
      <c r="E24" t="n">
        <v>104.449</v>
      </c>
      <c r="F24" t="n">
        <v>228.44800000000001</v>
      </c>
      <c r="G24" t="n">
        <v>1319.241</v>
      </c>
      <c r="H24" t="n">
        <v>2564.1019999999999</v>
      </c>
      <c r="I24" t="n">
        <v>3209.556</v>
      </c>
      <c r="J24" t="n">
        <v>6872.9089999999997</v>
      </c>
      <c r="K24" t="n">
        <v>10566.545</v>
      </c>
      <c r="L24" t="n">
        <v>28224.594000000001</v>
      </c>
      <c r="M24" t="n">
        <v>39456.17</v>
      </c>
      <c r="N24" t="n">
        <v>75348.506999999998</v>
      </c>
    </row>
    <row r="25">
      <c r="B25" t="n">
        <v>2042</v>
      </c>
      <c r="C25" t="n">
        <v>26.491</v>
      </c>
      <c r="D25" t="n">
        <v>75.495999999999995</v>
      </c>
      <c r="E25" t="n">
        <v>105.785</v>
      </c>
      <c r="F25" t="n">
        <v>231.947</v>
      </c>
      <c r="G25" t="n">
        <v>1356.7429999999999</v>
      </c>
      <c r="H25" t="n">
        <v>2620.0140000000001</v>
      </c>
      <c r="I25" t="n">
        <v>3272.5419999999999</v>
      </c>
      <c r="J25" t="n">
        <v>7017.6139999999996</v>
      </c>
      <c r="K25" t="n">
        <v>10856.768</v>
      </c>
      <c r="L25" t="n">
        <v>28753.983</v>
      </c>
      <c r="M25" t="n">
        <v>40100.356</v>
      </c>
      <c r="N25" t="n">
        <v>76772.710000000006</v>
      </c>
    </row>
    <row r="26">
      <c r="B26" t="n">
        <v>2043</v>
      </c>
      <c r="C26" t="n">
        <v>27.137</v>
      </c>
      <c r="D26" t="n">
        <v>76.641999999999996</v>
      </c>
      <c r="E26" t="n">
        <v>107.12</v>
      </c>
      <c r="F26" t="n">
        <v>235.447</v>
      </c>
      <c r="G26" t="n">
        <v>1394.2439999999999</v>
      </c>
      <c r="H26" t="n">
        <v>2675.9270000000001</v>
      </c>
      <c r="I26" t="n">
        <v>3335.5279999999998</v>
      </c>
      <c r="J26" t="n">
        <v>7162.3190000000004</v>
      </c>
      <c r="K26" t="n">
        <v>11146.991</v>
      </c>
      <c r="L26" t="n">
        <v>29283.373</v>
      </c>
      <c r="M26" t="n">
        <v>40744.542000000001</v>
      </c>
      <c r="N26" t="n">
        <v>78196.914000000004</v>
      </c>
    </row>
    <row r="27">
      <c r="B27" t="n">
        <v>2044</v>
      </c>
      <c r="C27" t="n">
        <v>27.783000000000001</v>
      </c>
      <c r="D27" t="n">
        <v>77.787999999999997</v>
      </c>
      <c r="E27" t="n">
        <v>108.456</v>
      </c>
      <c r="F27" t="n">
        <v>238.947</v>
      </c>
      <c r="G27" t="n">
        <v>1431.7460000000001</v>
      </c>
      <c r="H27" t="n">
        <v>2731.8389999999999</v>
      </c>
      <c r="I27" t="n">
        <v>3398.5149999999999</v>
      </c>
      <c r="J27" t="n">
        <v>7307.0230000000001</v>
      </c>
      <c r="K27" t="n">
        <v>11437.213</v>
      </c>
      <c r="L27" t="n">
        <v>29812.762999999999</v>
      </c>
      <c r="M27" t="n">
        <v>41388.726999999999</v>
      </c>
      <c r="N27" t="n">
        <v>79621.116999999998</v>
      </c>
    </row>
    <row r="28">
      <c r="B28" t="n">
        <v>2045</v>
      </c>
      <c r="C28" t="n">
        <v>28.428999999999998</v>
      </c>
      <c r="D28" t="n">
        <v>78.933000000000007</v>
      </c>
      <c r="E28" t="n">
        <v>109.792</v>
      </c>
      <c r="F28" t="n">
        <v>242.447</v>
      </c>
      <c r="G28" t="n">
        <v>1469.2470000000001</v>
      </c>
      <c r="H28" t="n">
        <v>2787.7510000000002</v>
      </c>
      <c r="I28" t="n">
        <v>3461.5010000000002</v>
      </c>
      <c r="J28" t="n">
        <v>7451.7280000000001</v>
      </c>
      <c r="K28" t="n">
        <v>11727.436</v>
      </c>
      <c r="L28" t="n">
        <v>30342.151999999998</v>
      </c>
      <c r="M28" t="n">
        <v>42032.913</v>
      </c>
      <c r="N28" t="n">
        <v>81045.320000000007</v>
      </c>
    </row>
    <row r="29">
      <c r="B29" t="n">
        <v>2046</v>
      </c>
      <c r="C29" t="n">
        <v>29.076000000000001</v>
      </c>
      <c r="D29" t="n">
        <v>80.078999999999994</v>
      </c>
      <c r="E29" t="n">
        <v>111.128</v>
      </c>
      <c r="F29" t="n">
        <v>245.946</v>
      </c>
      <c r="G29" t="n">
        <v>1506.749</v>
      </c>
      <c r="H29" t="n">
        <v>2843.6640000000002</v>
      </c>
      <c r="I29" t="n">
        <v>3524.4870000000001</v>
      </c>
      <c r="J29" t="n">
        <v>7596.433</v>
      </c>
      <c r="K29" t="n">
        <v>12017.659</v>
      </c>
      <c r="L29" t="n">
        <v>30871.542000000001</v>
      </c>
      <c r="M29" t="n">
        <v>42677.099000000002</v>
      </c>
      <c r="N29" t="n">
        <v>82469.524000000005</v>
      </c>
    </row>
    <row r="30">
      <c r="B30" t="n">
        <v>2047</v>
      </c>
      <c r="C30" t="n">
        <v>29.722000000000001</v>
      </c>
      <c r="D30" t="n">
        <v>81.224999999999994</v>
      </c>
      <c r="E30" t="n">
        <v>112.464</v>
      </c>
      <c r="F30" t="n">
        <v>249.446</v>
      </c>
      <c r="G30" t="n">
        <v>1544.25</v>
      </c>
      <c r="H30" t="n">
        <v>2899.576</v>
      </c>
      <c r="I30" t="n">
        <v>3587.4740000000002</v>
      </c>
      <c r="J30" t="n">
        <v>7741.1379999999999</v>
      </c>
      <c r="K30" t="n">
        <v>12307.880999999999</v>
      </c>
      <c r="L30" t="n">
        <v>31400.932000000001</v>
      </c>
      <c r="M30" t="n">
        <v>43321.285000000003</v>
      </c>
      <c r="N30" t="n">
        <v>83893.726999999999</v>
      </c>
    </row>
    <row r="31">
      <c r="B31" t="n">
        <v>2048</v>
      </c>
      <c r="C31" t="n">
        <v>30.367999999999999</v>
      </c>
      <c r="D31" t="n">
        <v>82.370999999999995</v>
      </c>
      <c r="E31" t="n">
        <v>113.79900000000001</v>
      </c>
      <c r="F31" t="n">
        <v>252.946</v>
      </c>
      <c r="G31" t="n">
        <v>1581.752</v>
      </c>
      <c r="H31" t="n">
        <v>2955.489</v>
      </c>
      <c r="I31" t="n">
        <v>3650.46</v>
      </c>
      <c r="J31" t="n">
        <v>7885.8419999999996</v>
      </c>
      <c r="K31" t="n">
        <v>12598.103999999999</v>
      </c>
      <c r="L31" t="n">
        <v>31930.321</v>
      </c>
      <c r="M31" t="n">
        <v>43965.470999999998</v>
      </c>
      <c r="N31" t="n">
        <v>85317.93</v>
      </c>
    </row>
    <row r="32">
      <c r="B32" t="n">
        <v>2049</v>
      </c>
      <c r="C32" t="n">
        <v>31.013999999999999</v>
      </c>
      <c r="D32" t="n">
        <v>83.516000000000005</v>
      </c>
      <c r="E32" t="n">
        <v>115.13500000000001</v>
      </c>
      <c r="F32" t="n">
        <v>256.44499999999999</v>
      </c>
      <c r="G32" t="n">
        <v>1619.2529999999999</v>
      </c>
      <c r="H32" t="n">
        <v>3011.4009999999998</v>
      </c>
      <c r="I32" t="n">
        <v>3713.4459999999999</v>
      </c>
      <c r="J32" t="n">
        <v>8030.5469999999996</v>
      </c>
      <c r="K32" t="n">
        <v>12888.326999999999</v>
      </c>
      <c r="L32" t="n">
        <v>32459.710999999999</v>
      </c>
      <c r="M32" t="n">
        <v>44609.656000000003</v>
      </c>
      <c r="N32" t="n">
        <v>86742.134000000005</v>
      </c>
    </row>
    <row r="33">
      <c r="B33" t="n">
        <v>2050</v>
      </c>
      <c r="C33" t="n">
        <v>31.66</v>
      </c>
      <c r="D33" t="n">
        <v>84.662000000000006</v>
      </c>
      <c r="E33" t="n">
        <v>116.471</v>
      </c>
      <c r="F33" t="n">
        <v>259.94499999999999</v>
      </c>
      <c r="G33" t="n">
        <v>1656.7550000000001</v>
      </c>
      <c r="H33" t="n">
        <v>3067.3139999999999</v>
      </c>
      <c r="I33" t="n">
        <v>3776.4319999999998</v>
      </c>
      <c r="J33" t="n">
        <v>8175.2520000000004</v>
      </c>
      <c r="K33" t="n">
        <v>13178.549000000001</v>
      </c>
      <c r="L33" t="n">
        <v>32989.101000000002</v>
      </c>
      <c r="M33" t="n">
        <v>45253.841999999997</v>
      </c>
      <c r="N33" t="n">
        <v>88166.337</v>
      </c>
    </row>
  </sheetData>
  <pageMargins left="0.7" right="0.7" top="0.75" bottom="0.75" header="0.3" footer="0.3"/>
  <pageSetup paperSize="9" orientation="portrait" horizontalDpi="300" verticalDpi="300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2">
      <c r="B2" s="52" t="s">
        <v>0</v>
      </c>
      <c r="C2" s="52" t="s">
        <v>65</v>
      </c>
      <c r="D2" s="52" t="s">
        <v>66</v>
      </c>
    </row>
    <row r="3">
      <c r="B3" t="n">
        <v>2009</v>
      </c>
      <c r="C3" t="n">
        <v>95.024000000000001</v>
      </c>
      <c r="D3" t="n">
        <f xml:space="preserve"> C3/$C$13</f>
        <v>0.84620727732559176</v>
      </c>
    </row>
    <row r="4">
      <c r="B4" t="n">
        <v>2010</v>
      </c>
      <c r="C4" t="n">
        <v>96.165999999999997</v>
      </c>
      <c r="D4" t="n">
        <f t="shared" ref="D4:D14" si="0" xml:space="preserve"> C4/$C$13</f>
        <v>0.85637701034783698</v>
      </c>
    </row>
    <row r="5">
      <c r="B5" t="n">
        <v>2011</v>
      </c>
      <c r="C5" t="n">
        <v>98.164000000000001</v>
      </c>
      <c r="D5" t="n">
        <f t="shared" si="0"/>
        <v>0.87416959053912058</v>
      </c>
    </row>
    <row r="6">
      <c r="B6" t="n">
        <v>2012</v>
      </c>
      <c r="C6" t="n">
        <v>100</v>
      </c>
      <c r="D6" t="n">
        <f t="shared" si="0"/>
        <v>0.89051952909327303</v>
      </c>
    </row>
    <row r="7">
      <c r="B7" t="n">
        <v>2013</v>
      </c>
      <c r="C7" t="n">
        <v>101.751</v>
      </c>
      <c r="D7" t="n">
        <f t="shared" si="0"/>
        <v>0.90611252604769632</v>
      </c>
    </row>
    <row r="8">
      <c r="B8" t="n">
        <v>2014</v>
      </c>
      <c r="C8" t="n">
        <v>103.654</v>
      </c>
      <c r="D8" t="n">
        <f t="shared" si="0"/>
        <v>0.92305911268634122</v>
      </c>
    </row>
    <row r="9">
      <c r="B9" t="n">
        <v>2015</v>
      </c>
      <c r="C9" t="n">
        <v>104.691</v>
      </c>
      <c r="D9" t="n">
        <f t="shared" si="0"/>
        <v>0.93229380020303854</v>
      </c>
    </row>
    <row r="10">
      <c r="B10" t="n">
        <v>2016</v>
      </c>
      <c r="C10" t="n">
        <v>105.74</v>
      </c>
      <c r="D10" t="n">
        <f t="shared" si="0"/>
        <v>0.94163535006322685</v>
      </c>
    </row>
    <row r="11">
      <c r="B11" t="n">
        <v>2017</v>
      </c>
      <c r="C11" t="n">
        <v>107.747</v>
      </c>
      <c r="D11" t="n">
        <f t="shared" si="0"/>
        <v>0.95950807701212892</v>
      </c>
    </row>
    <row r="12">
      <c r="B12" t="n">
        <v>2018</v>
      </c>
      <c r="C12" t="n">
        <v>110.321</v>
      </c>
      <c r="D12" t="n">
        <f t="shared" si="0"/>
        <v>0.98243004969098968</v>
      </c>
    </row>
    <row r="13">
      <c r="B13" t="n">
        <v>2019</v>
      </c>
      <c r="C13" t="n">
        <v>112.294</v>
      </c>
      <c r="D13" t="n">
        <f t="shared" si="0"/>
        <v>1</v>
      </c>
    </row>
    <row r="14">
      <c r="B14" t="n">
        <v>2020</v>
      </c>
      <c r="C14" t="n">
        <v>113.648</v>
      </c>
      <c r="D14" t="n">
        <f t="shared" si="0"/>
        <v>1.0120576344239229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Dowd, Gregory</dc:creator>
  <cp:lastModifiedBy>Bielen, David</cp:lastModifiedBy>
  <dcterms:created xsi:type="dcterms:W3CDTF">2022-06-07T13:48:47Z</dcterms:created>
  <dcterms:modified xsi:type="dcterms:W3CDTF">2022-10-27T19:46:51Z</dcterms:modified>
</cp:coreProperties>
</file>