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TSD Inputs" sheetId="3" r:id="rId1"/>
    <sheet name="mp_fates_2018_tech" sheetId="2" r:id="rId2"/>
    <sheet name="tsdopts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8" i="2"/>
  <c r="I34" i="2"/>
  <c r="G34" i="2"/>
  <c r="F34" i="2"/>
  <c r="E34" i="2"/>
  <c r="G28" i="2"/>
  <c r="F28" i="2"/>
  <c r="E28" i="2"/>
  <c r="G22" i="2"/>
  <c r="F22" i="2"/>
  <c r="E22" i="2"/>
  <c r="K32" i="2" l="1"/>
  <c r="J32" i="2"/>
  <c r="K26" i="2"/>
  <c r="J26" i="2"/>
  <c r="K20" i="2"/>
  <c r="J20" i="2"/>
  <c r="K15" i="2"/>
  <c r="J15" i="2"/>
  <c r="K10" i="2"/>
  <c r="J10" i="2"/>
  <c r="K5" i="2"/>
  <c r="J5" i="2"/>
  <c r="E33" i="2" l="1"/>
  <c r="I33" i="2" s="1"/>
  <c r="E32" i="2"/>
  <c r="I32" i="2" s="1"/>
  <c r="E31" i="2"/>
  <c r="I31" i="2" s="1"/>
  <c r="E30" i="2"/>
  <c r="I30" i="2" s="1"/>
  <c r="G29" i="2"/>
  <c r="G33" i="2" s="1"/>
  <c r="F29" i="2"/>
  <c r="F33" i="2" s="1"/>
  <c r="E27" i="2"/>
  <c r="I27" i="2" s="1"/>
  <c r="E26" i="2"/>
  <c r="I26" i="2" s="1"/>
  <c r="E25" i="2"/>
  <c r="I25" i="2" s="1"/>
  <c r="E24" i="2"/>
  <c r="I24" i="2" s="1"/>
  <c r="G23" i="2"/>
  <c r="G27" i="2" s="1"/>
  <c r="F23" i="2"/>
  <c r="F27" i="2" s="1"/>
  <c r="F30" i="2" l="1"/>
  <c r="F31" i="2"/>
  <c r="F32" i="2"/>
  <c r="G30" i="2"/>
  <c r="G31" i="2"/>
  <c r="G32" i="2"/>
  <c r="F24" i="2"/>
  <c r="F25" i="2"/>
  <c r="F26" i="2"/>
  <c r="G24" i="2"/>
  <c r="G25" i="2"/>
  <c r="G26" i="2"/>
  <c r="E15" i="3" l="1"/>
  <c r="E16" i="3" s="1"/>
  <c r="G17" i="2" l="1"/>
  <c r="G12" i="2"/>
  <c r="G7" i="2"/>
  <c r="G2" i="2"/>
  <c r="F17" i="2"/>
  <c r="F12" i="2"/>
  <c r="F7" i="2"/>
  <c r="F2" i="2"/>
  <c r="G21" i="2" l="1"/>
  <c r="F21" i="2" l="1"/>
  <c r="E21" i="2"/>
  <c r="G16" i="2"/>
  <c r="F16" i="2"/>
  <c r="E16" i="2"/>
  <c r="G11" i="2"/>
  <c r="F11" i="2"/>
  <c r="E11" i="2"/>
  <c r="G6" i="2"/>
  <c r="F6" i="2"/>
  <c r="E6" i="2"/>
  <c r="I21" i="2" l="1"/>
  <c r="I16" i="2"/>
  <c r="I11" i="2"/>
  <c r="I6" i="2"/>
  <c r="E13" i="2" l="1"/>
  <c r="E14" i="2"/>
  <c r="I14" i="2" l="1"/>
  <c r="I13" i="2"/>
  <c r="G20" i="2"/>
  <c r="F20" i="2"/>
  <c r="E20" i="2"/>
  <c r="G19" i="2"/>
  <c r="F19" i="2"/>
  <c r="E19" i="2"/>
  <c r="G18" i="2"/>
  <c r="F18" i="2"/>
  <c r="E18" i="2"/>
  <c r="G15" i="2"/>
  <c r="F15" i="2"/>
  <c r="E15" i="2"/>
  <c r="G14" i="2"/>
  <c r="F14" i="2"/>
  <c r="G13" i="2"/>
  <c r="F13" i="2"/>
  <c r="I20" i="2" l="1"/>
  <c r="I19" i="2"/>
  <c r="I18" i="2"/>
  <c r="I15" i="2"/>
  <c r="E5" i="2"/>
  <c r="I5" i="2" l="1"/>
  <c r="G46" i="2"/>
  <c r="F46" i="2"/>
  <c r="G45" i="2"/>
  <c r="F45" i="2"/>
  <c r="G44" i="2"/>
  <c r="F44" i="2"/>
  <c r="E46" i="2"/>
  <c r="E45" i="2"/>
  <c r="E44" i="2"/>
  <c r="G42" i="2"/>
  <c r="F42" i="2"/>
  <c r="E42" i="2"/>
  <c r="G41" i="2"/>
  <c r="F41" i="2"/>
  <c r="E41" i="2"/>
  <c r="G40" i="2"/>
  <c r="F40" i="2"/>
  <c r="E40" i="2"/>
  <c r="G38" i="2"/>
  <c r="F38" i="2"/>
  <c r="E38" i="2"/>
  <c r="G37" i="2"/>
  <c r="F37" i="2"/>
  <c r="E37" i="2"/>
  <c r="G36" i="2"/>
  <c r="F36" i="2"/>
  <c r="E36" i="2"/>
  <c r="G10" i="2"/>
  <c r="F10" i="2"/>
  <c r="G9" i="2"/>
  <c r="F9" i="2"/>
  <c r="G8" i="2"/>
  <c r="F8" i="2"/>
  <c r="E10" i="2"/>
  <c r="E9" i="2"/>
  <c r="E8" i="2"/>
  <c r="G5" i="2"/>
  <c r="G4" i="2"/>
  <c r="G3" i="2"/>
  <c r="F5" i="2"/>
  <c r="F4" i="2"/>
  <c r="F3" i="2"/>
  <c r="E4" i="2"/>
  <c r="E3" i="2"/>
  <c r="I3" i="2" l="1"/>
  <c r="I4" i="2"/>
  <c r="I8" i="2"/>
  <c r="I9" i="2"/>
  <c r="I10" i="2"/>
</calcChain>
</file>

<file path=xl/sharedStrings.xml><?xml version="1.0" encoding="utf-8"?>
<sst xmlns="http://schemas.openxmlformats.org/spreadsheetml/2006/main" count="230" uniqueCount="63">
  <si>
    <t>mp</t>
  </si>
  <si>
    <t>oilwellsite</t>
  </si>
  <si>
    <t>gbstation</t>
  </si>
  <si>
    <t>transstation</t>
  </si>
  <si>
    <t>storstation</t>
  </si>
  <si>
    <t>diapump</t>
  </si>
  <si>
    <t>fate</t>
  </si>
  <si>
    <t>control_lifetime</t>
  </si>
  <si>
    <t>emissions_wholegas</t>
  </si>
  <si>
    <t>flare_wholegas</t>
  </si>
  <si>
    <t>gas_capture</t>
  </si>
  <si>
    <t>capital_cost</t>
  </si>
  <si>
    <t>annual_cost</t>
  </si>
  <si>
    <t>vent</t>
  </si>
  <si>
    <t>bau</t>
  </si>
  <si>
    <t>ogi_annual</t>
  </si>
  <si>
    <t>ogi_semiannual</t>
  </si>
  <si>
    <t>ogi_quarterly</t>
  </si>
  <si>
    <t>Methane</t>
  </si>
  <si>
    <t>VOC</t>
  </si>
  <si>
    <t>HAP</t>
  </si>
  <si>
    <t>route_control_pecert</t>
  </si>
  <si>
    <t>route_control_inhouse</t>
  </si>
  <si>
    <t>Converting from CH4</t>
  </si>
  <si>
    <t>Weight Ratio</t>
  </si>
  <si>
    <t>VOC:CH4</t>
  </si>
  <si>
    <t>HAPs:CH4</t>
  </si>
  <si>
    <t>Mcf Whole Gas:short tons CH4</t>
  </si>
  <si>
    <t>Gas Well Completions</t>
  </si>
  <si>
    <t>Oil Well Completions</t>
  </si>
  <si>
    <t>Production Segment - Pneumatics, Leaks, Compressors</t>
  </si>
  <si>
    <t>Transmission and Storage Segment - Pneumatics, Leaks, Compressors</t>
  </si>
  <si>
    <t>oilassocgaswellsite</t>
  </si>
  <si>
    <t>pe_cert</t>
  </si>
  <si>
    <t>inhouse_cert</t>
  </si>
  <si>
    <t>no_cert</t>
  </si>
  <si>
    <t>cert</t>
  </si>
  <si>
    <t>Conversion of volume methane to mass methane</t>
  </si>
  <si>
    <t>tons methane/1000 scf</t>
  </si>
  <si>
    <t>lbs/1000 scf</t>
  </si>
  <si>
    <t>lbs/scf</t>
  </si>
  <si>
    <t>Weight Ratios to Use in Estimating Emissions</t>
  </si>
  <si>
    <t>Production</t>
  </si>
  <si>
    <t>Transmission</t>
  </si>
  <si>
    <t>Methane:TOC</t>
  </si>
  <si>
    <t>VOC:TOC</t>
  </si>
  <si>
    <t>HAP:TOC</t>
  </si>
  <si>
    <t>VOC:Methane</t>
  </si>
  <si>
    <t>HAP:Methane</t>
  </si>
  <si>
    <t>BTEX:Methane</t>
  </si>
  <si>
    <t>HAP:VOC</t>
  </si>
  <si>
    <t>BTEX:VOC</t>
  </si>
  <si>
    <t>Volume Ratios to Use in Estimating Natural Gas Savings</t>
  </si>
  <si>
    <t>Methane:Gas</t>
  </si>
  <si>
    <t>Natural Gas Cost Used For Savings</t>
  </si>
  <si>
    <t>/1000 ft3 natural gas</t>
  </si>
  <si>
    <t>FROM KAREN's SPREADSHEET:</t>
  </si>
  <si>
    <t>lp_gaswellsite</t>
  </si>
  <si>
    <t>lp_oilassocgaswellsite</t>
  </si>
  <si>
    <t>lp_oilwellsite</t>
  </si>
  <si>
    <t>gaswellsite</t>
  </si>
  <si>
    <t>ogi_stepped</t>
  </si>
  <si>
    <t>ogi_biennial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</si>
</sst>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"/>
    <numFmt numFmtId="165" formatCode="0.0000000"/>
    <numFmt numFmtId="166" formatCode="0.00000"/>
    <numFmt numFmtId="167" formatCode="0.0000"/>
    <numFmt numFmtId="168" formatCode="0.000"/>
    <numFmt numFmtId="169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3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2" borderId="0" xfId="0" applyFont="1" applyFill="1"/>
    <xf numFmtId="1" fontId="0" fillId="4" borderId="0" xfId="0" applyNumberFormat="1" applyFill="1"/>
    <xf numFmtId="164" fontId="0" fillId="4" borderId="0" xfId="0" applyNumberFormat="1" applyFill="1"/>
    <xf numFmtId="165" fontId="0" fillId="0" borderId="0" xfId="0" applyNumberFormat="1"/>
    <xf numFmtId="167" fontId="0" fillId="3" borderId="0" xfId="0" applyNumberFormat="1" applyFill="1"/>
    <xf numFmtId="168" fontId="0" fillId="3" borderId="0" xfId="0" applyNumberFormat="1" applyFill="1"/>
    <xf numFmtId="168" fontId="0" fillId="0" borderId="0" xfId="0" applyNumberFormat="1"/>
    <xf numFmtId="0" fontId="0" fillId="4" borderId="0" xfId="0" applyFill="1"/>
    <xf numFmtId="2" fontId="0" fillId="4" borderId="0" xfId="0" applyNumberFormat="1" applyFill="1"/>
    <xf numFmtId="168" fontId="0" fillId="4" borderId="0" xfId="0" applyNumberFormat="1" applyFill="1"/>
    <xf numFmtId="0" fontId="2" fillId="0" borderId="0" xfId="1" applyFont="1"/>
    <xf numFmtId="0" fontId="3" fillId="0" borderId="0" xfId="1" applyAlignment="1">
      <alignment horizontal="center"/>
    </xf>
    <xf numFmtId="0" fontId="3" fillId="0" borderId="0" xfId="1"/>
    <xf numFmtId="166" fontId="3" fillId="0" borderId="0" xfId="1" applyNumberFormat="1" applyAlignment="1">
      <alignment horizontal="center" vertical="center"/>
    </xf>
    <xf numFmtId="0" fontId="3" fillId="0" borderId="0" xfId="1" applyAlignment="1">
      <alignment horizontal="left"/>
    </xf>
    <xf numFmtId="0" fontId="1" fillId="0" borderId="0" xfId="1" applyFont="1"/>
    <xf numFmtId="169" fontId="3" fillId="0" borderId="0" xfId="1" applyNumberFormat="1" applyAlignment="1">
      <alignment horizontal="center"/>
    </xf>
    <xf numFmtId="164" fontId="3" fillId="0" borderId="0" xfId="1" applyNumberFormat="1"/>
    <xf numFmtId="0" fontId="3" fillId="0" borderId="0" xfId="1" quotePrefix="1"/>
    <xf numFmtId="165" fontId="0" fillId="0" borderId="0" xfId="0" applyNumberFormat="1" applyFont="1"/>
    <xf numFmtId="0" fontId="0" fillId="0" borderId="1" xfId="0" applyFont="1" applyFill="1" applyBorder="1"/>
    <xf numFmtId="0" fontId="4" fillId="0" borderId="2" xfId="0" applyFont="1" applyFill="1" applyBorder="1"/>
    <xf numFmtId="0" fontId="0" fillId="0" borderId="3" xfId="0" applyFont="1" applyFill="1" applyBorder="1"/>
    <xf numFmtId="164" fontId="0" fillId="5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2">
    <cellStyle name="Normal" xfId="0" builtinId="0"/>
    <cellStyle name="Normal 5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mp_fate" displayName="mp_fate" ref="A1:K52" totalsRowShown="0">
  <autoFilter ref="A1:K52"/>
  <tableColumns count="11">
    <tableColumn id="1" name="mp"/>
    <tableColumn id="2" name="fate"/>
    <tableColumn id="3" name="control_lifetime"/>
    <tableColumn id="4" name="emissions_wholegas"/>
    <tableColumn id="9" name="Methane"/>
    <tableColumn id="10" name="VOC"/>
    <tableColumn id="11" name="HAP"/>
    <tableColumn id="5" name="flare_wholegas"/>
    <tableColumn id="6" name="gas_capture"/>
    <tableColumn id="7" name="capital_cost" dataDxfId="8"/>
    <tableColumn id="8" name="annual_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43" totalsRowShown="0" headerRowDxfId="6" dataDxfId="4" headerRowBorderDxfId="5" tableBorderDxfId="3" totalsRowBorderDxfId="2">
  <autoFilter ref="A1:B43"/>
  <tableColumns count="2">
    <tableColumn id="1" name="mp" dataDxfId="1"/>
    <tableColumn id="2" name="f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A7" sqref="A7"/>
    </sheetView>
  </sheetViews>
  <sheetFormatPr defaultRowHeight="15" x14ac:dyDescent="0.25"/>
  <cols>
    <col min="1" max="1" width="63.85546875" customWidth="1"/>
    <col min="2" max="2" width="10.28515625" customWidth="1"/>
    <col min="3" max="3" width="11.42578125" customWidth="1"/>
  </cols>
  <sheetData>
    <row r="3" spans="1:7" x14ac:dyDescent="0.25">
      <c r="A3" s="6" t="s">
        <v>23</v>
      </c>
      <c r="B3" s="42" t="s">
        <v>24</v>
      </c>
      <c r="C3" s="42"/>
      <c r="D3" s="7"/>
    </row>
    <row r="4" spans="1:7" ht="63" customHeight="1" x14ac:dyDescent="0.25">
      <c r="A4" s="6"/>
      <c r="B4" s="8" t="s">
        <v>25</v>
      </c>
      <c r="C4" s="8" t="s">
        <v>26</v>
      </c>
      <c r="D4" s="8"/>
      <c r="E4" s="9" t="s">
        <v>27</v>
      </c>
    </row>
    <row r="5" spans="1:7" x14ac:dyDescent="0.25">
      <c r="A5" s="10" t="s">
        <v>28</v>
      </c>
      <c r="B5" s="11"/>
      <c r="C5" s="11"/>
      <c r="D5" s="12"/>
    </row>
    <row r="6" spans="1:7" x14ac:dyDescent="0.25">
      <c r="A6" s="10" t="s">
        <v>29</v>
      </c>
      <c r="B6">
        <v>0.83740000000000003</v>
      </c>
      <c r="C6" s="16">
        <v>1E-4</v>
      </c>
    </row>
    <row r="7" spans="1:7" x14ac:dyDescent="0.25">
      <c r="A7" s="10" t="s">
        <v>30</v>
      </c>
      <c r="B7">
        <v>0.27797470317294487</v>
      </c>
      <c r="C7" s="16">
        <v>1.047250678430992E-2</v>
      </c>
      <c r="E7" s="5">
        <v>57.952224384755837</v>
      </c>
    </row>
    <row r="8" spans="1:7" x14ac:dyDescent="0.25">
      <c r="A8" s="10" t="s">
        <v>31</v>
      </c>
      <c r="B8" s="32">
        <v>2.767468879299332E-2</v>
      </c>
      <c r="C8" s="10">
        <v>8.2198516141644012E-4</v>
      </c>
      <c r="D8" s="10"/>
      <c r="E8" s="13">
        <v>51.769821136813135</v>
      </c>
    </row>
    <row r="12" spans="1:7" x14ac:dyDescent="0.25">
      <c r="A12" t="s">
        <v>56</v>
      </c>
    </row>
    <row r="14" spans="1:7" x14ac:dyDescent="0.25">
      <c r="A14" s="23" t="s">
        <v>37</v>
      </c>
      <c r="B14" s="24"/>
      <c r="C14" s="24"/>
      <c r="D14" s="25"/>
      <c r="E14" s="25"/>
      <c r="F14" s="25"/>
      <c r="G14" s="25"/>
    </row>
    <row r="15" spans="1:7" x14ac:dyDescent="0.25">
      <c r="A15" s="26">
        <v>2.0815E-2</v>
      </c>
      <c r="B15" s="27" t="s">
        <v>38</v>
      </c>
      <c r="C15" s="24"/>
      <c r="D15" s="25"/>
      <c r="E15" s="25">
        <f>A15*2000</f>
        <v>41.63</v>
      </c>
      <c r="F15" s="25" t="s">
        <v>39</v>
      </c>
      <c r="G15" s="25"/>
    </row>
    <row r="16" spans="1:7" x14ac:dyDescent="0.25">
      <c r="A16" s="25"/>
      <c r="B16" s="24"/>
      <c r="C16" s="24"/>
      <c r="D16" s="25"/>
      <c r="E16" s="25">
        <f>E15/1000</f>
        <v>4.163E-2</v>
      </c>
      <c r="F16" s="25" t="s">
        <v>40</v>
      </c>
      <c r="G16" s="25"/>
    </row>
    <row r="17" spans="1:7" x14ac:dyDescent="0.25">
      <c r="A17" s="23" t="s">
        <v>41</v>
      </c>
      <c r="B17" s="24"/>
      <c r="C17" s="24"/>
      <c r="D17" s="25"/>
      <c r="E17" s="25"/>
      <c r="F17" s="25"/>
      <c r="G17" s="25"/>
    </row>
    <row r="18" spans="1:7" x14ac:dyDescent="0.25">
      <c r="A18" s="25"/>
      <c r="B18" s="24"/>
      <c r="C18" s="24"/>
      <c r="D18" s="25"/>
      <c r="E18" s="25"/>
      <c r="F18" s="25"/>
      <c r="G18" s="25"/>
    </row>
    <row r="19" spans="1:7" x14ac:dyDescent="0.25">
      <c r="A19" s="25"/>
      <c r="B19" s="24" t="s">
        <v>42</v>
      </c>
      <c r="C19" s="24" t="s">
        <v>43</v>
      </c>
      <c r="D19" s="25"/>
      <c r="E19" s="25"/>
      <c r="F19" s="25"/>
      <c r="G19" s="25"/>
    </row>
    <row r="20" spans="1:7" x14ac:dyDescent="0.25">
      <c r="A20" s="25" t="s">
        <v>44</v>
      </c>
      <c r="B20" s="24">
        <v>0.69476929493494155</v>
      </c>
      <c r="C20" s="24">
        <v>0.9077103471970156</v>
      </c>
      <c r="D20" s="25"/>
      <c r="E20" s="25"/>
      <c r="F20" s="25"/>
      <c r="G20" s="25"/>
    </row>
    <row r="21" spans="1:7" x14ac:dyDescent="0.25">
      <c r="A21" s="25" t="s">
        <v>45</v>
      </c>
      <c r="B21" s="24">
        <v>0.19312828853321659</v>
      </c>
      <c r="C21" s="24">
        <v>2.5120601372857324E-2</v>
      </c>
      <c r="D21" s="25"/>
      <c r="E21" s="25"/>
      <c r="F21" s="25"/>
      <c r="G21" s="25"/>
    </row>
    <row r="22" spans="1:7" x14ac:dyDescent="0.25">
      <c r="A22" s="25" t="s">
        <v>46</v>
      </c>
      <c r="B22" s="24">
        <v>7.2759761547363964E-3</v>
      </c>
      <c r="C22" s="24">
        <v>7.4612443626011172E-4</v>
      </c>
      <c r="D22" s="25"/>
      <c r="E22" s="25"/>
      <c r="F22" s="25"/>
      <c r="G22" s="25"/>
    </row>
    <row r="23" spans="1:7" x14ac:dyDescent="0.25">
      <c r="A23" s="25" t="s">
        <v>47</v>
      </c>
      <c r="B23" s="24">
        <v>0.27797470317294487</v>
      </c>
      <c r="C23" s="24">
        <v>2.767468879299332E-2</v>
      </c>
      <c r="D23" s="25"/>
      <c r="E23" s="25"/>
      <c r="F23" s="25"/>
      <c r="G23" s="25"/>
    </row>
    <row r="24" spans="1:7" x14ac:dyDescent="0.25">
      <c r="A24" s="25" t="s">
        <v>48</v>
      </c>
      <c r="B24" s="24">
        <v>1.047250678430992E-2</v>
      </c>
      <c r="C24" s="24">
        <v>8.2198516141644012E-4</v>
      </c>
      <c r="D24" s="25"/>
      <c r="E24" s="25"/>
      <c r="F24" s="25"/>
      <c r="G24" s="25"/>
    </row>
    <row r="25" spans="1:7" x14ac:dyDescent="0.25">
      <c r="A25" s="25" t="s">
        <v>49</v>
      </c>
      <c r="B25" s="24">
        <v>2.7960708666229634E-3</v>
      </c>
      <c r="C25" s="24">
        <v>3.2199530263258262E-4</v>
      </c>
      <c r="D25" s="25"/>
      <c r="E25" s="25"/>
      <c r="F25" s="25"/>
      <c r="G25" s="25"/>
    </row>
    <row r="26" spans="1:7" x14ac:dyDescent="0.25">
      <c r="A26" s="25" t="s">
        <v>50</v>
      </c>
      <c r="B26" s="24">
        <v>3.767431591713704E-2</v>
      </c>
      <c r="C26" s="24">
        <v>2.9701694843432182E-2</v>
      </c>
      <c r="D26" s="25"/>
      <c r="E26" s="25"/>
      <c r="F26" s="25"/>
      <c r="G26" s="25"/>
    </row>
    <row r="27" spans="1:7" x14ac:dyDescent="0.25">
      <c r="A27" s="25" t="s">
        <v>51</v>
      </c>
      <c r="B27" s="24">
        <v>1.0058724174204293E-2</v>
      </c>
      <c r="C27" s="24">
        <v>1.1635010786972442E-2</v>
      </c>
      <c r="D27" s="25"/>
      <c r="E27" s="25"/>
      <c r="F27" s="25"/>
      <c r="G27" s="25"/>
    </row>
    <row r="28" spans="1:7" x14ac:dyDescent="0.25">
      <c r="A28" s="25"/>
      <c r="B28" s="24"/>
      <c r="C28" s="24"/>
      <c r="D28" s="25"/>
      <c r="E28" s="25"/>
      <c r="F28" s="25"/>
      <c r="G28" s="25"/>
    </row>
    <row r="29" spans="1:7" x14ac:dyDescent="0.25">
      <c r="A29" s="28" t="s">
        <v>52</v>
      </c>
      <c r="B29" s="24"/>
      <c r="C29" s="24"/>
      <c r="D29" s="25"/>
      <c r="E29" s="25"/>
      <c r="F29" s="25"/>
      <c r="G29" s="25"/>
    </row>
    <row r="30" spans="1:7" x14ac:dyDescent="0.25">
      <c r="A30" s="25"/>
      <c r="B30" s="24" t="s">
        <v>42</v>
      </c>
      <c r="C30" s="24" t="s">
        <v>43</v>
      </c>
      <c r="D30" s="25"/>
      <c r="E30" s="25"/>
      <c r="F30" s="25"/>
      <c r="G30" s="25"/>
    </row>
    <row r="31" spans="1:7" x14ac:dyDescent="0.25">
      <c r="A31" s="25" t="s">
        <v>53</v>
      </c>
      <c r="B31" s="29">
        <v>0.82899999999999996</v>
      </c>
      <c r="C31" s="29">
        <v>0.92800000000000005</v>
      </c>
      <c r="D31" s="25"/>
      <c r="E31" s="25"/>
      <c r="F31" s="25"/>
      <c r="G31" s="25"/>
    </row>
    <row r="32" spans="1:7" x14ac:dyDescent="0.25">
      <c r="A32" s="25"/>
      <c r="B32" s="24"/>
      <c r="C32" s="24"/>
      <c r="D32" s="25"/>
      <c r="E32" s="25"/>
      <c r="F32" s="25"/>
      <c r="G32" s="25"/>
    </row>
    <row r="33" spans="1:7" x14ac:dyDescent="0.25">
      <c r="A33" s="43" t="s">
        <v>54</v>
      </c>
      <c r="B33" s="43"/>
      <c r="C33" s="30">
        <v>4</v>
      </c>
      <c r="D33" s="31" t="s">
        <v>55</v>
      </c>
      <c r="E33" s="25"/>
      <c r="F33" s="25"/>
      <c r="G33" s="25"/>
    </row>
    <row r="34" spans="1:7" x14ac:dyDescent="0.25">
      <c r="A34" s="25"/>
      <c r="B34" s="24"/>
      <c r="C34" s="24"/>
      <c r="D34" s="25"/>
      <c r="E34" s="25"/>
      <c r="F34" s="25"/>
      <c r="G34" s="25"/>
    </row>
    <row r="35" spans="1:7" x14ac:dyDescent="0.25">
      <c r="A35" s="25"/>
      <c r="B35" s="24"/>
      <c r="C35" s="24"/>
      <c r="D35" s="25"/>
      <c r="E35" s="25"/>
      <c r="F35" s="25"/>
      <c r="G35" s="25"/>
    </row>
    <row r="36" spans="1:7" x14ac:dyDescent="0.25">
      <c r="A36" s="25"/>
      <c r="B36" s="24"/>
      <c r="C36" s="24"/>
      <c r="D36" s="25"/>
      <c r="E36" s="25"/>
      <c r="F36" s="25"/>
      <c r="G36" s="25"/>
    </row>
  </sheetData>
  <mergeCells count="2">
    <mergeCell ref="B3:C3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xSplit="2" ySplit="1" topLeftCell="F17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RowHeight="15" x14ac:dyDescent="0.25"/>
  <cols>
    <col min="1" max="1" width="23.85546875" customWidth="1"/>
    <col min="2" max="2" width="23.5703125" customWidth="1"/>
    <col min="3" max="3" width="21.5703125" customWidth="1"/>
    <col min="4" max="7" width="20.85546875" customWidth="1"/>
    <col min="8" max="8" width="19.28515625" customWidth="1"/>
    <col min="9" max="9" width="13.85546875" customWidth="1"/>
    <col min="10" max="10" width="16.5703125" customWidth="1"/>
    <col min="11" max="11" width="15.140625" customWidth="1"/>
  </cols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18</v>
      </c>
      <c r="F1" t="s">
        <v>19</v>
      </c>
      <c r="G1" t="s">
        <v>20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1</v>
      </c>
      <c r="B2" t="s">
        <v>14</v>
      </c>
      <c r="C2">
        <v>0</v>
      </c>
      <c r="E2" s="4">
        <v>2.0563738237880393</v>
      </c>
      <c r="F2" s="18">
        <f>mp_fate[[#This Row],[Methane]]*'TSD Inputs'!$B$7</f>
        <v>0.57161990328009382</v>
      </c>
      <c r="G2" s="17">
        <f>mp_fate[[#This Row],[Methane]]*'TSD Inputs'!$C$7</f>
        <v>2.1535388820697575E-2</v>
      </c>
      <c r="H2" s="3">
        <v>0</v>
      </c>
      <c r="I2" s="3">
        <v>0</v>
      </c>
      <c r="J2" s="2">
        <v>0</v>
      </c>
      <c r="K2" s="2">
        <v>0</v>
      </c>
    </row>
    <row r="3" spans="1:11" x14ac:dyDescent="0.25">
      <c r="A3" t="s">
        <v>1</v>
      </c>
      <c r="B3" t="s">
        <v>15</v>
      </c>
      <c r="C3">
        <v>8</v>
      </c>
      <c r="E3" s="1">
        <f>E2*(1-0.4)</f>
        <v>1.2338242942728235</v>
      </c>
      <c r="F3" s="1">
        <f>F2*(1-0.4)</f>
        <v>0.3429719419680563</v>
      </c>
      <c r="G3" s="1">
        <f>G2*(1-0.4)</f>
        <v>1.2921233292418545E-2</v>
      </c>
      <c r="H3" s="3">
        <v>0</v>
      </c>
      <c r="I3" s="38">
        <f>($E$2-mp_fate[[#This Row],[Methane]])*'TSD Inputs'!$E$7</f>
        <v>47.668574902041136</v>
      </c>
      <c r="J3" s="39">
        <v>283.77103892727268</v>
      </c>
      <c r="K3" s="39">
        <v>1261.4324198110501</v>
      </c>
    </row>
    <row r="4" spans="1:11" x14ac:dyDescent="0.25">
      <c r="A4" t="s">
        <v>1</v>
      </c>
      <c r="B4" t="s">
        <v>16</v>
      </c>
      <c r="C4">
        <v>8</v>
      </c>
      <c r="E4" s="1">
        <f>E2*(1-0.6)</f>
        <v>0.82254952951521576</v>
      </c>
      <c r="F4" s="1">
        <f>F2*(1-0.6)</f>
        <v>0.22864796131203755</v>
      </c>
      <c r="G4" s="1">
        <f>G2*(1-0.6)</f>
        <v>8.61415552827903E-3</v>
      </c>
      <c r="H4" s="3">
        <v>0</v>
      </c>
      <c r="I4" s="38">
        <f>($E$2-mp_fate[[#This Row],[Methane]])*'TSD Inputs'!$E$7</f>
        <v>71.502862353061701</v>
      </c>
      <c r="J4" s="39">
        <v>328.2841430727272</v>
      </c>
      <c r="K4" s="39">
        <v>2278.0427668221091</v>
      </c>
    </row>
    <row r="5" spans="1:11" x14ac:dyDescent="0.25">
      <c r="A5" s="20" t="s">
        <v>1</v>
      </c>
      <c r="B5" s="20" t="s">
        <v>17</v>
      </c>
      <c r="C5" s="20">
        <v>8</v>
      </c>
      <c r="D5" s="20"/>
      <c r="E5" s="21">
        <f>E2*(1-0.8)</f>
        <v>0.41127476475760777</v>
      </c>
      <c r="F5" s="21">
        <f>F2*(1-0.8)</f>
        <v>0.11432398065601874</v>
      </c>
      <c r="G5" s="21">
        <f>G2*(1-0.8)</f>
        <v>4.3070777641395141E-3</v>
      </c>
      <c r="H5" s="14">
        <v>0</v>
      </c>
      <c r="I5" s="14">
        <f>($E$2-mp_fate[[#This Row],[Methane]])*'TSD Inputs'!$E$7</f>
        <v>95.337149804082259</v>
      </c>
      <c r="J5" s="15">
        <f>J4*(J4/J3)</f>
        <v>379.7796949272726</v>
      </c>
      <c r="K5" s="15">
        <f>K4*(K4/K3)</f>
        <v>4113.9570903432641</v>
      </c>
    </row>
    <row r="6" spans="1:11" x14ac:dyDescent="0.25">
      <c r="A6" t="s">
        <v>1</v>
      </c>
      <c r="B6" t="s">
        <v>61</v>
      </c>
      <c r="C6">
        <v>8</v>
      </c>
      <c r="E6" s="37">
        <f>E2*(1-0.45)</f>
        <v>1.1310056030834217</v>
      </c>
      <c r="F6" s="37">
        <f>F2*(1-0.45)</f>
        <v>0.31439094680405161</v>
      </c>
      <c r="G6" s="37">
        <f>G2*(1-0.45)</f>
        <v>1.1844463851383668E-2</v>
      </c>
      <c r="H6" s="3">
        <v>0</v>
      </c>
      <c r="I6" s="38">
        <f>($E$2-mp_fate[[#This Row],[Methane]])*'TSD Inputs'!$E$7</f>
        <v>53.627146764796265</v>
      </c>
      <c r="J6" s="39">
        <v>294.8993149636363</v>
      </c>
      <c r="K6" s="39">
        <v>1515.5850065638178</v>
      </c>
    </row>
    <row r="7" spans="1:11" x14ac:dyDescent="0.25">
      <c r="A7" t="s">
        <v>60</v>
      </c>
      <c r="B7" t="s">
        <v>14</v>
      </c>
      <c r="C7">
        <v>0</v>
      </c>
      <c r="E7" s="4">
        <v>5.9121751653445038</v>
      </c>
      <c r="F7" s="18">
        <f>mp_fate[[#This Row],[Methane]]*'TSD Inputs'!$B$7</f>
        <v>1.6434351366930946</v>
      </c>
      <c r="G7" s="17">
        <f>mp_fate[[#This Row],[Methane]]*'TSD Inputs'!$C$7</f>
        <v>6.1915294529098941E-2</v>
      </c>
      <c r="H7" s="3">
        <v>0</v>
      </c>
      <c r="I7" s="3">
        <v>0</v>
      </c>
      <c r="J7" s="2">
        <v>0</v>
      </c>
      <c r="K7" s="2">
        <v>0</v>
      </c>
    </row>
    <row r="8" spans="1:11" x14ac:dyDescent="0.25">
      <c r="A8" t="s">
        <v>60</v>
      </c>
      <c r="B8" t="s">
        <v>15</v>
      </c>
      <c r="C8">
        <v>8</v>
      </c>
      <c r="E8" s="1">
        <f>E7*(1-0.4)</f>
        <v>3.5473050992067021</v>
      </c>
      <c r="F8" s="1">
        <f t="shared" ref="F8:G8" si="0">F7*(1-0.4)</f>
        <v>0.98606108201585674</v>
      </c>
      <c r="G8" s="1">
        <f t="shared" si="0"/>
        <v>3.7149176717459362E-2</v>
      </c>
      <c r="H8" s="3">
        <v>0</v>
      </c>
      <c r="I8" s="38">
        <f>($E$7-mp_fate[[#This Row],[Methane]])*'TSD Inputs'!$E$7</f>
        <v>137.04948071361025</v>
      </c>
      <c r="J8" s="39">
        <v>283.77103892727268</v>
      </c>
      <c r="K8" s="39">
        <v>1261.4324198110501</v>
      </c>
    </row>
    <row r="9" spans="1:11" x14ac:dyDescent="0.25">
      <c r="A9" t="s">
        <v>60</v>
      </c>
      <c r="B9" t="s">
        <v>16</v>
      </c>
      <c r="C9">
        <v>8</v>
      </c>
      <c r="E9" s="1">
        <f>E7*(1-0.6)</f>
        <v>2.3648700661378017</v>
      </c>
      <c r="F9" s="1">
        <f t="shared" ref="F9:G9" si="1">F7*(1-0.6)</f>
        <v>0.65737405467723786</v>
      </c>
      <c r="G9" s="1">
        <f t="shared" si="1"/>
        <v>2.4766117811639579E-2</v>
      </c>
      <c r="H9" s="3">
        <v>0</v>
      </c>
      <c r="I9" s="38">
        <f>($E$7-mp_fate[[#This Row],[Methane]])*'TSD Inputs'!$E$7</f>
        <v>205.57422107041538</v>
      </c>
      <c r="J9" s="39">
        <v>328.2841430727272</v>
      </c>
      <c r="K9" s="39">
        <v>2278.0427668221091</v>
      </c>
    </row>
    <row r="10" spans="1:11" x14ac:dyDescent="0.25">
      <c r="A10" s="20" t="s">
        <v>60</v>
      </c>
      <c r="B10" s="20" t="s">
        <v>17</v>
      </c>
      <c r="C10" s="20">
        <v>8</v>
      </c>
      <c r="D10" s="20"/>
      <c r="E10" s="21">
        <f>E7*(1-0.8)</f>
        <v>1.1824350330689004</v>
      </c>
      <c r="F10" s="21">
        <f t="shared" ref="F10:G10" si="2">F7*(1-0.8)</f>
        <v>0.32868702733861882</v>
      </c>
      <c r="G10" s="21">
        <f t="shared" si="2"/>
        <v>1.2383058905819786E-2</v>
      </c>
      <c r="H10" s="14">
        <v>0</v>
      </c>
      <c r="I10" s="14">
        <f>($E$7-mp_fate[[#This Row],[Methane]])*'TSD Inputs'!$E$7</f>
        <v>274.0989614272205</v>
      </c>
      <c r="J10" s="15">
        <f>J9*(J9/J8)</f>
        <v>379.7796949272726</v>
      </c>
      <c r="K10" s="15">
        <f>K9*(K9/K8)</f>
        <v>4113.9570903432641</v>
      </c>
    </row>
    <row r="11" spans="1:11" x14ac:dyDescent="0.25">
      <c r="A11" t="s">
        <v>60</v>
      </c>
      <c r="B11" t="s">
        <v>61</v>
      </c>
      <c r="C11">
        <v>8</v>
      </c>
      <c r="E11" s="37">
        <f>E7*(1-0.45)</f>
        <v>3.2516963409394775</v>
      </c>
      <c r="F11" s="37">
        <f>F7*(1-0.45)</f>
        <v>0.90388932518120213</v>
      </c>
      <c r="G11" s="37">
        <f>G7*(1-0.45)</f>
        <v>3.4053411991004423E-2</v>
      </c>
      <c r="H11" s="3">
        <v>0</v>
      </c>
      <c r="I11" s="38">
        <f>($E$7-mp_fate[[#This Row],[Methane]])*'TSD Inputs'!$E$7</f>
        <v>154.18066580281152</v>
      </c>
      <c r="J11" s="39">
        <v>294.8993149636363</v>
      </c>
      <c r="K11" s="39">
        <v>1515.5850065638178</v>
      </c>
    </row>
    <row r="12" spans="1:11" x14ac:dyDescent="0.25">
      <c r="A12" t="s">
        <v>32</v>
      </c>
      <c r="B12" t="s">
        <v>14</v>
      </c>
      <c r="C12">
        <v>0</v>
      </c>
      <c r="E12" s="4">
        <v>3.0405089719090248</v>
      </c>
      <c r="F12" s="18">
        <f>mp_fate[[#This Row],[Methane]]*'TSD Inputs'!$B$7</f>
        <v>0.8451845789610869</v>
      </c>
      <c r="G12" s="17">
        <f>mp_fate[[#This Row],[Methane]]*'TSD Inputs'!$C$7</f>
        <v>3.1841750836072442E-2</v>
      </c>
      <c r="H12" s="3">
        <v>0</v>
      </c>
      <c r="I12" s="40">
        <v>0</v>
      </c>
      <c r="J12" s="40">
        <v>0</v>
      </c>
      <c r="K12" s="40">
        <v>0</v>
      </c>
    </row>
    <row r="13" spans="1:11" x14ac:dyDescent="0.25">
      <c r="A13" t="s">
        <v>32</v>
      </c>
      <c r="B13" t="s">
        <v>15</v>
      </c>
      <c r="C13">
        <v>8</v>
      </c>
      <c r="E13" s="1">
        <f>E12*(1-0.4)</f>
        <v>1.8243053831454148</v>
      </c>
      <c r="F13" s="19">
        <f>F12*(1-0.4)</f>
        <v>0.50711074737665207</v>
      </c>
      <c r="G13" s="19">
        <f>G12*(1-0.4)</f>
        <v>1.9105050501643465E-2</v>
      </c>
      <c r="H13" s="3">
        <v>0</v>
      </c>
      <c r="I13" s="38">
        <f>($E$12-mp_fate[[#This Row],[Methane]])*'TSD Inputs'!$E$7</f>
        <v>70.481703273574041</v>
      </c>
      <c r="J13" s="39">
        <v>283.77103892727268</v>
      </c>
      <c r="K13" s="39">
        <v>1261.4324198110501</v>
      </c>
    </row>
    <row r="14" spans="1:11" x14ac:dyDescent="0.25">
      <c r="A14" t="s">
        <v>32</v>
      </c>
      <c r="B14" t="s">
        <v>16</v>
      </c>
      <c r="C14">
        <v>8</v>
      </c>
      <c r="E14" s="1">
        <f>E12*(1-0.6)</f>
        <v>1.21620358876361</v>
      </c>
      <c r="F14" s="19">
        <f>F12*(1-0.6)</f>
        <v>0.33807383158443477</v>
      </c>
      <c r="G14" s="19">
        <f>G12*(1-0.6)</f>
        <v>1.2736700334428978E-2</v>
      </c>
      <c r="H14" s="3">
        <v>0</v>
      </c>
      <c r="I14" s="38">
        <f>($E$12-mp_fate[[#This Row],[Methane]])*'TSD Inputs'!$E$7</f>
        <v>105.72255491036105</v>
      </c>
      <c r="J14" s="39">
        <v>328.2841430727272</v>
      </c>
      <c r="K14" s="39">
        <v>2278.0427668221091</v>
      </c>
    </row>
    <row r="15" spans="1:11" x14ac:dyDescent="0.25">
      <c r="A15" s="20" t="s">
        <v>32</v>
      </c>
      <c r="B15" s="20" t="s">
        <v>17</v>
      </c>
      <c r="C15" s="20">
        <v>8</v>
      </c>
      <c r="D15" s="20"/>
      <c r="E15" s="21">
        <f>E12*(1-0.8)</f>
        <v>0.60810179438180478</v>
      </c>
      <c r="F15" s="22">
        <f>F12*(1-0.8)</f>
        <v>0.16903691579221733</v>
      </c>
      <c r="G15" s="22">
        <f>G12*(1-0.8)</f>
        <v>6.3683501672144871E-3</v>
      </c>
      <c r="H15" s="14">
        <v>0</v>
      </c>
      <c r="I15" s="14">
        <f>($E$12-mp_fate[[#This Row],[Methane]])*'TSD Inputs'!$E$7</f>
        <v>140.96340654714808</v>
      </c>
      <c r="J15" s="15">
        <f>J14*(J14/J13)</f>
        <v>379.7796949272726</v>
      </c>
      <c r="K15" s="15">
        <f>K14*(K14/K13)</f>
        <v>4113.9570903432641</v>
      </c>
    </row>
    <row r="16" spans="1:11" x14ac:dyDescent="0.25">
      <c r="A16" t="s">
        <v>32</v>
      </c>
      <c r="B16" t="s">
        <v>61</v>
      </c>
      <c r="C16">
        <v>8</v>
      </c>
      <c r="E16" s="37">
        <f>E12*(1-0.45)</f>
        <v>1.6722799345499637</v>
      </c>
      <c r="F16" s="37">
        <f>F12*(1-0.45)</f>
        <v>0.46485151842859784</v>
      </c>
      <c r="G16" s="37">
        <f>G12*(1-0.45)</f>
        <v>1.7512962959839846E-2</v>
      </c>
      <c r="H16" s="3">
        <v>0</v>
      </c>
      <c r="I16" s="38">
        <f>($E$12-mp_fate[[#This Row],[Methane]])*'TSD Inputs'!$E$7</f>
        <v>79.291916182770791</v>
      </c>
      <c r="J16" s="39">
        <v>294.8993149636363</v>
      </c>
      <c r="K16" s="39">
        <v>1515.5850065638178</v>
      </c>
    </row>
    <row r="17" spans="1:11" x14ac:dyDescent="0.25">
      <c r="A17" t="s">
        <v>59</v>
      </c>
      <c r="B17" t="s">
        <v>14</v>
      </c>
      <c r="C17">
        <v>0</v>
      </c>
      <c r="E17" s="4">
        <v>1.8282820925194549</v>
      </c>
      <c r="F17" s="18">
        <f>mp_fate[[#This Row],[Methane]]*'TSD Inputs'!$B$7</f>
        <v>0.50821617198450597</v>
      </c>
      <c r="G17" s="17">
        <f>mp_fate[[#This Row],[Methane]]*'TSD Inputs'!$C$7</f>
        <v>1.9146696617542331E-2</v>
      </c>
      <c r="H17" s="3">
        <v>0</v>
      </c>
      <c r="I17" s="40">
        <v>0</v>
      </c>
      <c r="J17" s="40">
        <v>0</v>
      </c>
      <c r="K17" s="40">
        <v>0</v>
      </c>
    </row>
    <row r="18" spans="1:11" x14ac:dyDescent="0.25">
      <c r="A18" t="s">
        <v>59</v>
      </c>
      <c r="B18" t="s">
        <v>15</v>
      </c>
      <c r="C18">
        <v>8</v>
      </c>
      <c r="E18" s="19">
        <f>E17*(1-0.4)</f>
        <v>1.096969255511673</v>
      </c>
      <c r="F18" s="1">
        <f t="shared" ref="F18:G18" si="3">F17*(1-0.4)</f>
        <v>0.30492970319070356</v>
      </c>
      <c r="G18" s="1">
        <f t="shared" si="3"/>
        <v>1.1488017970525398E-2</v>
      </c>
      <c r="H18" s="3">
        <v>0</v>
      </c>
      <c r="I18" s="38">
        <f>($E$17-mp_fate[[#This Row],[Methane]])*'TSD Inputs'!$E$7</f>
        <v>42.381205625727354</v>
      </c>
      <c r="J18" s="39">
        <v>283.77103892727268</v>
      </c>
      <c r="K18" s="39">
        <v>1261.4324198110501</v>
      </c>
    </row>
    <row r="19" spans="1:11" x14ac:dyDescent="0.25">
      <c r="A19" t="s">
        <v>59</v>
      </c>
      <c r="B19" t="s">
        <v>16</v>
      </c>
      <c r="C19">
        <v>8</v>
      </c>
      <c r="E19" s="19">
        <f>E17*(1-0.6)</f>
        <v>0.73131283700778205</v>
      </c>
      <c r="F19" s="1">
        <f t="shared" ref="F19:G19" si="4">F17*(1-0.6)</f>
        <v>0.20328646879380241</v>
      </c>
      <c r="G19" s="1">
        <f t="shared" si="4"/>
        <v>7.6586786470169326E-3</v>
      </c>
      <c r="H19" s="3">
        <v>0</v>
      </c>
      <c r="I19" s="38">
        <f>($E$17-mp_fate[[#This Row],[Methane]])*'TSD Inputs'!$E$7</f>
        <v>63.57180843859102</v>
      </c>
      <c r="J19" s="39">
        <v>328.2841430727272</v>
      </c>
      <c r="K19" s="39">
        <v>2278.0427668221091</v>
      </c>
    </row>
    <row r="20" spans="1:11" x14ac:dyDescent="0.25">
      <c r="A20" s="20" t="s">
        <v>59</v>
      </c>
      <c r="B20" s="20" t="s">
        <v>17</v>
      </c>
      <c r="C20" s="20">
        <v>8</v>
      </c>
      <c r="D20" s="20"/>
      <c r="E20" s="22">
        <f>E17*(1-0.8)</f>
        <v>0.36565641850389091</v>
      </c>
      <c r="F20" s="21">
        <f t="shared" ref="F20:G20" si="5">F17*(1-0.8)</f>
        <v>0.10164323439690118</v>
      </c>
      <c r="G20" s="21">
        <f t="shared" si="5"/>
        <v>3.8293393235084654E-3</v>
      </c>
      <c r="H20" s="14">
        <v>0</v>
      </c>
      <c r="I20" s="14">
        <f>($E$17-mp_fate[[#This Row],[Methane]])*'TSD Inputs'!$E$7</f>
        <v>84.762411251454722</v>
      </c>
      <c r="J20" s="15">
        <f>J19*(J19/J18)</f>
        <v>379.7796949272726</v>
      </c>
      <c r="K20" s="15">
        <f>K19*(K19/K18)</f>
        <v>4113.9570903432641</v>
      </c>
    </row>
    <row r="21" spans="1:11" x14ac:dyDescent="0.25">
      <c r="A21" t="s">
        <v>59</v>
      </c>
      <c r="B21" t="s">
        <v>61</v>
      </c>
      <c r="C21">
        <v>8</v>
      </c>
      <c r="E21" s="37">
        <f>E17*(1-0.45)</f>
        <v>1.0055551508857004</v>
      </c>
      <c r="F21" s="37">
        <f>F17*(1-0.45)</f>
        <v>0.27951889459147833</v>
      </c>
      <c r="G21" s="37">
        <f>G17*(1-0.45)</f>
        <v>1.0530683139648283E-2</v>
      </c>
      <c r="H21" s="3">
        <v>0</v>
      </c>
      <c r="I21" s="38">
        <f>($E$17-mp_fate[[#This Row],[Methane]])*'TSD Inputs'!$E$7</f>
        <v>47.678856328943269</v>
      </c>
      <c r="J21" s="39">
        <v>294.8993149636363</v>
      </c>
      <c r="K21" s="39">
        <v>1515.5850065638178</v>
      </c>
    </row>
    <row r="22" spans="1:11" x14ac:dyDescent="0.25">
      <c r="A22" t="s">
        <v>59</v>
      </c>
      <c r="B22" t="s">
        <v>62</v>
      </c>
      <c r="C22">
        <v>8</v>
      </c>
      <c r="E22" s="41">
        <f>E17*(1-0.3)</f>
        <v>1.2797974647636183</v>
      </c>
      <c r="F22" s="41">
        <f t="shared" ref="F22:G22" si="6">F17*(1-0.3)</f>
        <v>0.35575132038915414</v>
      </c>
      <c r="G22" s="41">
        <f t="shared" si="6"/>
        <v>1.3402687632279631E-2</v>
      </c>
      <c r="H22" s="3">
        <v>0</v>
      </c>
      <c r="I22" s="38">
        <f>($E$17-mp_fate[[#This Row],[Methane]])*'TSD Inputs'!$E$7</f>
        <v>31.785904219295524</v>
      </c>
      <c r="J22" s="36">
        <v>261.5144868545454</v>
      </c>
      <c r="K22" s="36">
        <v>753.12724630552725</v>
      </c>
    </row>
    <row r="23" spans="1:11" x14ac:dyDescent="0.25">
      <c r="A23" t="s">
        <v>57</v>
      </c>
      <c r="B23" t="s">
        <v>14</v>
      </c>
      <c r="C23">
        <v>0</v>
      </c>
      <c r="E23" s="4">
        <v>4.8028473147074475</v>
      </c>
      <c r="F23" s="18">
        <f>mp_fate[[#This Row],[Methane]]*'TSD Inputs'!$B$7</f>
        <v>1.3350700566907781</v>
      </c>
      <c r="G23" s="17">
        <f>mp_fate[[#This Row],[Methane]]*'TSD Inputs'!$C$7</f>
        <v>5.0297851087278425E-2</v>
      </c>
      <c r="H23" s="3">
        <v>0</v>
      </c>
      <c r="I23" s="40">
        <v>0</v>
      </c>
      <c r="J23" s="40">
        <v>0</v>
      </c>
      <c r="K23" s="40">
        <v>0</v>
      </c>
    </row>
    <row r="24" spans="1:11" x14ac:dyDescent="0.25">
      <c r="A24" t="s">
        <v>57</v>
      </c>
      <c r="B24" t="s">
        <v>15</v>
      </c>
      <c r="C24">
        <v>8</v>
      </c>
      <c r="E24" s="19">
        <f>E23*(1-0.4)</f>
        <v>2.8817083888244683</v>
      </c>
      <c r="F24" s="1">
        <f t="shared" ref="F24:G24" si="7">F23*(1-0.4)</f>
        <v>0.80104203401446683</v>
      </c>
      <c r="G24" s="1">
        <f t="shared" si="7"/>
        <v>3.0178710652367054E-2</v>
      </c>
      <c r="H24" s="3">
        <v>0</v>
      </c>
      <c r="I24" s="38">
        <f>($E$23-mp_fate[[#This Row],[Methane]])*'TSD Inputs'!$E$7</f>
        <v>111.33427410705923</v>
      </c>
      <c r="J24" s="39">
        <v>283.77103892727268</v>
      </c>
      <c r="K24" s="39">
        <v>1261.4324198110501</v>
      </c>
    </row>
    <row r="25" spans="1:11" x14ac:dyDescent="0.25">
      <c r="A25" t="s">
        <v>57</v>
      </c>
      <c r="B25" t="s">
        <v>16</v>
      </c>
      <c r="C25">
        <v>8</v>
      </c>
      <c r="E25" s="19">
        <f>E23*(1-0.6)</f>
        <v>1.9211389258829792</v>
      </c>
      <c r="F25" s="1">
        <f t="shared" ref="F25:G25" si="8">F23*(1-0.6)</f>
        <v>0.53402802267631122</v>
      </c>
      <c r="G25" s="1">
        <f t="shared" si="8"/>
        <v>2.0119140434911371E-2</v>
      </c>
      <c r="H25" s="3">
        <v>0</v>
      </c>
      <c r="I25" s="38">
        <f>($E$23-mp_fate[[#This Row],[Methane]])*'TSD Inputs'!$E$7</f>
        <v>167.00141116058882</v>
      </c>
      <c r="J25" s="39">
        <v>328.2841430727272</v>
      </c>
      <c r="K25" s="39">
        <v>2278.0427668221091</v>
      </c>
    </row>
    <row r="26" spans="1:11" x14ac:dyDescent="0.25">
      <c r="A26" s="20" t="s">
        <v>57</v>
      </c>
      <c r="B26" s="20" t="s">
        <v>17</v>
      </c>
      <c r="C26" s="20">
        <v>8</v>
      </c>
      <c r="D26" s="20"/>
      <c r="E26" s="22">
        <f>E23*(1-0.8)</f>
        <v>0.96056946294148926</v>
      </c>
      <c r="F26" s="21">
        <f t="shared" ref="F26:G26" si="9">F23*(1-0.8)</f>
        <v>0.26701401133815555</v>
      </c>
      <c r="G26" s="21">
        <f t="shared" si="9"/>
        <v>1.0059570217455682E-2</v>
      </c>
      <c r="H26" s="14">
        <v>0</v>
      </c>
      <c r="I26" s="14">
        <f>($E$23-mp_fate[[#This Row],[Methane]])*'TSD Inputs'!$E$7</f>
        <v>222.66854821411846</v>
      </c>
      <c r="J26" s="15">
        <f>J25*(J25/J24)</f>
        <v>379.7796949272726</v>
      </c>
      <c r="K26" s="15">
        <f>K25*(K25/K24)</f>
        <v>4113.9570903432641</v>
      </c>
    </row>
    <row r="27" spans="1:11" x14ac:dyDescent="0.25">
      <c r="A27" t="s">
        <v>57</v>
      </c>
      <c r="B27" t="s">
        <v>61</v>
      </c>
      <c r="C27">
        <v>8</v>
      </c>
      <c r="E27" s="37">
        <f>E23*(1-0.45)</f>
        <v>2.6415660230890965</v>
      </c>
      <c r="F27" s="37">
        <f>F23*(1-0.45)</f>
        <v>0.73428853117992798</v>
      </c>
      <c r="G27" s="37">
        <f>G23*(1-0.45)</f>
        <v>2.7663818098003137E-2</v>
      </c>
      <c r="H27" s="3">
        <v>0</v>
      </c>
      <c r="I27" s="38">
        <f>($E$23-mp_fate[[#This Row],[Methane]])*'TSD Inputs'!$E$7</f>
        <v>125.2510583704416</v>
      </c>
      <c r="J27" s="39">
        <v>294.8993149636363</v>
      </c>
      <c r="K27" s="39">
        <v>1515.5850065638178</v>
      </c>
    </row>
    <row r="28" spans="1:11" x14ac:dyDescent="0.25">
      <c r="A28" t="s">
        <v>57</v>
      </c>
      <c r="B28" t="s">
        <v>62</v>
      </c>
      <c r="C28">
        <v>8</v>
      </c>
      <c r="E28" s="41">
        <f>E23*(1-0.3)</f>
        <v>3.3619931202952129</v>
      </c>
      <c r="F28" s="41">
        <f t="shared" ref="F28:G28" si="10">F23*(1-0.3)</f>
        <v>0.93454903968354452</v>
      </c>
      <c r="G28" s="41">
        <f t="shared" si="10"/>
        <v>3.5208495761094895E-2</v>
      </c>
      <c r="H28" s="3">
        <v>0</v>
      </c>
      <c r="I28" s="38">
        <f>($E$23-mp_fate[[#This Row],[Methane]])*'TSD Inputs'!$E$7</f>
        <v>83.500705580294436</v>
      </c>
      <c r="J28" s="36">
        <v>261.5144868545454</v>
      </c>
      <c r="K28" s="36">
        <v>753.12724630552725</v>
      </c>
    </row>
    <row r="29" spans="1:11" x14ac:dyDescent="0.25">
      <c r="A29" t="s">
        <v>58</v>
      </c>
      <c r="B29" t="s">
        <v>14</v>
      </c>
      <c r="C29">
        <v>0</v>
      </c>
      <c r="E29" s="4">
        <v>2.6309882439460273</v>
      </c>
      <c r="F29" s="18">
        <f>mp_fate[[#This Row],[Methane]]*'TSD Inputs'!$B$7</f>
        <v>0.73134817616240444</v>
      </c>
      <c r="G29" s="17">
        <f>mp_fate[[#This Row],[Methane]]*'TSD Inputs'!$C$7</f>
        <v>2.7553042234164413E-2</v>
      </c>
      <c r="H29" s="3">
        <v>0</v>
      </c>
      <c r="I29" s="40">
        <v>0</v>
      </c>
      <c r="J29" s="40">
        <v>0</v>
      </c>
      <c r="K29" s="40">
        <v>0</v>
      </c>
    </row>
    <row r="30" spans="1:11" x14ac:dyDescent="0.25">
      <c r="A30" t="s">
        <v>58</v>
      </c>
      <c r="B30" t="s">
        <v>15</v>
      </c>
      <c r="C30">
        <v>8</v>
      </c>
      <c r="E30" s="19">
        <f>E29*(1-0.4)</f>
        <v>1.5785929463676163</v>
      </c>
      <c r="F30" s="1">
        <f t="shared" ref="F30:G30" si="11">F29*(1-0.4)</f>
        <v>0.43880890569744263</v>
      </c>
      <c r="G30" s="1">
        <f t="shared" si="11"/>
        <v>1.6531825340498647E-2</v>
      </c>
      <c r="H30" s="3">
        <v>0</v>
      </c>
      <c r="I30" s="38">
        <f>($E$29-mp_fate[[#This Row],[Methane]])*'TSD Inputs'!$E$7</f>
        <v>60.988648426725966</v>
      </c>
      <c r="J30" s="39">
        <v>283.77103892727268</v>
      </c>
      <c r="K30" s="39">
        <v>1261.4324198110501</v>
      </c>
    </row>
    <row r="31" spans="1:11" x14ac:dyDescent="0.25">
      <c r="A31" t="s">
        <v>58</v>
      </c>
      <c r="B31" t="s">
        <v>16</v>
      </c>
      <c r="C31">
        <v>8</v>
      </c>
      <c r="E31" s="19">
        <f>E29*(1-0.6)</f>
        <v>1.052395297578411</v>
      </c>
      <c r="F31" s="1">
        <f t="shared" ref="F31:G31" si="12">F29*(1-0.6)</f>
        <v>0.29253927046496181</v>
      </c>
      <c r="G31" s="1">
        <f t="shared" si="12"/>
        <v>1.1021216893665767E-2</v>
      </c>
      <c r="H31" s="3">
        <v>0</v>
      </c>
      <c r="I31" s="38">
        <f>($E$29-mp_fate[[#This Row],[Methane]])*'TSD Inputs'!$E$7</f>
        <v>91.482972640088931</v>
      </c>
      <c r="J31" s="39">
        <v>328.2841430727272</v>
      </c>
      <c r="K31" s="39">
        <v>2278.0427668221091</v>
      </c>
    </row>
    <row r="32" spans="1:11" x14ac:dyDescent="0.25">
      <c r="A32" s="20" t="s">
        <v>58</v>
      </c>
      <c r="B32" s="20" t="s">
        <v>17</v>
      </c>
      <c r="C32" s="20">
        <v>8</v>
      </c>
      <c r="D32" s="20"/>
      <c r="E32" s="22">
        <f>E29*(1-0.8)</f>
        <v>0.52619764878920539</v>
      </c>
      <c r="F32" s="21">
        <f t="shared" ref="F32:G32" si="13">F29*(1-0.8)</f>
        <v>0.14626963523248085</v>
      </c>
      <c r="G32" s="21">
        <f t="shared" si="13"/>
        <v>5.5106084468328816E-3</v>
      </c>
      <c r="H32" s="14">
        <v>0</v>
      </c>
      <c r="I32" s="14">
        <f>($E$29-mp_fate[[#This Row],[Methane]])*'TSD Inputs'!$E$7</f>
        <v>121.97729685345193</v>
      </c>
      <c r="J32" s="15">
        <f>J31*(J31/J30)</f>
        <v>379.7796949272726</v>
      </c>
      <c r="K32" s="15">
        <f>K31*(K31/K30)</f>
        <v>4113.9570903432641</v>
      </c>
    </row>
    <row r="33" spans="1:11" x14ac:dyDescent="0.25">
      <c r="A33" t="s">
        <v>58</v>
      </c>
      <c r="B33" t="s">
        <v>61</v>
      </c>
      <c r="C33">
        <v>8</v>
      </c>
      <c r="E33" s="37">
        <f>E29*(1-0.45)</f>
        <v>1.4470435341703152</v>
      </c>
      <c r="F33" s="37">
        <f>F29*(1-0.45)</f>
        <v>0.40224149688932248</v>
      </c>
      <c r="G33" s="37">
        <f>G29*(1-0.45)</f>
        <v>1.5154173228790429E-2</v>
      </c>
      <c r="H33" s="3">
        <v>0</v>
      </c>
      <c r="I33" s="38">
        <f>($E$29-mp_fate[[#This Row],[Methane]])*'TSD Inputs'!$E$7</f>
        <v>68.612229480066688</v>
      </c>
      <c r="J33" s="39">
        <v>294.8993149636363</v>
      </c>
      <c r="K33" s="39">
        <v>1515.5850065638178</v>
      </c>
    </row>
    <row r="34" spans="1:11" x14ac:dyDescent="0.25">
      <c r="A34" t="s">
        <v>58</v>
      </c>
      <c r="B34" t="s">
        <v>62</v>
      </c>
      <c r="C34">
        <v>8</v>
      </c>
      <c r="E34" s="41">
        <f>E29*(1-0.3)</f>
        <v>1.8416917707622189</v>
      </c>
      <c r="F34" s="41">
        <f t="shared" ref="F34:G34" si="14">F29*(1-0.3)</f>
        <v>0.5119437233136831</v>
      </c>
      <c r="G34" s="41">
        <f t="shared" si="14"/>
        <v>1.9287129563915088E-2</v>
      </c>
      <c r="H34" s="3">
        <v>0</v>
      </c>
      <c r="I34" s="38">
        <f>($E$29-mp_fate[[#This Row],[Methane]])*'TSD Inputs'!$E$7</f>
        <v>45.74148632004448</v>
      </c>
      <c r="J34" s="36">
        <v>261.5144868545454</v>
      </c>
      <c r="K34" s="36">
        <v>753.12724630552725</v>
      </c>
    </row>
    <row r="35" spans="1:11" x14ac:dyDescent="0.25">
      <c r="A35" t="s">
        <v>2</v>
      </c>
      <c r="B35" t="s">
        <v>14</v>
      </c>
      <c r="C35">
        <v>0</v>
      </c>
      <c r="E35" s="1">
        <v>35.142554908153983</v>
      </c>
      <c r="F35" s="1">
        <v>9.7687412693330202</v>
      </c>
      <c r="G35" s="1">
        <v>0.36899682653561683</v>
      </c>
      <c r="H35" s="3">
        <v>0</v>
      </c>
      <c r="I35" s="38">
        <v>0</v>
      </c>
      <c r="J35" s="39">
        <v>0</v>
      </c>
      <c r="K35" s="39">
        <v>0</v>
      </c>
    </row>
    <row r="36" spans="1:11" x14ac:dyDescent="0.25">
      <c r="A36" t="s">
        <v>2</v>
      </c>
      <c r="B36" t="s">
        <v>15</v>
      </c>
      <c r="C36">
        <v>8</v>
      </c>
      <c r="E36" s="1">
        <f t="shared" ref="E36:G36" si="15">E35*(1-0.4)</f>
        <v>21.085532944892389</v>
      </c>
      <c r="F36" s="1">
        <f t="shared" si="15"/>
        <v>5.8612447615998118</v>
      </c>
      <c r="G36" s="1">
        <f t="shared" si="15"/>
        <v>0.22139809592137008</v>
      </c>
      <c r="H36" s="3">
        <v>0</v>
      </c>
      <c r="I36" s="38">
        <v>814.63569099637687</v>
      </c>
      <c r="J36" s="39">
        <v>900.59548208571414</v>
      </c>
      <c r="K36" s="39">
        <v>8037.1544279392938</v>
      </c>
    </row>
    <row r="37" spans="1:11" x14ac:dyDescent="0.25">
      <c r="A37" t="s">
        <v>2</v>
      </c>
      <c r="B37" t="s">
        <v>16</v>
      </c>
      <c r="C37">
        <v>8</v>
      </c>
      <c r="E37" s="1">
        <f t="shared" ref="E37:G37" si="16">E35*(1-0.6)</f>
        <v>14.057021963261594</v>
      </c>
      <c r="F37" s="1">
        <f t="shared" si="16"/>
        <v>3.9074965077332084</v>
      </c>
      <c r="G37" s="1">
        <f t="shared" si="16"/>
        <v>0.14759873061424675</v>
      </c>
      <c r="H37" s="3">
        <v>0</v>
      </c>
      <c r="I37" s="38">
        <v>1221.9535364945652</v>
      </c>
      <c r="J37" s="39">
        <v>900.59548208571414</v>
      </c>
      <c r="K37" s="39">
        <v>14209.731620893694</v>
      </c>
    </row>
    <row r="38" spans="1:11" x14ac:dyDescent="0.25">
      <c r="A38" t="s">
        <v>2</v>
      </c>
      <c r="B38" t="s">
        <v>17</v>
      </c>
      <c r="C38">
        <v>8</v>
      </c>
      <c r="E38" s="1">
        <f t="shared" ref="E38:G38" si="17">E35*(1-0.8)</f>
        <v>7.0285109816307951</v>
      </c>
      <c r="F38" s="1">
        <f t="shared" si="17"/>
        <v>1.9537482538666036</v>
      </c>
      <c r="G38" s="1">
        <f t="shared" si="17"/>
        <v>7.3799365307123346E-2</v>
      </c>
      <c r="H38" s="3">
        <v>0</v>
      </c>
      <c r="I38" s="38">
        <v>1629.2713819927537</v>
      </c>
      <c r="J38" s="39">
        <v>900.59548208571414</v>
      </c>
      <c r="K38" s="39">
        <v>26554.886006802499</v>
      </c>
    </row>
    <row r="39" spans="1:11" x14ac:dyDescent="0.25">
      <c r="A39" t="s">
        <v>3</v>
      </c>
      <c r="B39" t="s">
        <v>14</v>
      </c>
      <c r="C39">
        <v>0</v>
      </c>
      <c r="E39" s="1">
        <v>40.391236905</v>
      </c>
      <c r="F39" s="1">
        <v>1.1188372622684999</v>
      </c>
      <c r="G39" s="1">
        <v>3.3201596735909999E-2</v>
      </c>
      <c r="H39" s="3">
        <v>0</v>
      </c>
      <c r="I39" s="38">
        <v>0</v>
      </c>
      <c r="J39" s="39">
        <v>0</v>
      </c>
      <c r="K39" s="39">
        <v>0</v>
      </c>
    </row>
    <row r="40" spans="1:11" x14ac:dyDescent="0.25">
      <c r="A40" t="s">
        <v>3</v>
      </c>
      <c r="B40" t="s">
        <v>15</v>
      </c>
      <c r="C40">
        <v>8</v>
      </c>
      <c r="E40" s="1">
        <f t="shared" ref="E40:G40" si="18">E39*(1-0.4)</f>
        <v>24.234742142999998</v>
      </c>
      <c r="F40" s="1">
        <f t="shared" si="18"/>
        <v>0.67130235736109989</v>
      </c>
      <c r="G40" s="1">
        <f t="shared" si="18"/>
        <v>1.9920958041545998E-2</v>
      </c>
      <c r="H40" s="3">
        <v>0</v>
      </c>
      <c r="I40" s="38">
        <v>836.41884402659832</v>
      </c>
      <c r="J40" s="39">
        <v>5936.9352653999995</v>
      </c>
      <c r="K40" s="39">
        <v>8796.4037907345373</v>
      </c>
    </row>
    <row r="41" spans="1:11" x14ac:dyDescent="0.25">
      <c r="A41" t="s">
        <v>3</v>
      </c>
      <c r="B41" t="s">
        <v>16</v>
      </c>
      <c r="C41">
        <v>8</v>
      </c>
      <c r="E41" s="1">
        <f t="shared" ref="E41:G41" si="19">E39*(1-0.6)</f>
        <v>16.156494762000001</v>
      </c>
      <c r="F41" s="1">
        <f t="shared" si="19"/>
        <v>0.4475349049074</v>
      </c>
      <c r="G41" s="1">
        <f t="shared" si="19"/>
        <v>1.3280638694364001E-2</v>
      </c>
      <c r="H41" s="3">
        <v>0</v>
      </c>
      <c r="I41" s="38">
        <v>1254.6282660398974</v>
      </c>
      <c r="J41" s="39">
        <v>5936.9352653999995</v>
      </c>
      <c r="K41" s="39">
        <v>14884.794522972536</v>
      </c>
    </row>
    <row r="42" spans="1:11" x14ac:dyDescent="0.25">
      <c r="A42" t="s">
        <v>3</v>
      </c>
      <c r="B42" t="s">
        <v>17</v>
      </c>
      <c r="C42">
        <v>8</v>
      </c>
      <c r="E42" s="1">
        <f t="shared" ref="E42:G42" si="20">E39*(1-0.8)</f>
        <v>8.0782473809999988</v>
      </c>
      <c r="F42" s="1">
        <f t="shared" si="20"/>
        <v>0.22376745245369992</v>
      </c>
      <c r="G42" s="1">
        <f t="shared" si="20"/>
        <v>6.6403193471819989E-3</v>
      </c>
      <c r="H42" s="3">
        <v>0</v>
      </c>
      <c r="I42" s="38">
        <v>1672.8376880531966</v>
      </c>
      <c r="J42" s="39">
        <v>5936.9352653999995</v>
      </c>
      <c r="K42" s="39">
        <v>27061.575987448537</v>
      </c>
    </row>
    <row r="43" spans="1:11" x14ac:dyDescent="0.25">
      <c r="A43" t="s">
        <v>4</v>
      </c>
      <c r="B43" t="s">
        <v>14</v>
      </c>
      <c r="C43">
        <v>0</v>
      </c>
      <c r="E43" s="1">
        <v>142.438731015</v>
      </c>
      <c r="F43" s="1">
        <v>3.9455528491154999</v>
      </c>
      <c r="G43" s="1">
        <v>0.11708463689433</v>
      </c>
      <c r="H43" s="3">
        <v>0</v>
      </c>
      <c r="I43" s="38">
        <v>0</v>
      </c>
      <c r="J43" s="39">
        <v>0</v>
      </c>
      <c r="K43" s="39">
        <v>0</v>
      </c>
    </row>
    <row r="44" spans="1:11" x14ac:dyDescent="0.25">
      <c r="A44" t="s">
        <v>4</v>
      </c>
      <c r="B44" t="s">
        <v>15</v>
      </c>
      <c r="C44">
        <v>8</v>
      </c>
      <c r="E44" s="1">
        <f>E43*(1-0.4)</f>
        <v>85.463238609000001</v>
      </c>
      <c r="F44" s="1">
        <f t="shared" ref="F44:G44" si="21">F43*(1-0.4)</f>
        <v>2.3673317094692998</v>
      </c>
      <c r="G44" s="1">
        <f t="shared" si="21"/>
        <v>7.0250782136597995E-2</v>
      </c>
      <c r="H44" s="3">
        <v>0</v>
      </c>
      <c r="I44" s="38">
        <v>2949.6110510404751</v>
      </c>
      <c r="J44" s="39">
        <v>5936.9352653999995</v>
      </c>
      <c r="K44" s="39">
        <v>12837.353905121738</v>
      </c>
    </row>
    <row r="45" spans="1:11" x14ac:dyDescent="0.25">
      <c r="A45" t="s">
        <v>4</v>
      </c>
      <c r="B45" t="s">
        <v>16</v>
      </c>
      <c r="C45">
        <v>8</v>
      </c>
      <c r="E45" s="1">
        <f>E43*(1-0.6)</f>
        <v>56.975492406000001</v>
      </c>
      <c r="F45" s="1">
        <f t="shared" ref="F45:G45" si="22">F43*(1-0.6)</f>
        <v>1.5782211396462</v>
      </c>
      <c r="G45" s="1">
        <f t="shared" si="22"/>
        <v>4.6833854757732003E-2</v>
      </c>
      <c r="H45" s="3">
        <v>0</v>
      </c>
      <c r="I45" s="38">
        <v>4424.4165765607131</v>
      </c>
      <c r="J45" s="39">
        <v>5936.9352653999995</v>
      </c>
      <c r="K45" s="39">
        <v>22966.694751746938</v>
      </c>
    </row>
    <row r="46" spans="1:11" x14ac:dyDescent="0.25">
      <c r="A46" t="s">
        <v>4</v>
      </c>
      <c r="B46" t="s">
        <v>17</v>
      </c>
      <c r="C46">
        <v>8</v>
      </c>
      <c r="E46" s="1">
        <f>E43*(1-0.8)</f>
        <v>28.487746202999993</v>
      </c>
      <c r="F46" s="1">
        <f t="shared" ref="F46:G46" si="23">F43*(1-0.8)</f>
        <v>0.78911056982309979</v>
      </c>
      <c r="G46" s="1">
        <f t="shared" si="23"/>
        <v>2.3416927378865995E-2</v>
      </c>
      <c r="H46" s="3">
        <v>0</v>
      </c>
      <c r="I46" s="38">
        <v>5899.2221020809502</v>
      </c>
      <c r="J46" s="39">
        <v>5936.9352653999995</v>
      </c>
      <c r="K46" s="39">
        <v>43225.376444997339</v>
      </c>
    </row>
    <row r="47" spans="1:11" x14ac:dyDescent="0.25">
      <c r="A47" t="s">
        <v>5</v>
      </c>
      <c r="B47" t="s">
        <v>13</v>
      </c>
      <c r="C47">
        <v>0</v>
      </c>
      <c r="E47" s="1">
        <v>3.4605740832898051</v>
      </c>
      <c r="F47" s="1">
        <v>0.96203959515456594</v>
      </c>
      <c r="G47" s="1">
        <v>3.6336027874542959E-2</v>
      </c>
      <c r="H47" s="3">
        <v>0</v>
      </c>
      <c r="I47" s="38">
        <v>0</v>
      </c>
      <c r="J47" s="39">
        <v>0</v>
      </c>
      <c r="K47" s="39">
        <v>0</v>
      </c>
    </row>
    <row r="48" spans="1:11" x14ac:dyDescent="0.25">
      <c r="A48" t="s">
        <v>5</v>
      </c>
      <c r="B48" t="s">
        <v>21</v>
      </c>
      <c r="C48">
        <v>10</v>
      </c>
      <c r="E48" s="1">
        <v>0.17302870416449023</v>
      </c>
      <c r="F48" s="1">
        <v>4.8101979757728341E-2</v>
      </c>
      <c r="G48" s="1">
        <v>1.8168013937271479E-3</v>
      </c>
      <c r="H48" s="3">
        <v>190.52056748613745</v>
      </c>
      <c r="I48" s="14">
        <v>0</v>
      </c>
      <c r="J48" s="15">
        <v>5433</v>
      </c>
      <c r="K48" s="15">
        <v>0</v>
      </c>
    </row>
    <row r="49" spans="1:11" x14ac:dyDescent="0.25">
      <c r="A49" t="s">
        <v>5</v>
      </c>
      <c r="B49" t="s">
        <v>22</v>
      </c>
      <c r="C49">
        <v>10</v>
      </c>
      <c r="E49" s="1">
        <v>0.17302870416449023</v>
      </c>
      <c r="F49" s="1">
        <v>4.8101979757728341E-2</v>
      </c>
      <c r="G49" s="1">
        <v>1.8168013937271479E-3</v>
      </c>
      <c r="H49" s="3">
        <v>190.52056748613745</v>
      </c>
      <c r="I49" s="14">
        <v>0</v>
      </c>
      <c r="J49" s="15">
        <v>5433</v>
      </c>
      <c r="K49" s="15">
        <v>0</v>
      </c>
    </row>
    <row r="50" spans="1:11" x14ac:dyDescent="0.25">
      <c r="A50" t="s">
        <v>36</v>
      </c>
      <c r="B50" t="s">
        <v>35</v>
      </c>
      <c r="C50">
        <v>0</v>
      </c>
      <c r="E50" s="1">
        <v>0</v>
      </c>
      <c r="F50" s="1">
        <v>0</v>
      </c>
      <c r="G50" s="1">
        <v>0</v>
      </c>
      <c r="H50" s="3">
        <v>0</v>
      </c>
      <c r="I50" s="14">
        <v>0</v>
      </c>
      <c r="J50" s="15">
        <v>0</v>
      </c>
      <c r="K50" s="15">
        <v>0</v>
      </c>
    </row>
    <row r="51" spans="1:11" x14ac:dyDescent="0.25">
      <c r="A51" t="s">
        <v>36</v>
      </c>
      <c r="B51" t="s">
        <v>33</v>
      </c>
      <c r="C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2">
        <v>546.66</v>
      </c>
      <c r="K51" s="2">
        <v>0</v>
      </c>
    </row>
    <row r="52" spans="1:11" x14ac:dyDescent="0.25">
      <c r="A52" t="s">
        <v>36</v>
      </c>
      <c r="B52" t="s">
        <v>34</v>
      </c>
      <c r="C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2">
        <v>358.09</v>
      </c>
      <c r="K52" s="2">
        <v>0</v>
      </c>
    </row>
    <row r="54" spans="1:11" x14ac:dyDescent="0.25">
      <c r="E54" s="1"/>
      <c r="F54" s="1"/>
      <c r="G54" s="1"/>
    </row>
    <row r="55" spans="1:11" x14ac:dyDescent="0.25">
      <c r="E55" s="1"/>
      <c r="F55" s="1"/>
    </row>
    <row r="56" spans="1:11" x14ac:dyDescent="0.25">
      <c r="E56" s="1"/>
      <c r="F5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28" sqref="B28"/>
    </sheetView>
  </sheetViews>
  <sheetFormatPr defaultRowHeight="15" x14ac:dyDescent="0.25"/>
  <cols>
    <col min="1" max="1" width="24.42578125" customWidth="1"/>
    <col min="2" max="2" width="30.42578125" customWidth="1"/>
  </cols>
  <sheetData>
    <row r="1" spans="1:2" x14ac:dyDescent="0.25">
      <c r="A1" s="34" t="s">
        <v>0</v>
      </c>
      <c r="B1" s="34" t="s">
        <v>6</v>
      </c>
    </row>
    <row r="2" spans="1:2" x14ac:dyDescent="0.25">
      <c r="A2" s="33" t="s">
        <v>60</v>
      </c>
      <c r="B2" s="33" t="s">
        <v>14</v>
      </c>
    </row>
    <row r="3" spans="1:2" x14ac:dyDescent="0.25">
      <c r="A3" s="33" t="s">
        <v>60</v>
      </c>
      <c r="B3" s="33" t="s">
        <v>15</v>
      </c>
    </row>
    <row r="4" spans="1:2" x14ac:dyDescent="0.25">
      <c r="A4" s="33" t="s">
        <v>60</v>
      </c>
      <c r="B4" s="33" t="s">
        <v>16</v>
      </c>
    </row>
    <row r="5" spans="1:2" x14ac:dyDescent="0.25">
      <c r="A5" s="33" t="s">
        <v>60</v>
      </c>
      <c r="B5" s="33" t="s">
        <v>61</v>
      </c>
    </row>
    <row r="6" spans="1:2" x14ac:dyDescent="0.25">
      <c r="A6" s="33" t="s">
        <v>32</v>
      </c>
      <c r="B6" s="33" t="s">
        <v>14</v>
      </c>
    </row>
    <row r="7" spans="1:2" x14ac:dyDescent="0.25">
      <c r="A7" s="33" t="s">
        <v>32</v>
      </c>
      <c r="B7" s="33" t="s">
        <v>15</v>
      </c>
    </row>
    <row r="8" spans="1:2" x14ac:dyDescent="0.25">
      <c r="A8" s="33" t="s">
        <v>32</v>
      </c>
      <c r="B8" s="33" t="s">
        <v>16</v>
      </c>
    </row>
    <row r="9" spans="1:2" x14ac:dyDescent="0.25">
      <c r="A9" s="33" t="s">
        <v>32</v>
      </c>
      <c r="B9" s="33" t="s">
        <v>61</v>
      </c>
    </row>
    <row r="10" spans="1:2" x14ac:dyDescent="0.25">
      <c r="A10" s="33" t="s">
        <v>1</v>
      </c>
      <c r="B10" s="33" t="s">
        <v>14</v>
      </c>
    </row>
    <row r="11" spans="1:2" x14ac:dyDescent="0.25">
      <c r="A11" s="33" t="s">
        <v>1</v>
      </c>
      <c r="B11" s="33" t="s">
        <v>15</v>
      </c>
    </row>
    <row r="12" spans="1:2" x14ac:dyDescent="0.25">
      <c r="A12" s="33" t="s">
        <v>1</v>
      </c>
      <c r="B12" s="33" t="s">
        <v>16</v>
      </c>
    </row>
    <row r="13" spans="1:2" x14ac:dyDescent="0.25">
      <c r="A13" s="33" t="s">
        <v>1</v>
      </c>
      <c r="B13" s="33" t="s">
        <v>61</v>
      </c>
    </row>
    <row r="14" spans="1:2" x14ac:dyDescent="0.25">
      <c r="A14" s="33" t="s">
        <v>57</v>
      </c>
      <c r="B14" s="33" t="s">
        <v>14</v>
      </c>
    </row>
    <row r="15" spans="1:2" x14ac:dyDescent="0.25">
      <c r="A15" s="33" t="s">
        <v>57</v>
      </c>
      <c r="B15" s="33" t="s">
        <v>15</v>
      </c>
    </row>
    <row r="16" spans="1:2" x14ac:dyDescent="0.25">
      <c r="A16" s="33" t="s">
        <v>57</v>
      </c>
      <c r="B16" s="33" t="s">
        <v>16</v>
      </c>
    </row>
    <row r="17" spans="1:2" x14ac:dyDescent="0.25">
      <c r="A17" s="33" t="s">
        <v>57</v>
      </c>
      <c r="B17" s="33" t="s">
        <v>61</v>
      </c>
    </row>
    <row r="18" spans="1:2" x14ac:dyDescent="0.25">
      <c r="A18" s="33" t="s">
        <v>57</v>
      </c>
      <c r="B18" s="33" t="s">
        <v>62</v>
      </c>
    </row>
    <row r="19" spans="1:2" x14ac:dyDescent="0.25">
      <c r="A19" s="33" t="s">
        <v>58</v>
      </c>
      <c r="B19" s="33" t="s">
        <v>14</v>
      </c>
    </row>
    <row r="20" spans="1:2" x14ac:dyDescent="0.25">
      <c r="A20" s="33" t="s">
        <v>58</v>
      </c>
      <c r="B20" s="33" t="s">
        <v>15</v>
      </c>
    </row>
    <row r="21" spans="1:2" x14ac:dyDescent="0.25">
      <c r="A21" s="33" t="s">
        <v>58</v>
      </c>
      <c r="B21" s="33" t="s">
        <v>16</v>
      </c>
    </row>
    <row r="22" spans="1:2" x14ac:dyDescent="0.25">
      <c r="A22" s="33" t="s">
        <v>58</v>
      </c>
      <c r="B22" s="33" t="s">
        <v>61</v>
      </c>
    </row>
    <row r="23" spans="1:2" x14ac:dyDescent="0.25">
      <c r="A23" s="33" t="s">
        <v>58</v>
      </c>
      <c r="B23" s="33" t="s">
        <v>62</v>
      </c>
    </row>
    <row r="24" spans="1:2" x14ac:dyDescent="0.25">
      <c r="A24" s="33" t="s">
        <v>59</v>
      </c>
      <c r="B24" s="33" t="s">
        <v>14</v>
      </c>
    </row>
    <row r="25" spans="1:2" x14ac:dyDescent="0.25">
      <c r="A25" s="33" t="s">
        <v>59</v>
      </c>
      <c r="B25" s="33" t="s">
        <v>15</v>
      </c>
    </row>
    <row r="26" spans="1:2" x14ac:dyDescent="0.25">
      <c r="A26" s="33" t="s">
        <v>59</v>
      </c>
      <c r="B26" s="33" t="s">
        <v>16</v>
      </c>
    </row>
    <row r="27" spans="1:2" x14ac:dyDescent="0.25">
      <c r="A27" s="33" t="s">
        <v>59</v>
      </c>
      <c r="B27" s="33" t="s">
        <v>61</v>
      </c>
    </row>
    <row r="28" spans="1:2" x14ac:dyDescent="0.25">
      <c r="A28" s="33" t="s">
        <v>59</v>
      </c>
      <c r="B28" s="33" t="s">
        <v>62</v>
      </c>
    </row>
    <row r="29" spans="1:2" x14ac:dyDescent="0.25">
      <c r="A29" s="33" t="s">
        <v>2</v>
      </c>
      <c r="B29" s="33" t="s">
        <v>14</v>
      </c>
    </row>
    <row r="30" spans="1:2" x14ac:dyDescent="0.25">
      <c r="A30" s="33" t="s">
        <v>2</v>
      </c>
      <c r="B30" s="33" t="s">
        <v>15</v>
      </c>
    </row>
    <row r="31" spans="1:2" x14ac:dyDescent="0.25">
      <c r="A31" s="33" t="s">
        <v>2</v>
      </c>
      <c r="B31" s="33" t="s">
        <v>16</v>
      </c>
    </row>
    <row r="32" spans="1:2" x14ac:dyDescent="0.25">
      <c r="A32" s="33" t="s">
        <v>2</v>
      </c>
      <c r="B32" s="33" t="s">
        <v>17</v>
      </c>
    </row>
    <row r="33" spans="1:2" x14ac:dyDescent="0.25">
      <c r="A33" s="33" t="s">
        <v>3</v>
      </c>
      <c r="B33" s="33" t="s">
        <v>14</v>
      </c>
    </row>
    <row r="34" spans="1:2" x14ac:dyDescent="0.25">
      <c r="A34" s="33" t="s">
        <v>3</v>
      </c>
      <c r="B34" s="33" t="s">
        <v>15</v>
      </c>
    </row>
    <row r="35" spans="1:2" x14ac:dyDescent="0.25">
      <c r="A35" s="33" t="s">
        <v>3</v>
      </c>
      <c r="B35" s="33" t="s">
        <v>16</v>
      </c>
    </row>
    <row r="36" spans="1:2" x14ac:dyDescent="0.25">
      <c r="A36" s="33" t="s">
        <v>3</v>
      </c>
      <c r="B36" s="33" t="s">
        <v>17</v>
      </c>
    </row>
    <row r="37" spans="1:2" x14ac:dyDescent="0.25">
      <c r="A37" s="33" t="s">
        <v>4</v>
      </c>
      <c r="B37" s="33" t="s">
        <v>14</v>
      </c>
    </row>
    <row r="38" spans="1:2" x14ac:dyDescent="0.25">
      <c r="A38" s="33" t="s">
        <v>4</v>
      </c>
      <c r="B38" s="33" t="s">
        <v>15</v>
      </c>
    </row>
    <row r="39" spans="1:2" x14ac:dyDescent="0.25">
      <c r="A39" s="33" t="s">
        <v>4</v>
      </c>
      <c r="B39" s="33" t="s">
        <v>16</v>
      </c>
    </row>
    <row r="40" spans="1:2" x14ac:dyDescent="0.25">
      <c r="A40" s="33" t="s">
        <v>4</v>
      </c>
      <c r="B40" s="33" t="s">
        <v>17</v>
      </c>
    </row>
    <row r="41" spans="1:2" x14ac:dyDescent="0.25">
      <c r="A41" s="33" t="s">
        <v>36</v>
      </c>
      <c r="B41" s="33" t="s">
        <v>35</v>
      </c>
    </row>
    <row r="42" spans="1:2" x14ac:dyDescent="0.25">
      <c r="A42" s="33" t="s">
        <v>36</v>
      </c>
      <c r="B42" s="33" t="s">
        <v>33</v>
      </c>
    </row>
    <row r="43" spans="1:2" x14ac:dyDescent="0.25">
      <c r="A43" s="35" t="s">
        <v>36</v>
      </c>
      <c r="B43" s="35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TSD Inputs</vt:lpstr>
      <vt:lpstr>mp_fates_2018_tech</vt:lpstr>
      <vt:lpstr>tsdopts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2018-06-14T18:43:57Z</dcterms:modified>
</cp:coreProperties>
</file>