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0Data\"/>
    </mc:Choice>
  </mc:AlternateContent>
  <xr:revisionPtr revIDLastSave="0" documentId="13_ncr:1_{81A30087-B7A8-425F-9E7E-9A44BBD304B5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C97" i="1"/>
  <c r="C96" i="1"/>
  <c r="C95" i="1"/>
  <c r="C94" i="1"/>
  <c r="C93" i="1"/>
  <c r="C92" i="1"/>
  <c r="C91" i="1"/>
  <c r="C90" i="1"/>
  <c r="C87" i="1"/>
  <c r="C86" i="1"/>
  <c r="C85" i="1"/>
  <c r="C84" i="1"/>
  <c r="C83" i="1"/>
  <c r="C82" i="1"/>
  <c r="C81" i="1"/>
  <c r="C80" i="1"/>
  <c r="C79" i="1"/>
  <c r="C78" i="1"/>
  <c r="C67" i="1"/>
  <c r="C68" i="1"/>
  <c r="C69" i="1"/>
  <c r="C70" i="1"/>
  <c r="C71" i="1"/>
  <c r="C72" i="1"/>
  <c r="C73" i="1"/>
  <c r="C74" i="1"/>
  <c r="C75" i="1"/>
  <c r="C66" i="1"/>
  <c r="B100" i="1"/>
  <c r="C100" i="1" s="1"/>
  <c r="B88" i="1"/>
  <c r="C88" i="1" s="1"/>
  <c r="B76" i="1"/>
  <c r="C76" i="1" s="1"/>
  <c r="B101" i="1"/>
  <c r="C101" i="1" s="1"/>
  <c r="B89" i="1"/>
  <c r="C89" i="1" s="1"/>
  <c r="B77" i="1"/>
  <c r="C77" i="1" s="1"/>
  <c r="B99" i="1"/>
  <c r="B98" i="1"/>
  <c r="B97" i="1"/>
  <c r="B96" i="1"/>
  <c r="B95" i="1"/>
  <c r="B94" i="1"/>
  <c r="B93" i="1"/>
  <c r="B92" i="1"/>
  <c r="B91" i="1"/>
  <c r="B90" i="1"/>
  <c r="B87" i="1"/>
  <c r="B86" i="1"/>
  <c r="B85" i="1"/>
  <c r="B84" i="1"/>
  <c r="B83" i="1"/>
  <c r="B82" i="1"/>
  <c r="B81" i="1"/>
  <c r="B80" i="1"/>
  <c r="B79" i="1"/>
  <c r="B78" i="1"/>
  <c r="B67" i="1"/>
  <c r="B68" i="1"/>
  <c r="B69" i="1"/>
  <c r="B70" i="1"/>
  <c r="B71" i="1"/>
  <c r="B72" i="1"/>
  <c r="B73" i="1"/>
  <c r="B74" i="1"/>
  <c r="B75" i="1"/>
  <c r="B66" i="1"/>
  <c r="B102" i="1"/>
  <c r="C102" i="1" s="1"/>
  <c r="B103" i="1"/>
  <c r="C103" i="1" s="1"/>
  <c r="B104" i="1"/>
  <c r="C104" i="1" s="1"/>
  <c r="U101" i="1" l="1"/>
  <c r="T101" i="1"/>
  <c r="S101" i="1"/>
  <c r="U89" i="1"/>
  <c r="T89" i="1"/>
  <c r="S89" i="1"/>
  <c r="U77" i="1"/>
  <c r="T77" i="1"/>
  <c r="S77" i="1"/>
  <c r="K28" i="1" l="1"/>
  <c r="G30" i="1"/>
  <c r="G28" i="1"/>
  <c r="C30" i="1"/>
  <c r="C28" i="1"/>
  <c r="S30" i="1"/>
  <c r="S28" i="1"/>
  <c r="Q30" i="1"/>
  <c r="Q28" i="1"/>
  <c r="O30" i="1"/>
  <c r="O28" i="1"/>
  <c r="E59" i="1" l="1"/>
  <c r="J102" i="1"/>
  <c r="J76" i="1"/>
  <c r="P76" i="1" s="1"/>
  <c r="J101" i="1"/>
  <c r="J77" i="1"/>
  <c r="J103" i="1"/>
  <c r="J89" i="1"/>
  <c r="J104" i="1"/>
  <c r="K100" i="1"/>
  <c r="Q100" i="1" s="1"/>
  <c r="K102" i="1"/>
  <c r="K88" i="1"/>
  <c r="Q88" i="1" s="1"/>
  <c r="K101" i="1"/>
  <c r="K77" i="1"/>
  <c r="K103" i="1"/>
  <c r="K76" i="1"/>
  <c r="Q76" i="1" s="1"/>
  <c r="K104" i="1"/>
  <c r="K89" i="1"/>
  <c r="F59" i="1"/>
  <c r="I59" i="1" s="1"/>
  <c r="M76" i="1"/>
  <c r="M82" i="1"/>
  <c r="M84" i="1"/>
  <c r="M86" i="1"/>
  <c r="M88" i="1"/>
  <c r="M90" i="1"/>
  <c r="M92" i="1"/>
  <c r="M98" i="1"/>
  <c r="M100" i="1"/>
  <c r="M104" i="1"/>
  <c r="M67" i="1"/>
  <c r="M94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66" i="1"/>
  <c r="M68" i="1"/>
  <c r="M70" i="1"/>
  <c r="M72" i="1"/>
  <c r="M74" i="1"/>
  <c r="M78" i="1"/>
  <c r="M80" i="1"/>
  <c r="M96" i="1"/>
  <c r="M102" i="1"/>
  <c r="O79" i="1"/>
  <c r="O95" i="1"/>
  <c r="O101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67" i="1"/>
  <c r="O69" i="1"/>
  <c r="O71" i="1"/>
  <c r="O73" i="1"/>
  <c r="O75" i="1"/>
  <c r="O77" i="1"/>
  <c r="O81" i="1"/>
  <c r="O83" i="1"/>
  <c r="O85" i="1"/>
  <c r="O87" i="1"/>
  <c r="O89" i="1"/>
  <c r="O91" i="1"/>
  <c r="O93" i="1"/>
  <c r="O97" i="1"/>
  <c r="O99" i="1"/>
  <c r="O103" i="1"/>
  <c r="O66" i="1"/>
  <c r="N68" i="1"/>
  <c r="N72" i="1"/>
  <c r="N74" i="1"/>
  <c r="N80" i="1"/>
  <c r="N86" i="1"/>
  <c r="N92" i="1"/>
  <c r="N98" i="1"/>
  <c r="N104" i="1"/>
  <c r="N66" i="1"/>
  <c r="N73" i="1"/>
  <c r="N77" i="1"/>
  <c r="N81" i="1"/>
  <c r="N85" i="1"/>
  <c r="N91" i="1"/>
  <c r="N95" i="1"/>
  <c r="N99" i="1"/>
  <c r="N69" i="1"/>
  <c r="N67" i="1"/>
  <c r="N70" i="1"/>
  <c r="N76" i="1"/>
  <c r="N78" i="1"/>
  <c r="N82" i="1"/>
  <c r="N84" i="1"/>
  <c r="N88" i="1"/>
  <c r="N90" i="1"/>
  <c r="N94" i="1"/>
  <c r="N96" i="1"/>
  <c r="N100" i="1"/>
  <c r="N102" i="1"/>
  <c r="N71" i="1"/>
  <c r="N75" i="1"/>
  <c r="N79" i="1"/>
  <c r="N83" i="1"/>
  <c r="N87" i="1"/>
  <c r="N89" i="1"/>
  <c r="N93" i="1"/>
  <c r="N97" i="1"/>
  <c r="N101" i="1"/>
  <c r="N103" i="1"/>
  <c r="M26" i="1"/>
  <c r="M30" i="1" l="1"/>
  <c r="M28" i="1"/>
  <c r="L79" i="1" s="1"/>
  <c r="K30" i="1"/>
  <c r="K26" i="1"/>
  <c r="I30" i="1"/>
  <c r="I28" i="1"/>
  <c r="I26" i="1"/>
  <c r="G26" i="1"/>
  <c r="E30" i="1"/>
  <c r="E28" i="1"/>
  <c r="E26" i="1"/>
  <c r="C26" i="1"/>
  <c r="J91" i="1" l="1"/>
  <c r="J99" i="1"/>
  <c r="J67" i="1"/>
  <c r="J71" i="1"/>
  <c r="J75" i="1"/>
  <c r="J83" i="1"/>
  <c r="J78" i="1"/>
  <c r="J87" i="1"/>
  <c r="J66" i="1"/>
  <c r="J79" i="1"/>
  <c r="J73" i="1"/>
  <c r="J92" i="1"/>
  <c r="J100" i="1"/>
  <c r="P100" i="1" s="1"/>
  <c r="J72" i="1"/>
  <c r="J68" i="1"/>
  <c r="J84" i="1"/>
  <c r="J93" i="1"/>
  <c r="J85" i="1"/>
  <c r="J95" i="1"/>
  <c r="J97" i="1"/>
  <c r="J70" i="1"/>
  <c r="J88" i="1"/>
  <c r="P88" i="1" s="1"/>
  <c r="J82" i="1"/>
  <c r="J96" i="1"/>
  <c r="J81" i="1"/>
  <c r="J69" i="1"/>
  <c r="J74" i="1"/>
  <c r="J80" i="1"/>
  <c r="J94" i="1"/>
  <c r="J90" i="1"/>
  <c r="J86" i="1"/>
  <c r="J98" i="1"/>
  <c r="K93" i="1"/>
  <c r="K86" i="1"/>
  <c r="K87" i="1"/>
  <c r="K96" i="1"/>
  <c r="K98" i="1"/>
  <c r="K91" i="1"/>
  <c r="K99" i="1"/>
  <c r="K75" i="1"/>
  <c r="K83" i="1"/>
  <c r="K67" i="1"/>
  <c r="K90" i="1"/>
  <c r="K92" i="1"/>
  <c r="K70" i="1"/>
  <c r="K95" i="1"/>
  <c r="K97" i="1"/>
  <c r="K85" i="1"/>
  <c r="K68" i="1"/>
  <c r="K84" i="1"/>
  <c r="K79" i="1"/>
  <c r="K73" i="1"/>
  <c r="K78" i="1"/>
  <c r="K66" i="1"/>
  <c r="K72" i="1"/>
  <c r="K81" i="1"/>
  <c r="K69" i="1"/>
  <c r="K94" i="1"/>
  <c r="K71" i="1"/>
  <c r="K74" i="1"/>
  <c r="K80" i="1"/>
  <c r="K82" i="1"/>
  <c r="L97" i="1"/>
  <c r="L95" i="1"/>
  <c r="L102" i="1"/>
  <c r="L98" i="1"/>
  <c r="L78" i="1"/>
  <c r="L89" i="1"/>
  <c r="L90" i="1"/>
  <c r="L91" i="1"/>
  <c r="L72" i="1"/>
  <c r="L77" i="1"/>
  <c r="L93" i="1"/>
  <c r="L88" i="1"/>
  <c r="R88" i="1" s="1"/>
  <c r="L99" i="1"/>
  <c r="L94" i="1"/>
  <c r="L92" i="1"/>
  <c r="L87" i="1"/>
  <c r="L103" i="1"/>
  <c r="L80" i="1"/>
  <c r="L104" i="1"/>
  <c r="L84" i="1"/>
  <c r="L81" i="1"/>
  <c r="L69" i="1"/>
  <c r="L96" i="1"/>
  <c r="L75" i="1"/>
  <c r="L82" i="1"/>
  <c r="L83" i="1"/>
  <c r="L100" i="1"/>
  <c r="R100" i="1" s="1"/>
  <c r="L101" i="1"/>
  <c r="L76" i="1"/>
  <c r="R76" i="1" s="1"/>
  <c r="L71" i="1"/>
  <c r="L86" i="1"/>
  <c r="L73" i="1"/>
  <c r="L85" i="1"/>
  <c r="L74" i="1"/>
  <c r="L68" i="1"/>
  <c r="L70" i="1"/>
  <c r="F60" i="1"/>
  <c r="F61" i="1"/>
  <c r="I61" i="1" s="1"/>
  <c r="G59" i="1"/>
  <c r="J59" i="1" s="1"/>
  <c r="E61" i="1"/>
  <c r="H61" i="1" s="1"/>
  <c r="H59" i="1"/>
  <c r="E60" i="1"/>
  <c r="H60" i="1" s="1"/>
  <c r="G60" i="1"/>
  <c r="J60" i="1" s="1"/>
  <c r="G61" i="1"/>
  <c r="J61" i="1" s="1"/>
  <c r="I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tc={D2391C9C-F880-4BD0-B1AE-E475A076D44B}</author>
  </authors>
  <commentList>
    <comment ref="C65" authorId="0" shapeId="0" xr:uid="{D2391C9C-F880-4BD0-B1AE-E475A076D44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Appending "R" to end of string to indicated this is a reinject</t>
      </text>
    </comment>
  </commentList>
</comments>
</file>

<file path=xl/sharedStrings.xml><?xml version="1.0" encoding="utf-8"?>
<sst xmlns="http://schemas.openxmlformats.org/spreadsheetml/2006/main" count="156" uniqueCount="113">
  <si>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</si>
  <si>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</si>
  <si>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</si>
  <si>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</si>
  <si>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</si>
  <si>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</si>
  <si>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</si>
  <si>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</si>
  <si>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</si>
  <si>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</si>
  <si>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</si>
  <si>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</si>
  <si>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</si>
  <si>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</si>
  <si>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</si>
  <si>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</si>
  <si>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</si>
  <si>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</si>
  <si>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</si>
  <si>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</si>
  <si>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</si>
  <si>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</si>
  <si>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</si>
  <si>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</si>
  <si>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</si>
  <si>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</si>
  <si>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</si>
  <si>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</si>
  <si>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</si>
  <si>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</si>
  <si>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</si>
  <si>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</si>
  <si>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</si>
  <si>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</si>
  <si>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</si>
  <si>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</si>
  <si>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</si>
  <si>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</si>
  <si>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</si>
  <si>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</si>
  <si>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</si>
  <si>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</si>
  <si>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</si>
  <si>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</si>
  <si>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</si>
  <si>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</si>
  <si>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</si>
  <si>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</si>
  <si>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</si>
  <si>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</si>
  <si>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</si>
  <si>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</si>
  <si>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</si>
  <si>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</si>
  <si>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</si>
  <si>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</si>
  <si>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</si>
  <si>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</si>
  <si>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</si>
  <si>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</si>
  <si>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</si>
  <si>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</si>
  <si>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kwhite 02/16/2021</t>
  </si>
  <si>
    <t>CH4.flag</t>
  </si>
  <si>
    <t>CO2.flag</t>
  </si>
  <si>
    <t>O2.flag</t>
  </si>
  <si>
    <t>Ar.flag</t>
  </si>
  <si>
    <t>N2.flag</t>
  </si>
  <si>
    <t>N2O.flag</t>
  </si>
  <si>
    <t>Area/N20</t>
  </si>
  <si>
    <t>Area/CH4</t>
  </si>
  <si>
    <t>Area/Ar</t>
  </si>
  <si>
    <t>Area/O2</t>
  </si>
  <si>
    <t>Area/N2</t>
  </si>
  <si>
    <t>2021\T_21_04_06\rSG20.0334.DATA</t>
  </si>
  <si>
    <t>2021\T_21_04_06\rSG20.0333.DATA</t>
  </si>
  <si>
    <t>2021\T_21_04_06\rSG20.0332.DATA</t>
  </si>
  <si>
    <t>2021\T_21_04_06\rSG20.0331.DATA</t>
  </si>
  <si>
    <t>2021\T_21_04_06\rSG20.0330.DATA</t>
  </si>
  <si>
    <t>2021\T_21_04_06\rSG20.0329.DATA</t>
  </si>
  <si>
    <t>2021\T_21_04_06\rSG20.0328.DATA</t>
  </si>
  <si>
    <t>2021\T_21_04_06\rSG20.0237.DATA</t>
  </si>
  <si>
    <t>2021\T_21_04_06\rSG20.0326.DATA</t>
  </si>
  <si>
    <t>2021\T_21_04_06\rSG20.0325.DATA</t>
  </si>
  <si>
    <t>2021\T_21_04_06\r3LOW1 STD CHK1 (2).DATA</t>
  </si>
  <si>
    <t>2021\T_21_04_06\rrAIR STD CHK1 (2).DATA</t>
  </si>
  <si>
    <t>2021\T_21_04_06\rSG20.0324.DATA</t>
  </si>
  <si>
    <t>2021\T_21_04_06\rSG20.0323.DATA</t>
  </si>
  <si>
    <t>2021\T_21_04_06\rSG20.0322.DATA</t>
  </si>
  <si>
    <t>2021\T_21_04_06\rSG20.0321.DATA</t>
  </si>
  <si>
    <t>2021\T_21_04_06\rSG20.0320.DATA</t>
  </si>
  <si>
    <t>2021\T_21_04_06\rSG20.0319.DATA</t>
  </si>
  <si>
    <t>2021\T_21_04_06\rSG20.0362.DATA</t>
  </si>
  <si>
    <t>2021\T_21_04_06\rSG20.0361.DATA</t>
  </si>
  <si>
    <t>2021\T_21_04_06\rSG20.0360.DATA</t>
  </si>
  <si>
    <t>2021\T_21_04_06\rSG20.0752.DATA</t>
  </si>
  <si>
    <t>2021\T_21_04_06\r3LOW1 STD CHK2 (2).DATA</t>
  </si>
  <si>
    <t>2021\T_21_04_06\rrAIR STD CHK2 (2).DATA</t>
  </si>
  <si>
    <t>2021\T_21_04_06\rSG20.0751.DATA</t>
  </si>
  <si>
    <t>2021\T_21_04_06\rSG20.0309.DATA</t>
  </si>
  <si>
    <t>2021\T_21_04_06\rSG20.0308.DATA</t>
  </si>
  <si>
    <t>2021\T_21_04_06\rSG20.0307.DATA</t>
  </si>
  <si>
    <t>2021\T_21_04_06\rSG20.0306.DATA</t>
  </si>
  <si>
    <t>2021\T_21_04_06\rSG20.0305.DATA</t>
  </si>
  <si>
    <t>2021\T_21_04_06\rSG20.0304.DATA</t>
  </si>
  <si>
    <t>2021\T_21_04_06\rSG20.0303.DATA</t>
  </si>
  <si>
    <t>2021\T_21_04_06\rSG20.0302.DATA</t>
  </si>
  <si>
    <t>2021\T_21_04_06\rSG20.0301.DATA</t>
  </si>
  <si>
    <t>2021\T_21_04_06\r3LOW1 STD CHK3 (2).DATA</t>
  </si>
  <si>
    <t>2021\T_21_04_06\rrAIR STD CHK3 (2).DATA</t>
  </si>
  <si>
    <t>2021\T_21_04_06\port Helium1.DATA</t>
  </si>
  <si>
    <t>2021\T_21_04_06\port Helium2.DATA</t>
  </si>
  <si>
    <t>2021\T_21_04_06\port Helium3.DATA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</si>
</sst>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#,##0.000"/>
    <numFmt numFmtId="167" formatCode="0.0"/>
  </numFmts>
  <fonts count="11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</font>
    <font>
      <sz val="10"/>
      <color theme="4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7" xfId="0" applyFont="1" applyBorder="1" applyAlignment="1">
      <alignment horizontal="left"/>
    </xf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3" fontId="0" fillId="0" borderId="10" xfId="0" applyNumberFormat="1" applyFont="1" applyBorder="1" applyAlignment="1"/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0" fontId="0" fillId="0" borderId="0" xfId="0"/>
    <xf numFmtId="167" fontId="0" fillId="0" borderId="0" xfId="0" applyNumberFormat="1" applyBorder="1"/>
    <xf numFmtId="167" fontId="0" fillId="0" borderId="7" xfId="0" applyNumberFormat="1" applyBorder="1"/>
    <xf numFmtId="167" fontId="0" fillId="0" borderId="0" xfId="0" applyNumberFormat="1" applyFill="1"/>
    <xf numFmtId="2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3" fontId="0" fillId="0" borderId="0" xfId="0" applyNumberFormat="1" applyFont="1" applyBorder="1" applyAlignment="1">
      <alignment horizontal="right"/>
    </xf>
    <xf numFmtId="0" fontId="0" fillId="0" borderId="12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7" fontId="2" fillId="0" borderId="0" xfId="7" applyNumberFormat="1"/>
    <xf numFmtId="167" fontId="0" fillId="0" borderId="0" xfId="0" applyNumberFormat="1"/>
    <xf numFmtId="0" fontId="0" fillId="0" borderId="0" xfId="0"/>
    <xf numFmtId="0" fontId="3" fillId="0" borderId="7" xfId="0" applyFont="1" applyBorder="1" applyAlignment="1">
      <alignment horizontal="center"/>
    </xf>
    <xf numFmtId="0" fontId="0" fillId="0" borderId="0" xfId="0"/>
    <xf numFmtId="167" fontId="2" fillId="0" borderId="0" xfId="0" applyNumberFormat="1" applyFont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2" fillId="0" borderId="0" xfId="0" applyFont="1" applyFill="1" applyBorder="1" applyAlignment="1">
      <alignment horizontal="left"/>
    </xf>
    <xf numFmtId="3" fontId="1" fillId="0" borderId="7" xfId="14" applyNumberFormat="1" applyBorder="1"/>
    <xf numFmtId="166" fontId="0" fillId="0" borderId="7" xfId="0" applyNumberFormat="1" applyFont="1" applyBorder="1" applyAlignment="1"/>
    <xf numFmtId="3" fontId="0" fillId="0" borderId="7" xfId="0" applyNumberFormat="1" applyFont="1" applyBorder="1" applyAlignment="1"/>
    <xf numFmtId="3" fontId="0" fillId="0" borderId="7" xfId="0" applyNumberFormat="1" applyFont="1" applyFill="1" applyBorder="1" applyAlignment="1"/>
    <xf numFmtId="3" fontId="0" fillId="0" borderId="0" xfId="0" applyNumberFormat="1" applyFont="1" applyFill="1" applyBorder="1" applyAlignment="1"/>
    <xf numFmtId="0" fontId="5" fillId="0" borderId="0" xfId="0" applyFont="1" applyAlignment="1">
      <alignment horizontal="right"/>
    </xf>
    <xf numFmtId="164" fontId="6" fillId="0" borderId="5" xfId="0" applyNumberFormat="1" applyFont="1" applyBorder="1"/>
    <xf numFmtId="3" fontId="6" fillId="0" borderId="7" xfId="0" applyNumberFormat="1" applyFont="1" applyFill="1" applyBorder="1" applyAlignment="1"/>
    <xf numFmtId="3" fontId="6" fillId="0" borderId="0" xfId="0" applyNumberFormat="1" applyFont="1" applyFill="1" applyBorder="1" applyAlignment="1"/>
    <xf numFmtId="3" fontId="0" fillId="0" borderId="0" xfId="0" applyNumberFormat="1" applyFont="1" applyAlignment="1">
      <alignment horizontal="right"/>
    </xf>
    <xf numFmtId="167" fontId="6" fillId="0" borderId="0" xfId="0" applyNumberFormat="1" applyFont="1" applyFill="1"/>
    <xf numFmtId="3" fontId="0" fillId="0" borderId="0" xfId="0" applyNumberFormat="1" applyFill="1" applyBorder="1"/>
    <xf numFmtId="3" fontId="0" fillId="0" borderId="0" xfId="0" applyNumberFormat="1" applyFont="1" applyAlignment="1">
      <alignment horizontal="left"/>
    </xf>
    <xf numFmtId="164" fontId="7" fillId="0" borderId="0" xfId="0" applyNumberFormat="1" applyFont="1" applyBorder="1"/>
    <xf numFmtId="3" fontId="8" fillId="0" borderId="0" xfId="0" applyNumberFormat="1" applyFont="1" applyAlignment="1">
      <alignment horizontal="right"/>
    </xf>
    <xf numFmtId="0" fontId="6" fillId="0" borderId="0" xfId="0" applyFont="1" applyFill="1"/>
    <xf numFmtId="0" fontId="6" fillId="0" borderId="0" xfId="0" applyFont="1"/>
    <xf numFmtId="0" fontId="0" fillId="0" borderId="0" xfId="0"/>
    <xf numFmtId="3" fontId="0" fillId="0" borderId="6" xfId="0" applyNumberFormat="1" applyBorder="1"/>
    <xf numFmtId="167" fontId="9" fillId="0" borderId="0" xfId="0" applyNumberFormat="1" applyFont="1" applyFill="1"/>
    <xf numFmtId="0" fontId="9" fillId="0" borderId="0" xfId="0" applyFont="1" applyFill="1"/>
    <xf numFmtId="0" fontId="9" fillId="0" borderId="0" xfId="0" applyFont="1"/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164" fontId="6" fillId="0" borderId="0" xfId="0" applyNumberFormat="1" applyFont="1" applyBorder="1"/>
    <xf numFmtId="164" fontId="6" fillId="0" borderId="0" xfId="0" applyNumberFormat="1" applyFont="1" applyFill="1" applyBorder="1"/>
    <xf numFmtId="3" fontId="9" fillId="3" borderId="0" xfId="0" applyNumberFormat="1" applyFont="1" applyFill="1" applyAlignment="1">
      <alignment horizontal="right"/>
    </xf>
    <xf numFmtId="2" fontId="0" fillId="0" borderId="0" xfId="0" applyNumberFormat="1" applyFill="1" applyBorder="1"/>
    <xf numFmtId="167" fontId="7" fillId="0" borderId="0" xfId="0" applyNumberFormat="1" applyFont="1" applyFill="1"/>
    <xf numFmtId="0" fontId="7" fillId="0" borderId="0" xfId="0" applyFont="1"/>
    <xf numFmtId="0" fontId="7" fillId="0" borderId="0" xfId="0" applyFont="1" applyFill="1"/>
    <xf numFmtId="0" fontId="0" fillId="0" borderId="0" xfId="0" applyFont="1" applyFill="1" applyAlignment="1">
      <alignment horizontal="left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398.9</c:v>
                </c:pt>
                <c:pt idx="1">
                  <c:v>294.39999999999998</c:v>
                </c:pt>
                <c:pt idx="2">
                  <c:v>199.4</c:v>
                </c:pt>
                <c:pt idx="3">
                  <c:v>109.7</c:v>
                </c:pt>
                <c:pt idx="4">
                  <c:v>33.9</c:v>
                </c:pt>
                <c:pt idx="6">
                  <c:v>15.8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1">
                  <c:v>7687.4</c:v>
                </c:pt>
                <c:pt idx="2">
                  <c:v>5308.8</c:v>
                </c:pt>
                <c:pt idx="3">
                  <c:v>3017.2</c:v>
                </c:pt>
                <c:pt idx="4">
                  <c:v>591.4</c:v>
                </c:pt>
                <c:pt idx="5">
                  <c:v>495.1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8784"/>
        <c:axId val="55800576"/>
      </c:scatterChart>
      <c:valAx>
        <c:axId val="557987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00576"/>
        <c:crosses val="autoZero"/>
        <c:crossBetween val="midCat"/>
      </c:valAx>
      <c:valAx>
        <c:axId val="558005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579878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62"/>
          <c:y val="0.23225873939670591"/>
          <c:w val="0.73905143613659208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19028.3</c:v>
                </c:pt>
                <c:pt idx="1">
                  <c:v>14227.1</c:v>
                </c:pt>
                <c:pt idx="2">
                  <c:v>9594</c:v>
                </c:pt>
                <c:pt idx="3">
                  <c:v>5236.7</c:v>
                </c:pt>
                <c:pt idx="4">
                  <c:v>1652.5</c:v>
                </c:pt>
                <c:pt idx="5">
                  <c:v>1250.2</c:v>
                </c:pt>
                <c:pt idx="6">
                  <c:v>886.1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4048"/>
        <c:axId val="52435584"/>
      </c:scatterChart>
      <c:valAx>
        <c:axId val="524340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435584"/>
        <c:crosses val="autoZero"/>
        <c:crossBetween val="midCat"/>
      </c:valAx>
      <c:valAx>
        <c:axId val="52435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243404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48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1">
                  <c:v>5943516.5</c:v>
                </c:pt>
                <c:pt idx="2">
                  <c:v>3911610</c:v>
                </c:pt>
                <c:pt idx="3">
                  <c:v>2018804.5</c:v>
                </c:pt>
                <c:pt idx="4">
                  <c:v>367508</c:v>
                </c:pt>
                <c:pt idx="5">
                  <c:v>172133.2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194348.6</c:v>
                </c:pt>
                <c:pt idx="1">
                  <c:v>145695.1</c:v>
                </c:pt>
                <c:pt idx="2">
                  <c:v>97296.2</c:v>
                </c:pt>
                <c:pt idx="3">
                  <c:v>50120.7</c:v>
                </c:pt>
                <c:pt idx="4">
                  <c:v>9301.7999999999993</c:v>
                </c:pt>
                <c:pt idx="5">
                  <c:v>4626.6000000000004</c:v>
                </c:pt>
                <c:pt idx="6">
                  <c:v>0.9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9760"/>
        <c:axId val="52471296"/>
      </c:scatterChart>
      <c:valAx>
        <c:axId val="524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471296"/>
        <c:crosses val="autoZero"/>
        <c:crossBetween val="midCat"/>
      </c:valAx>
      <c:valAx>
        <c:axId val="524712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2469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low.CH4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#,##0</c:formatCode>
                <c:ptCount val="7"/>
                <c:pt idx="0">
                  <c:v>194348.6</c:v>
                </c:pt>
                <c:pt idx="1">
                  <c:v>145695.1</c:v>
                </c:pt>
                <c:pt idx="2">
                  <c:v>97296.2</c:v>
                </c:pt>
                <c:pt idx="3">
                  <c:v>50120.7</c:v>
                </c:pt>
                <c:pt idx="4">
                  <c:v>9301.7999999999993</c:v>
                </c:pt>
                <c:pt idx="5">
                  <c:v>4626.6000000000004</c:v>
                </c:pt>
                <c:pt idx="6">
                  <c:v>0.9</c:v>
                </c:pt>
              </c:numCache>
            </c:numRef>
          </c:xVal>
          <c:yVal>
            <c:numRef>
              <c:f>Sheet1!$B$26:$B$32</c:f>
              <c:numCache>
                <c:formatCode>#,##0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2832"/>
        <c:axId val="56634368"/>
      </c:scatterChart>
      <c:valAx>
        <c:axId val="5663283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634368"/>
        <c:crosses val="autoZero"/>
        <c:crossBetween val="midCat"/>
      </c:valAx>
      <c:valAx>
        <c:axId val="56634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63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19028.3</c:v>
                </c:pt>
                <c:pt idx="1">
                  <c:v>14227.1</c:v>
                </c:pt>
                <c:pt idx="2">
                  <c:v>9594</c:v>
                </c:pt>
                <c:pt idx="3">
                  <c:v>5236.7</c:v>
                </c:pt>
                <c:pt idx="4">
                  <c:v>1652.5</c:v>
                </c:pt>
                <c:pt idx="5">
                  <c:v>1250.2</c:v>
                </c:pt>
                <c:pt idx="6">
                  <c:v>886.1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1">
                  <c:v>540194.69999999995</c:v>
                </c:pt>
                <c:pt idx="2">
                  <c:v>384556.9</c:v>
                </c:pt>
                <c:pt idx="3">
                  <c:v>209065.2</c:v>
                </c:pt>
                <c:pt idx="4">
                  <c:v>37876.199999999997</c:v>
                </c:pt>
                <c:pt idx="5">
                  <c:v>29129.3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8160"/>
        <c:axId val="56669696"/>
      </c:scatterChart>
      <c:valAx>
        <c:axId val="566681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669696"/>
        <c:crosses val="autoZero"/>
        <c:crossBetween val="midCat"/>
      </c:valAx>
      <c:valAx>
        <c:axId val="56669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66681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81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398.9</c:v>
                </c:pt>
                <c:pt idx="1">
                  <c:v>294.39999999999998</c:v>
                </c:pt>
                <c:pt idx="2">
                  <c:v>199.4</c:v>
                </c:pt>
                <c:pt idx="3">
                  <c:v>109.7</c:v>
                </c:pt>
                <c:pt idx="4">
                  <c:v>33.9</c:v>
                </c:pt>
                <c:pt idx="6">
                  <c:v>15.8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0.375</c:v>
                </c:pt>
                <c:pt idx="3">
                  <c:v>0.1875</c:v>
                </c:pt>
                <c:pt idx="4">
                  <c:v>3.7499999999999999E-2</c:v>
                </c:pt>
                <c:pt idx="5">
                  <c:v>1.8749999999999999E-2</c:v>
                </c:pt>
                <c:pt idx="6">
                  <c:v>3.7499999999999999E-3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6560"/>
        <c:axId val="56708096"/>
      </c:scatterChart>
      <c:valAx>
        <c:axId val="567065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708096"/>
        <c:crosses val="autoZero"/>
        <c:crossBetween val="midCat"/>
      </c:valAx>
      <c:valAx>
        <c:axId val="567080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7065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63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403413</xdr:colOff>
      <xdr:row>37</xdr:row>
      <xdr:rowOff>134469</xdr:rowOff>
    </xdr:from>
    <xdr:ext cx="4045324" cy="212912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693589" y="5939116"/>
          <a:ext cx="4045324" cy="212912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kw 04/14/2021</a:t>
          </a:r>
        </a:p>
        <a:p>
          <a:endParaRPr lang="en-US" sz="1100"/>
        </a:p>
        <a:p>
          <a:r>
            <a:rPr lang="en-US" sz="1100"/>
            <a:t>This is the reinjection of the standards (prepared and injected on 4_07_21) done in preparation for reinjecting 30 unknowns from sequence T_21_02_03.</a:t>
          </a:r>
        </a:p>
        <a:p>
          <a:endParaRPr lang="en-US" sz="1100"/>
        </a:p>
        <a:p>
          <a:r>
            <a:rPr lang="en-US" sz="1100"/>
            <a:t>kw 04/19/2021</a:t>
          </a:r>
        </a:p>
        <a:p>
          <a:endParaRPr lang="en-US" sz="1100"/>
        </a:p>
        <a:p>
          <a:r>
            <a:rPr lang="en-US" sz="1100"/>
            <a:t>The unknowns were injected along with 3  Helium standards(pulled directly from the Helium portt. 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aulieu, Jake" id="{F79DC650-34D7-46D2-A44E-F6D9209C187E}" userId="S::Beaulieu.Jake@epa.gov::f0420c56-494d-43d8-8142-91ff9a3846e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5" dT="2025-03-31T16:51:00.41" personId="{F79DC650-34D7-46D2-A44E-F6D9209C187E}" id="{D2391C9C-F880-4BD0-B1AE-E475A076D44B}">
    <text>Appending "R" to end of string to indicated this is a reinject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"/>
  <sheetViews>
    <sheetView tabSelected="1" topLeftCell="A47" zoomScale="85" zoomScaleNormal="85" workbookViewId="0">
      <selection activeCell="C65" sqref="C65"/>
    </sheetView>
  </sheetViews>
  <sheetFormatPr defaultRowHeight="13.2" x14ac:dyDescent="0.25"/>
  <cols>
    <col min="1" max="1" width="38" style="1" customWidth="1"/>
    <col min="2" max="2" width="20.44140625" style="1" customWidth="1"/>
    <col min="3" max="3" width="37.109375" style="1" customWidth="1"/>
    <col min="4" max="4" width="16.6640625" customWidth="1"/>
    <col min="5" max="5" width="13" customWidth="1"/>
    <col min="6" max="6" width="13.5546875" style="2" customWidth="1"/>
    <col min="7" max="7" width="13.6640625" style="2" customWidth="1"/>
    <col min="8" max="8" width="11.44140625" customWidth="1"/>
    <col min="9" max="9" width="11.6640625" customWidth="1"/>
    <col min="10" max="10" width="11.6640625" bestFit="1" customWidth="1"/>
    <col min="11" max="11" width="11.6640625" customWidth="1"/>
    <col min="12" max="12" width="11.5546875" customWidth="1"/>
    <col min="13" max="13" width="12.109375" customWidth="1"/>
    <col min="15" max="15" width="8.88671875" style="67"/>
    <col min="18" max="18" width="11.5546875" customWidth="1"/>
    <col min="21" max="21" width="9.33203125" bestFit="1" customWidth="1"/>
  </cols>
  <sheetData>
    <row r="1" spans="1:9" x14ac:dyDescent="0.25">
      <c r="A1" s="113" t="s">
        <v>62</v>
      </c>
      <c r="B1" s="114"/>
      <c r="C1" s="114"/>
      <c r="D1" s="114"/>
      <c r="E1" s="114"/>
      <c r="F1" s="114"/>
      <c r="G1" s="114"/>
    </row>
    <row r="3" spans="1:9" x14ac:dyDescent="0.25">
      <c r="A3"/>
      <c r="B3"/>
      <c r="C3"/>
    </row>
    <row r="4" spans="1:9" x14ac:dyDescent="0.25">
      <c r="A4"/>
      <c r="B4"/>
      <c r="C4"/>
    </row>
    <row r="5" spans="1:9" x14ac:dyDescent="0.25">
      <c r="A5"/>
      <c r="B5"/>
      <c r="C5"/>
      <c r="G5"/>
    </row>
    <row r="6" spans="1:9" x14ac:dyDescent="0.25">
      <c r="A6"/>
      <c r="B6"/>
      <c r="C6"/>
      <c r="F6"/>
      <c r="G6"/>
      <c r="I6" s="2"/>
    </row>
    <row r="7" spans="1:9" x14ac:dyDescent="0.25">
      <c r="A7"/>
      <c r="B7"/>
      <c r="C7"/>
      <c r="F7"/>
      <c r="G7"/>
      <c r="H7" s="2"/>
      <c r="I7" s="2"/>
    </row>
    <row r="8" spans="1:9" x14ac:dyDescent="0.25">
      <c r="A8"/>
      <c r="B8"/>
      <c r="C8"/>
      <c r="F8"/>
      <c r="G8"/>
      <c r="H8" s="2"/>
    </row>
    <row r="9" spans="1:9" x14ac:dyDescent="0.25">
      <c r="A9"/>
      <c r="B9"/>
      <c r="C9"/>
      <c r="F9"/>
      <c r="G9"/>
      <c r="H9" s="2"/>
    </row>
    <row r="10" spans="1:9" x14ac:dyDescent="0.25">
      <c r="A10"/>
      <c r="B10"/>
      <c r="C10"/>
      <c r="F10"/>
      <c r="G10"/>
      <c r="H10" s="2"/>
    </row>
    <row r="11" spans="1:9" x14ac:dyDescent="0.25">
      <c r="A11"/>
      <c r="B11"/>
      <c r="C11"/>
      <c r="F11"/>
      <c r="G11"/>
      <c r="H11" s="2"/>
    </row>
    <row r="12" spans="1:9" x14ac:dyDescent="0.25">
      <c r="A12"/>
      <c r="B12"/>
      <c r="C12"/>
      <c r="F12"/>
      <c r="G12"/>
      <c r="H12" s="2"/>
    </row>
    <row r="13" spans="1:9" x14ac:dyDescent="0.25">
      <c r="A13"/>
      <c r="B13"/>
      <c r="C13"/>
      <c r="F13"/>
      <c r="G13"/>
      <c r="H13" s="2"/>
    </row>
    <row r="14" spans="1:9" x14ac:dyDescent="0.25">
      <c r="A14"/>
      <c r="B14"/>
      <c r="C14"/>
      <c r="F14"/>
      <c r="G14"/>
      <c r="H14" s="2"/>
    </row>
    <row r="15" spans="1:9" x14ac:dyDescent="0.25">
      <c r="A15"/>
      <c r="B15"/>
      <c r="C15"/>
      <c r="F15"/>
      <c r="G15"/>
      <c r="H15" s="2"/>
    </row>
    <row r="16" spans="1:9" x14ac:dyDescent="0.25">
      <c r="A16"/>
      <c r="B16"/>
      <c r="C16"/>
      <c r="F16"/>
      <c r="G16"/>
      <c r="H16" s="2"/>
    </row>
    <row r="17" spans="1:28" x14ac:dyDescent="0.25">
      <c r="A17"/>
      <c r="B17"/>
      <c r="C17"/>
      <c r="F17"/>
      <c r="G17"/>
      <c r="H17" s="2"/>
    </row>
    <row r="18" spans="1:28" x14ac:dyDescent="0.25">
      <c r="A18"/>
      <c r="B18"/>
      <c r="C18"/>
      <c r="F18"/>
      <c r="G18"/>
      <c r="H18" s="2"/>
    </row>
    <row r="19" spans="1:28" x14ac:dyDescent="0.25">
      <c r="A19"/>
      <c r="B19"/>
      <c r="C19"/>
      <c r="F19"/>
      <c r="G19"/>
      <c r="H19" s="2"/>
    </row>
    <row r="20" spans="1:28" x14ac:dyDescent="0.25">
      <c r="A20"/>
      <c r="B20"/>
      <c r="C20"/>
      <c r="F20"/>
      <c r="G20"/>
      <c r="H20" s="2"/>
    </row>
    <row r="21" spans="1:28" x14ac:dyDescent="0.25">
      <c r="A21"/>
      <c r="B21"/>
      <c r="C21"/>
      <c r="F21"/>
      <c r="G21"/>
      <c r="H21" s="2"/>
    </row>
    <row r="22" spans="1:28" x14ac:dyDescent="0.25">
      <c r="A22"/>
      <c r="B22"/>
      <c r="C22"/>
      <c r="F22"/>
      <c r="G22"/>
      <c r="H22" s="2"/>
      <c r="U22" s="5"/>
      <c r="V22" s="5"/>
    </row>
    <row r="23" spans="1:28" x14ac:dyDescent="0.25">
      <c r="A23"/>
      <c r="R23" s="13"/>
      <c r="S23" s="5"/>
      <c r="T23" s="27"/>
    </row>
    <row r="24" spans="1:28" s="39" customFormat="1" x14ac:dyDescent="0.25">
      <c r="B24" s="29" t="s">
        <v>4</v>
      </c>
      <c r="C24" s="44"/>
      <c r="D24" s="44"/>
      <c r="E24" s="44"/>
      <c r="F24" s="25" t="s">
        <v>2</v>
      </c>
      <c r="G24" s="26"/>
      <c r="H24" s="26"/>
      <c r="I24" s="26"/>
      <c r="J24" s="29" t="s">
        <v>46</v>
      </c>
      <c r="K24" s="44"/>
      <c r="L24" s="44" t="s">
        <v>47</v>
      </c>
      <c r="M24" s="44"/>
      <c r="N24" s="25" t="s">
        <v>57</v>
      </c>
      <c r="O24" s="26"/>
      <c r="P24" s="44" t="s">
        <v>58</v>
      </c>
      <c r="Q24" s="44"/>
      <c r="R24" s="62" t="s">
        <v>30</v>
      </c>
      <c r="S24" s="63"/>
    </row>
    <row r="25" spans="1:28" s="39" customFormat="1" x14ac:dyDescent="0.25">
      <c r="B25" s="7" t="s">
        <v>44</v>
      </c>
      <c r="C25" s="4" t="s">
        <v>5</v>
      </c>
      <c r="D25" s="4" t="s">
        <v>45</v>
      </c>
      <c r="E25" s="19" t="s">
        <v>5</v>
      </c>
      <c r="F25" s="7" t="s">
        <v>44</v>
      </c>
      <c r="G25" s="4" t="s">
        <v>5</v>
      </c>
      <c r="H25" s="4" t="s">
        <v>45</v>
      </c>
      <c r="I25" s="19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4"/>
      <c r="P25" s="7" t="s">
        <v>29</v>
      </c>
      <c r="Q25" s="4"/>
      <c r="R25" s="7" t="s">
        <v>29</v>
      </c>
      <c r="S25" s="64"/>
    </row>
    <row r="26" spans="1:28" s="39" customFormat="1" x14ac:dyDescent="0.25">
      <c r="B26" s="47">
        <v>22500</v>
      </c>
      <c r="C26" s="8">
        <f>RSQ(B36:B42,B26:B32)</f>
        <v>0.99990363841872509</v>
      </c>
      <c r="D26" s="40">
        <v>900000</v>
      </c>
      <c r="E26" s="103">
        <f>RSQ(B43:B48,D26:D31)</f>
        <v>0.99981111760613217</v>
      </c>
      <c r="F26" s="47">
        <v>2500</v>
      </c>
      <c r="G26" s="8">
        <f>RSQ(C36:C42,F26:F32)</f>
        <v>0.99970971888138616</v>
      </c>
      <c r="H26" s="40">
        <v>100000</v>
      </c>
      <c r="I26" s="102">
        <f>RSQ(C43:C48,H26:H31)</f>
        <v>0.99655505335486627</v>
      </c>
      <c r="J26" s="74">
        <v>0.75</v>
      </c>
      <c r="K26" s="90">
        <f>RSQ(J26:J32,D36:D42)</f>
        <v>0.99942416202917339</v>
      </c>
      <c r="L26" s="50">
        <v>28</v>
      </c>
      <c r="M26" s="83">
        <f>RSQ(L26:L31,D43:D48)</f>
        <v>0.997358042048619</v>
      </c>
      <c r="N26" s="3">
        <v>20.95</v>
      </c>
      <c r="O26" s="5"/>
      <c r="P26" s="3">
        <v>0.93</v>
      </c>
      <c r="Q26" s="5"/>
      <c r="R26" s="3">
        <v>78.084000000000003</v>
      </c>
      <c r="S26" s="64"/>
    </row>
    <row r="27" spans="1:28" s="39" customFormat="1" x14ac:dyDescent="0.25">
      <c r="B27" s="47">
        <v>16875</v>
      </c>
      <c r="C27" s="4" t="s">
        <v>6</v>
      </c>
      <c r="D27" s="40">
        <v>675000</v>
      </c>
      <c r="E27" s="19" t="s">
        <v>6</v>
      </c>
      <c r="F27" s="47">
        <v>1875</v>
      </c>
      <c r="G27" s="4" t="s">
        <v>6</v>
      </c>
      <c r="H27" s="46">
        <v>75000</v>
      </c>
      <c r="I27" s="4" t="s">
        <v>6</v>
      </c>
      <c r="J27" s="74">
        <v>0.5625</v>
      </c>
      <c r="K27" s="4" t="s">
        <v>6</v>
      </c>
      <c r="L27" s="70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</row>
    <row r="28" spans="1:28" x14ac:dyDescent="0.25">
      <c r="A28"/>
      <c r="B28" s="47">
        <v>11250</v>
      </c>
      <c r="C28" s="9">
        <f>SLOPE(B26:B32,B36:B42)</f>
        <v>0.11552044190748262</v>
      </c>
      <c r="D28" s="40">
        <v>450000</v>
      </c>
      <c r="E28" s="45">
        <f>SLOPE(D26:D31,B43:B48)</f>
        <v>0.11342343930237443</v>
      </c>
      <c r="F28" s="47">
        <v>1250</v>
      </c>
      <c r="G28" s="9">
        <f>SLOPE(F26:F32,C36:C42)</f>
        <v>0.13791268292655148</v>
      </c>
      <c r="H28" s="40">
        <v>50000</v>
      </c>
      <c r="I28" s="9">
        <f>SLOPE(H26:H31,C43:C48)</f>
        <v>0.138908506324362</v>
      </c>
      <c r="J28" s="74">
        <v>0.375</v>
      </c>
      <c r="K28" s="9">
        <f>SLOPE(J26:J32,D36:D42)</f>
        <v>1.9688606699022671E-3</v>
      </c>
      <c r="L28" s="50">
        <v>14</v>
      </c>
      <c r="M28" s="10">
        <f>SLOPE(L26:L31,D43:D48)</f>
        <v>2.785508222057496E-3</v>
      </c>
      <c r="N28" s="3">
        <v>20.95</v>
      </c>
      <c r="O28" s="10">
        <f>SLOPE(N26:N31,E49:E54)</f>
        <v>1.9110691421524178E-4</v>
      </c>
      <c r="P28" s="3">
        <v>0.93</v>
      </c>
      <c r="Q28" s="10">
        <f>SLOPE(P26:P31,F49:F54)</f>
        <v>2.2677192217836675E-4</v>
      </c>
      <c r="R28" s="3">
        <v>78.084000000000003</v>
      </c>
      <c r="S28" s="10">
        <f>SLOPE(R26:R31,G49:G54)</f>
        <v>1.2848536131966599E-4</v>
      </c>
    </row>
    <row r="29" spans="1:28" x14ac:dyDescent="0.25">
      <c r="B29" s="47">
        <v>5625</v>
      </c>
      <c r="C29" s="4" t="s">
        <v>7</v>
      </c>
      <c r="D29" s="40">
        <v>225000</v>
      </c>
      <c r="E29" s="19" t="s">
        <v>7</v>
      </c>
      <c r="F29" s="47">
        <v>625</v>
      </c>
      <c r="G29" s="4" t="s">
        <v>7</v>
      </c>
      <c r="H29" s="46">
        <v>25000</v>
      </c>
      <c r="I29" s="4" t="s">
        <v>7</v>
      </c>
      <c r="J29" s="74">
        <v>0.1875</v>
      </c>
      <c r="K29" s="4" t="s">
        <v>7</v>
      </c>
      <c r="L29" s="70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</row>
    <row r="30" spans="1:28" x14ac:dyDescent="0.25">
      <c r="B30" s="47">
        <v>1125</v>
      </c>
      <c r="C30" s="27">
        <f>INTERCEPT(B26:B32,B36:B42)</f>
        <v>18.459597721639511</v>
      </c>
      <c r="D30" s="40">
        <v>45000</v>
      </c>
      <c r="E30" s="53">
        <f>INTERCEPT(D26:D31,B43:B48)</f>
        <v>1901.9894095314667</v>
      </c>
      <c r="F30" s="47">
        <v>125</v>
      </c>
      <c r="G30" s="27">
        <f>INTERCEPT(F26:F32,C36:C42)</f>
        <v>-100.60094793522353</v>
      </c>
      <c r="H30" s="40">
        <v>5000</v>
      </c>
      <c r="I30" s="53">
        <f>INTERCEPT(H26:H31,C43:C48)</f>
        <v>-1860.8864107969857</v>
      </c>
      <c r="J30" s="74">
        <v>3.7499999999999999E-2</v>
      </c>
      <c r="K30" s="27">
        <f>INTERCEPT(J26:J32,D36:D42)</f>
        <v>-2.5864718467362491E-2</v>
      </c>
      <c r="L30" s="27">
        <v>1.4000000000000001</v>
      </c>
      <c r="M30" s="53">
        <f>INTERCEPT(L26:L31,D43:D48)</f>
        <v>-0.7063824092721962</v>
      </c>
      <c r="N30" s="3">
        <v>0</v>
      </c>
      <c r="O30" s="53">
        <f>INTERCEPT(N26:N31,E49:E54)</f>
        <v>-4.170210821205151</v>
      </c>
      <c r="P30" s="3">
        <v>0</v>
      </c>
      <c r="Q30" s="53">
        <f>INTERCEPT(P26:P31,F49:F54)</f>
        <v>-0.18462218686825821</v>
      </c>
      <c r="R30" s="3">
        <v>0</v>
      </c>
      <c r="S30" s="53">
        <f>INTERCEPT(R26:R31,G49:G54)</f>
        <v>-15.741519833953156</v>
      </c>
    </row>
    <row r="31" spans="1:28" s="49" customFormat="1" x14ac:dyDescent="0.25">
      <c r="A31" s="21"/>
      <c r="B31" s="47">
        <v>562.5</v>
      </c>
      <c r="C31" s="27"/>
      <c r="D31" s="40">
        <v>22500</v>
      </c>
      <c r="E31" s="53"/>
      <c r="F31" s="40">
        <v>62.5</v>
      </c>
      <c r="G31" s="27"/>
      <c r="H31" s="40">
        <v>2500</v>
      </c>
      <c r="I31" s="53"/>
      <c r="J31" s="8">
        <v>1.8749999999999999E-2</v>
      </c>
      <c r="K31" s="27"/>
      <c r="L31" s="27">
        <v>0.70000000000000007</v>
      </c>
      <c r="M31" s="53"/>
      <c r="N31" s="40">
        <v>0</v>
      </c>
      <c r="O31" s="57"/>
      <c r="P31" s="40">
        <v>0</v>
      </c>
      <c r="Q31" s="57"/>
      <c r="R31" s="40">
        <v>0</v>
      </c>
      <c r="S31" s="53"/>
      <c r="T31" s="40"/>
      <c r="U31" s="27"/>
      <c r="V31"/>
      <c r="W31"/>
      <c r="X31"/>
      <c r="Y31"/>
      <c r="Z31"/>
      <c r="AA31"/>
      <c r="AB31"/>
    </row>
    <row r="32" spans="1:28" s="49" customFormat="1" x14ac:dyDescent="0.25">
      <c r="A32" s="21"/>
      <c r="B32" s="95">
        <v>112.5</v>
      </c>
      <c r="C32" s="11"/>
      <c r="D32" s="51"/>
      <c r="E32" s="12"/>
      <c r="F32" s="41">
        <v>12.5</v>
      </c>
      <c r="G32" s="11"/>
      <c r="H32" s="41"/>
      <c r="I32" s="12"/>
      <c r="J32" s="75">
        <v>3.7499999999999999E-3</v>
      </c>
      <c r="K32" s="11"/>
      <c r="L32" s="41"/>
      <c r="M32" s="12"/>
      <c r="N32" s="41"/>
      <c r="O32" s="72"/>
      <c r="P32" s="11"/>
      <c r="Q32" s="12"/>
      <c r="R32" s="41"/>
      <c r="S32" s="12"/>
      <c r="T32" s="40"/>
      <c r="U32" s="27"/>
      <c r="V32"/>
      <c r="W32"/>
      <c r="X32"/>
      <c r="Y32"/>
      <c r="Z32"/>
      <c r="AA32"/>
      <c r="AB32"/>
    </row>
    <row r="33" spans="1:27" s="49" customFormat="1" x14ac:dyDescent="0.25">
      <c r="A33" s="21"/>
      <c r="B33" s="5"/>
      <c r="C33" s="27"/>
      <c r="D33" s="50"/>
      <c r="E33" s="27"/>
      <c r="F33" s="40"/>
      <c r="G33" s="27"/>
      <c r="H33" s="40"/>
      <c r="I33" s="27"/>
      <c r="J33" s="40"/>
      <c r="K33" s="27"/>
      <c r="L33" s="40"/>
      <c r="M33" s="27"/>
      <c r="N33" s="40"/>
      <c r="O33" s="40"/>
      <c r="P33" s="27"/>
      <c r="Q33" s="40"/>
      <c r="R33" s="27"/>
      <c r="S33" s="40"/>
      <c r="T33" s="99" t="s">
        <v>0</v>
      </c>
      <c r="U33" s="99" t="s">
        <v>70</v>
      </c>
      <c r="V33" s="99" t="s">
        <v>71</v>
      </c>
      <c r="W33" s="99" t="s">
        <v>72</v>
      </c>
      <c r="X33" s="99" t="s">
        <v>69</v>
      </c>
      <c r="Y33" s="99" t="s">
        <v>73</v>
      </c>
      <c r="Z33"/>
      <c r="AA33"/>
    </row>
    <row r="34" spans="1:27" x14ac:dyDescent="0.25">
      <c r="B34" s="115" t="s">
        <v>27</v>
      </c>
      <c r="C34" s="116"/>
      <c r="D34" s="54" t="s">
        <v>26</v>
      </c>
      <c r="E34" s="111" t="s">
        <v>25</v>
      </c>
      <c r="F34" s="112"/>
      <c r="G34" s="112"/>
      <c r="L34" s="14"/>
      <c r="S34" s="21"/>
      <c r="T34" s="99"/>
      <c r="U34" s="99"/>
      <c r="V34" s="99"/>
      <c r="W34" s="99"/>
      <c r="X34" s="99"/>
      <c r="Y34" s="99"/>
    </row>
    <row r="35" spans="1:27" x14ac:dyDescent="0.25">
      <c r="A35"/>
      <c r="B35" s="55" t="s">
        <v>48</v>
      </c>
      <c r="C35" s="73" t="s">
        <v>49</v>
      </c>
      <c r="D35" s="56" t="s">
        <v>50</v>
      </c>
      <c r="E35" s="21" t="s">
        <v>51</v>
      </c>
      <c r="F35" s="21" t="s">
        <v>52</v>
      </c>
      <c r="G35" s="21" t="s">
        <v>53</v>
      </c>
      <c r="H35" s="1"/>
      <c r="L35" s="86"/>
      <c r="M35" s="21"/>
      <c r="N35" s="86"/>
      <c r="O35" s="86"/>
      <c r="Q35" s="34"/>
      <c r="R35" s="86"/>
      <c r="S35" s="86"/>
      <c r="T35" s="100">
        <v>19028.3</v>
      </c>
      <c r="U35" s="100">
        <v>194348.6</v>
      </c>
      <c r="V35" s="100">
        <v>861.3</v>
      </c>
      <c r="W35" s="100">
        <v>22951.599999999999</v>
      </c>
      <c r="X35" s="100">
        <v>398.9</v>
      </c>
      <c r="Y35" s="100">
        <v>131148.4</v>
      </c>
    </row>
    <row r="36" spans="1:27" x14ac:dyDescent="0.25">
      <c r="A36" s="17" t="s">
        <v>37</v>
      </c>
      <c r="B36" s="100">
        <v>194348.6</v>
      </c>
      <c r="C36" s="100">
        <v>19028.3</v>
      </c>
      <c r="D36" s="100">
        <v>398.9</v>
      </c>
      <c r="E36" s="60"/>
      <c r="F36" s="60"/>
      <c r="G36" s="48"/>
      <c r="H36" s="2"/>
      <c r="L36" s="86"/>
      <c r="M36" s="22"/>
      <c r="N36" s="86"/>
      <c r="O36" s="86"/>
      <c r="Q36" s="86"/>
      <c r="R36" s="86"/>
      <c r="S36" s="86"/>
      <c r="T36" s="100">
        <v>14227.1</v>
      </c>
      <c r="U36" s="100">
        <v>145695.1</v>
      </c>
      <c r="V36" s="100">
        <v>852.6</v>
      </c>
      <c r="W36" s="100">
        <v>23130.3</v>
      </c>
      <c r="X36" s="100">
        <v>294.39999999999998</v>
      </c>
      <c r="Y36" s="100">
        <v>132273.5</v>
      </c>
    </row>
    <row r="37" spans="1:27" x14ac:dyDescent="0.25">
      <c r="A37" s="17" t="s">
        <v>38</v>
      </c>
      <c r="B37" s="100">
        <v>145695.1</v>
      </c>
      <c r="C37" s="100">
        <v>14227.1</v>
      </c>
      <c r="D37" s="100">
        <v>294.39999999999998</v>
      </c>
      <c r="E37" s="60"/>
      <c r="F37" s="60"/>
      <c r="G37" s="48"/>
      <c r="H37" s="2"/>
      <c r="L37" s="86"/>
      <c r="M37" s="22"/>
      <c r="N37" s="86"/>
      <c r="O37" s="86"/>
      <c r="Q37" s="86"/>
      <c r="R37" s="86"/>
      <c r="S37" s="86"/>
      <c r="T37" s="100">
        <v>9594</v>
      </c>
      <c r="U37" s="100">
        <v>97296.2</v>
      </c>
      <c r="V37" s="100">
        <v>845.5</v>
      </c>
      <c r="W37" s="100">
        <v>22785.1</v>
      </c>
      <c r="X37" s="100">
        <v>199.4</v>
      </c>
      <c r="Y37" s="100">
        <v>129463.9</v>
      </c>
    </row>
    <row r="38" spans="1:27" x14ac:dyDescent="0.25">
      <c r="A38" s="17" t="s">
        <v>39</v>
      </c>
      <c r="B38" s="100">
        <v>97296.2</v>
      </c>
      <c r="C38" s="100">
        <v>9594</v>
      </c>
      <c r="D38" s="100">
        <v>199.4</v>
      </c>
      <c r="E38" s="60"/>
      <c r="F38" s="60"/>
      <c r="G38" s="48"/>
      <c r="H38" s="2"/>
      <c r="L38" s="86"/>
      <c r="M38" s="22"/>
      <c r="N38" s="86"/>
      <c r="O38" s="86"/>
      <c r="Q38" s="86"/>
      <c r="R38" s="86"/>
      <c r="S38" s="86"/>
      <c r="T38" s="100">
        <v>5236.7</v>
      </c>
      <c r="U38" s="100">
        <v>50120.7</v>
      </c>
      <c r="V38" s="100">
        <v>862.2</v>
      </c>
      <c r="W38" s="100">
        <v>22801.5</v>
      </c>
      <c r="X38" s="100">
        <v>109.7</v>
      </c>
      <c r="Y38" s="100">
        <v>129581.7</v>
      </c>
    </row>
    <row r="39" spans="1:27" x14ac:dyDescent="0.25">
      <c r="A39" s="17" t="s">
        <v>40</v>
      </c>
      <c r="B39" s="100">
        <v>50120.7</v>
      </c>
      <c r="C39" s="100">
        <v>5236.7</v>
      </c>
      <c r="D39" s="100">
        <v>109.7</v>
      </c>
      <c r="E39" s="60"/>
      <c r="F39" s="60"/>
      <c r="G39" s="48"/>
      <c r="H39" s="2"/>
      <c r="I39" s="28"/>
      <c r="L39" s="86"/>
      <c r="M39" s="22"/>
      <c r="N39" s="86"/>
      <c r="O39" s="86"/>
      <c r="Q39" s="86"/>
      <c r="R39" s="86"/>
      <c r="S39" s="86"/>
      <c r="T39" s="100">
        <v>1652.5</v>
      </c>
      <c r="U39" s="100">
        <v>9301.7999999999993</v>
      </c>
      <c r="V39" s="100">
        <v>864.7</v>
      </c>
      <c r="W39" s="100">
        <v>22958.3</v>
      </c>
      <c r="X39" s="100">
        <v>33.9</v>
      </c>
      <c r="Y39" s="100">
        <v>130756.9</v>
      </c>
    </row>
    <row r="40" spans="1:27" x14ac:dyDescent="0.25">
      <c r="A40" s="17" t="s">
        <v>41</v>
      </c>
      <c r="B40" s="100">
        <v>9301.7999999999993</v>
      </c>
      <c r="C40" s="100">
        <v>1652.5</v>
      </c>
      <c r="D40" s="100">
        <v>33.9</v>
      </c>
      <c r="E40" s="60"/>
      <c r="F40" s="60"/>
      <c r="G40" s="48"/>
      <c r="H40" s="2"/>
      <c r="I40" s="28"/>
      <c r="L40" s="86"/>
      <c r="M40" s="22"/>
      <c r="N40" s="86"/>
      <c r="O40" s="86"/>
      <c r="Q40" s="86"/>
      <c r="R40" s="86"/>
      <c r="S40" s="86"/>
      <c r="T40" s="100">
        <v>1250.2</v>
      </c>
      <c r="U40" s="100">
        <v>4626.6000000000004</v>
      </c>
      <c r="V40" s="100">
        <v>858</v>
      </c>
      <c r="W40" s="100">
        <v>22964</v>
      </c>
      <c r="X40" s="101"/>
      <c r="Y40" s="100">
        <v>130696.8</v>
      </c>
    </row>
    <row r="41" spans="1:27" x14ac:dyDescent="0.25">
      <c r="A41" s="17" t="s">
        <v>42</v>
      </c>
      <c r="B41" s="100">
        <v>4626.6000000000004</v>
      </c>
      <c r="C41" s="100">
        <v>1250.2</v>
      </c>
      <c r="D41" s="101"/>
      <c r="E41" s="60"/>
      <c r="F41" s="48"/>
      <c r="G41" s="71"/>
      <c r="H41" s="2"/>
      <c r="I41" s="28"/>
      <c r="J41" s="82"/>
      <c r="L41" s="86"/>
      <c r="M41" s="22"/>
      <c r="N41" s="86"/>
      <c r="O41" s="86"/>
      <c r="Q41" s="86"/>
      <c r="R41" s="86"/>
      <c r="S41" s="34"/>
      <c r="T41" s="100">
        <v>886.1</v>
      </c>
      <c r="U41" s="100">
        <v>0.9</v>
      </c>
      <c r="V41" s="100">
        <v>897.5</v>
      </c>
      <c r="W41" s="100">
        <v>23817</v>
      </c>
      <c r="X41" s="100">
        <v>15.8</v>
      </c>
      <c r="Y41" s="100">
        <v>133791.29999999999</v>
      </c>
    </row>
    <row r="42" spans="1:27" x14ac:dyDescent="0.25">
      <c r="A42" s="17" t="s">
        <v>43</v>
      </c>
      <c r="B42" s="100">
        <v>0.9</v>
      </c>
      <c r="C42" s="100">
        <v>886.1</v>
      </c>
      <c r="D42" s="100">
        <v>15.8</v>
      </c>
      <c r="E42" s="60"/>
      <c r="F42" s="48"/>
      <c r="G42" s="60"/>
      <c r="H42" s="2"/>
      <c r="I42" s="28"/>
      <c r="L42" s="86"/>
      <c r="M42" s="22"/>
      <c r="N42" s="86"/>
      <c r="O42" s="86"/>
      <c r="Q42" s="86"/>
      <c r="R42" s="86"/>
      <c r="S42" s="86"/>
      <c r="T42" s="100">
        <v>870327.7</v>
      </c>
      <c r="U42" s="100">
        <v>6860416.0999999996</v>
      </c>
      <c r="V42" s="100">
        <v>850.9</v>
      </c>
      <c r="W42" s="100">
        <v>24296.1</v>
      </c>
      <c r="X42" s="100">
        <v>20344.900000000001</v>
      </c>
      <c r="Y42" s="100">
        <v>133452.5</v>
      </c>
    </row>
    <row r="43" spans="1:27" x14ac:dyDescent="0.25">
      <c r="A43" s="17" t="s">
        <v>31</v>
      </c>
      <c r="E43" s="60"/>
      <c r="F43" s="48"/>
      <c r="G43" s="60"/>
      <c r="H43" s="100">
        <v>6860416.0999999996</v>
      </c>
      <c r="I43" s="100">
        <v>870327.7</v>
      </c>
      <c r="J43" s="100">
        <v>20344.900000000001</v>
      </c>
      <c r="L43" s="86"/>
      <c r="M43" s="22"/>
      <c r="N43" s="86"/>
      <c r="O43" s="86"/>
      <c r="Q43" s="86"/>
      <c r="R43" s="86"/>
      <c r="S43" s="86"/>
      <c r="T43" s="100">
        <v>540194.69999999995</v>
      </c>
      <c r="U43" s="100">
        <v>5943516.5</v>
      </c>
      <c r="V43" s="100">
        <v>709.8</v>
      </c>
      <c r="W43" s="100">
        <v>20544.7</v>
      </c>
      <c r="X43" s="100">
        <v>7687.4</v>
      </c>
      <c r="Y43" s="100">
        <v>119089.5</v>
      </c>
    </row>
    <row r="44" spans="1:27" x14ac:dyDescent="0.25">
      <c r="A44" s="17" t="s">
        <v>32</v>
      </c>
      <c r="B44" s="100">
        <v>5943516.5</v>
      </c>
      <c r="C44" s="100">
        <v>540194.69999999995</v>
      </c>
      <c r="D44" s="100">
        <v>7687.4</v>
      </c>
      <c r="E44" s="60"/>
      <c r="F44" s="48"/>
      <c r="G44" s="60"/>
      <c r="H44" s="17"/>
      <c r="L44" s="86"/>
      <c r="M44" s="22"/>
      <c r="N44" s="86"/>
      <c r="O44" s="86"/>
      <c r="Q44" s="86"/>
      <c r="R44" s="86"/>
      <c r="S44" s="86"/>
      <c r="T44" s="100">
        <v>384556.9</v>
      </c>
      <c r="U44" s="100">
        <v>3911610</v>
      </c>
      <c r="V44" s="100">
        <v>758.8</v>
      </c>
      <c r="W44" s="100">
        <v>20710.8</v>
      </c>
      <c r="X44" s="100">
        <v>5308.8</v>
      </c>
      <c r="Y44" s="100">
        <v>118718.8</v>
      </c>
    </row>
    <row r="45" spans="1:27" x14ac:dyDescent="0.25">
      <c r="A45" s="17" t="s">
        <v>33</v>
      </c>
      <c r="B45" s="100">
        <v>3911610</v>
      </c>
      <c r="C45" s="100">
        <v>384556.9</v>
      </c>
      <c r="D45" s="100">
        <v>5308.8</v>
      </c>
      <c r="E45" s="60"/>
      <c r="F45" s="48"/>
      <c r="G45" s="60"/>
      <c r="H45" s="17"/>
      <c r="L45" s="86"/>
      <c r="M45" s="22"/>
      <c r="N45" s="86"/>
      <c r="O45" s="86"/>
      <c r="Q45" s="86"/>
      <c r="R45" s="86"/>
      <c r="S45" s="86"/>
      <c r="T45" s="100">
        <v>209065.2</v>
      </c>
      <c r="U45" s="100">
        <v>2018804.5</v>
      </c>
      <c r="V45" s="100">
        <v>821.9</v>
      </c>
      <c r="W45" s="100">
        <v>22087.4</v>
      </c>
      <c r="X45" s="100">
        <v>3017.2</v>
      </c>
      <c r="Y45" s="100">
        <v>125679.3</v>
      </c>
    </row>
    <row r="46" spans="1:27" s="16" customFormat="1" x14ac:dyDescent="0.25">
      <c r="A46" s="17" t="s">
        <v>34</v>
      </c>
      <c r="B46" s="100">
        <v>2018804.5</v>
      </c>
      <c r="C46" s="100">
        <v>209065.2</v>
      </c>
      <c r="D46" s="100">
        <v>3017.2</v>
      </c>
      <c r="E46" s="61"/>
      <c r="F46" s="60"/>
      <c r="G46" s="60"/>
      <c r="H46" s="17"/>
      <c r="L46" s="86"/>
      <c r="M46" s="22"/>
      <c r="N46" s="86"/>
      <c r="O46" s="86"/>
      <c r="Q46" s="86"/>
      <c r="R46" s="86"/>
      <c r="S46" s="86"/>
      <c r="T46" s="100">
        <v>37876.199999999997</v>
      </c>
      <c r="U46" s="100">
        <v>367508</v>
      </c>
      <c r="V46" s="100">
        <v>877.9</v>
      </c>
      <c r="W46" s="100">
        <v>23211.7</v>
      </c>
      <c r="X46" s="100">
        <v>591.4</v>
      </c>
      <c r="Y46" s="100">
        <v>131820.4</v>
      </c>
    </row>
    <row r="47" spans="1:27" s="16" customFormat="1" x14ac:dyDescent="0.25">
      <c r="A47" s="17" t="s">
        <v>35</v>
      </c>
      <c r="B47" s="100">
        <v>367508</v>
      </c>
      <c r="C47" s="100">
        <v>37876.199999999997</v>
      </c>
      <c r="D47" s="100">
        <v>591.4</v>
      </c>
      <c r="E47" s="61"/>
      <c r="F47" s="60"/>
      <c r="G47" s="60"/>
      <c r="H47" s="17"/>
      <c r="I47" s="28"/>
      <c r="L47" s="86"/>
      <c r="M47" s="22"/>
      <c r="N47" s="86"/>
      <c r="O47" s="86"/>
      <c r="Q47" s="86"/>
      <c r="R47" s="86"/>
      <c r="S47" s="86"/>
      <c r="T47" s="100">
        <v>29129.3</v>
      </c>
      <c r="U47" s="100">
        <v>172133.2</v>
      </c>
      <c r="V47" s="100">
        <v>889</v>
      </c>
      <c r="W47" s="100">
        <v>23478</v>
      </c>
      <c r="X47" s="100">
        <v>495.1</v>
      </c>
      <c r="Y47" s="100">
        <v>133311.20000000001</v>
      </c>
    </row>
    <row r="48" spans="1:27" s="16" customFormat="1" x14ac:dyDescent="0.25">
      <c r="A48" s="17" t="s">
        <v>36</v>
      </c>
      <c r="B48" s="100">
        <v>172133.2</v>
      </c>
      <c r="C48" s="100">
        <v>29129.3</v>
      </c>
      <c r="D48" s="100">
        <v>495.1</v>
      </c>
      <c r="E48" s="61"/>
      <c r="F48" s="60"/>
      <c r="G48" s="71"/>
      <c r="H48" s="2"/>
      <c r="I48" s="28"/>
      <c r="L48" s="86"/>
      <c r="M48" s="22"/>
      <c r="N48" s="86"/>
      <c r="O48" s="86"/>
      <c r="Q48" s="86"/>
      <c r="R48" s="86"/>
      <c r="S48" s="34"/>
      <c r="T48" s="100">
        <v>806.8</v>
      </c>
      <c r="U48" s="100">
        <v>0.4</v>
      </c>
      <c r="V48" s="100">
        <v>835.9</v>
      </c>
      <c r="W48" s="100">
        <v>22315.7</v>
      </c>
      <c r="X48" s="100">
        <v>16.7</v>
      </c>
      <c r="Y48" s="100">
        <v>123708.9</v>
      </c>
    </row>
    <row r="49" spans="1:25" s="49" customFormat="1" x14ac:dyDescent="0.25">
      <c r="A49" s="17" t="s">
        <v>19</v>
      </c>
      <c r="B49" s="100">
        <v>0.4</v>
      </c>
      <c r="C49" s="100">
        <v>3988.2</v>
      </c>
      <c r="D49" s="100">
        <v>143</v>
      </c>
      <c r="E49" s="104">
        <v>131246.79999999999</v>
      </c>
      <c r="F49" s="104">
        <v>4853.8</v>
      </c>
      <c r="G49" s="104">
        <v>730165.7</v>
      </c>
      <c r="L49" s="34"/>
      <c r="M49" s="22"/>
      <c r="N49" s="86"/>
      <c r="O49" s="86"/>
      <c r="Q49" s="86"/>
      <c r="R49" s="86"/>
      <c r="S49" s="86"/>
      <c r="T49" s="100">
        <v>771.7</v>
      </c>
      <c r="U49" s="100">
        <v>2.7</v>
      </c>
      <c r="V49" s="100">
        <v>796.4</v>
      </c>
      <c r="W49" s="100">
        <v>21422.9</v>
      </c>
      <c r="X49" s="100">
        <v>12.9</v>
      </c>
      <c r="Y49" s="100">
        <v>120653.7</v>
      </c>
    </row>
    <row r="50" spans="1:25" s="49" customFormat="1" x14ac:dyDescent="0.25">
      <c r="A50" s="17" t="s">
        <v>20</v>
      </c>
      <c r="B50" s="100">
        <v>0.4</v>
      </c>
      <c r="C50" s="100">
        <v>4027.3</v>
      </c>
      <c r="D50" s="100">
        <v>142.6</v>
      </c>
      <c r="E50" s="104">
        <v>131784.4</v>
      </c>
      <c r="F50" s="104">
        <v>4905</v>
      </c>
      <c r="G50" s="104">
        <v>730024.5</v>
      </c>
      <c r="L50" s="34"/>
      <c r="M50" s="22"/>
      <c r="N50" s="86"/>
      <c r="O50" s="86"/>
      <c r="Q50" s="86"/>
      <c r="R50" s="86"/>
      <c r="S50" s="86"/>
      <c r="T50" s="100">
        <v>752.2</v>
      </c>
      <c r="U50" s="100">
        <v>0.2</v>
      </c>
      <c r="V50" s="100">
        <v>812.4</v>
      </c>
      <c r="W50" s="100">
        <v>21730.799999999999</v>
      </c>
      <c r="X50" s="100">
        <v>13.8</v>
      </c>
      <c r="Y50" s="100">
        <v>123194.6</v>
      </c>
    </row>
    <row r="51" spans="1:25" s="49" customFormat="1" x14ac:dyDescent="0.25">
      <c r="A51" s="17" t="s">
        <v>21</v>
      </c>
      <c r="B51" s="100">
        <v>53.2</v>
      </c>
      <c r="C51" s="100">
        <v>4052.4</v>
      </c>
      <c r="D51" s="100">
        <v>142.19999999999999</v>
      </c>
      <c r="E51" s="104">
        <v>131301</v>
      </c>
      <c r="F51" s="104">
        <v>4984.3999999999996</v>
      </c>
      <c r="G51" s="104">
        <v>730529.4</v>
      </c>
      <c r="J51" s="52"/>
      <c r="L51" s="86"/>
      <c r="M51" s="22"/>
      <c r="N51" s="86"/>
      <c r="O51" s="86"/>
      <c r="Q51" s="86"/>
      <c r="R51" s="86"/>
      <c r="S51" s="86"/>
      <c r="T51" s="100">
        <v>3988.2</v>
      </c>
      <c r="U51" s="100">
        <v>0.4</v>
      </c>
      <c r="V51" s="100">
        <v>4853.8</v>
      </c>
      <c r="W51" s="100">
        <v>131246.79999999999</v>
      </c>
      <c r="X51" s="100">
        <v>143</v>
      </c>
      <c r="Y51" s="100">
        <v>730165.7</v>
      </c>
    </row>
    <row r="52" spans="1:25" s="49" customFormat="1" x14ac:dyDescent="0.25">
      <c r="A52" s="17" t="s">
        <v>22</v>
      </c>
      <c r="B52" s="100">
        <v>0.4</v>
      </c>
      <c r="C52" s="100">
        <v>806.8</v>
      </c>
      <c r="D52" s="100">
        <v>16.7</v>
      </c>
      <c r="E52" s="104">
        <v>22315.7</v>
      </c>
      <c r="F52" s="104">
        <v>835.9</v>
      </c>
      <c r="G52" s="104">
        <v>123708.9</v>
      </c>
      <c r="H52" s="86">
        <v>25290</v>
      </c>
      <c r="I52" s="86">
        <v>978.1</v>
      </c>
      <c r="J52" s="86">
        <v>81932</v>
      </c>
      <c r="L52" s="86"/>
      <c r="M52" s="22"/>
      <c r="N52" s="86"/>
      <c r="O52" s="86"/>
      <c r="Q52" s="86"/>
      <c r="R52" s="86"/>
      <c r="S52" s="86"/>
      <c r="T52" s="100">
        <v>4027.3</v>
      </c>
      <c r="U52" s="100">
        <v>0.4</v>
      </c>
      <c r="V52" s="100">
        <v>4905</v>
      </c>
      <c r="W52" s="100">
        <v>131784.4</v>
      </c>
      <c r="X52" s="100">
        <v>142.6</v>
      </c>
      <c r="Y52" s="100">
        <v>730024.5</v>
      </c>
    </row>
    <row r="53" spans="1:25" s="49" customFormat="1" x14ac:dyDescent="0.25">
      <c r="A53" s="17" t="s">
        <v>23</v>
      </c>
      <c r="B53" s="100">
        <v>2.7</v>
      </c>
      <c r="C53" s="100">
        <v>771.7</v>
      </c>
      <c r="D53" s="100">
        <v>12.9</v>
      </c>
      <c r="E53" s="104">
        <v>21422.9</v>
      </c>
      <c r="F53" s="104">
        <v>796.4</v>
      </c>
      <c r="G53" s="104">
        <v>120653.7</v>
      </c>
      <c r="H53" s="86">
        <v>21925.3</v>
      </c>
      <c r="I53" s="86">
        <v>855.7</v>
      </c>
      <c r="J53" s="86">
        <v>71650.100000000006</v>
      </c>
      <c r="L53" s="86"/>
      <c r="M53" s="22"/>
      <c r="N53" s="86"/>
      <c r="O53" s="86"/>
      <c r="Q53" s="86"/>
      <c r="R53" s="86"/>
      <c r="S53" s="86"/>
      <c r="T53" s="100">
        <v>4052.4</v>
      </c>
      <c r="U53" s="100">
        <v>53.2</v>
      </c>
      <c r="V53" s="100">
        <v>4984.3999999999996</v>
      </c>
      <c r="W53" s="100">
        <v>131301</v>
      </c>
      <c r="X53" s="100">
        <v>142.19999999999999</v>
      </c>
      <c r="Y53" s="100">
        <v>730529.4</v>
      </c>
    </row>
    <row r="54" spans="1:25" s="49" customFormat="1" x14ac:dyDescent="0.25">
      <c r="A54" s="21" t="s">
        <v>24</v>
      </c>
      <c r="B54" s="100">
        <v>0.2</v>
      </c>
      <c r="C54" s="100">
        <v>752.2</v>
      </c>
      <c r="D54" s="100">
        <v>13.8</v>
      </c>
      <c r="E54" s="104">
        <v>21730.799999999999</v>
      </c>
      <c r="F54" s="104">
        <v>812.4</v>
      </c>
      <c r="G54" s="104">
        <v>123194.6</v>
      </c>
      <c r="H54" s="86">
        <v>17311.099999999999</v>
      </c>
      <c r="I54" s="86">
        <v>672.6</v>
      </c>
      <c r="J54" s="86">
        <v>57530.1</v>
      </c>
      <c r="L54" s="86"/>
      <c r="M54" s="22"/>
      <c r="N54" s="86"/>
      <c r="O54" s="86"/>
      <c r="Q54" s="86"/>
      <c r="R54" s="86"/>
      <c r="S54" s="86"/>
      <c r="T54" s="100">
        <v>103596.9</v>
      </c>
      <c r="U54" s="100">
        <v>57199.9</v>
      </c>
      <c r="V54" s="100">
        <v>811.7</v>
      </c>
      <c r="W54" s="100">
        <v>21829</v>
      </c>
      <c r="X54" s="100">
        <v>2983.4</v>
      </c>
      <c r="Y54" s="100">
        <v>123194</v>
      </c>
    </row>
    <row r="55" spans="1:25" x14ac:dyDescent="0.25">
      <c r="A55" s="17"/>
      <c r="D55" s="18"/>
      <c r="E55" s="1"/>
      <c r="F55" s="1"/>
      <c r="G55" s="1"/>
      <c r="L55" s="86"/>
      <c r="M55" s="22"/>
      <c r="N55" s="86"/>
      <c r="O55" s="86"/>
      <c r="Q55" s="86"/>
      <c r="R55" s="86"/>
      <c r="S55" s="86"/>
      <c r="T55" s="100">
        <v>116421.1</v>
      </c>
      <c r="U55" s="100">
        <v>66548.100000000006</v>
      </c>
      <c r="V55" s="100">
        <v>845.1</v>
      </c>
      <c r="W55" s="100">
        <v>20583.2</v>
      </c>
      <c r="X55" s="100">
        <v>3289</v>
      </c>
      <c r="Y55" s="100">
        <v>118748.9</v>
      </c>
    </row>
    <row r="56" spans="1:25" s="23" customFormat="1" x14ac:dyDescent="0.25">
      <c r="A56" s="17"/>
      <c r="B56" s="21"/>
      <c r="C56" s="21"/>
      <c r="D56" s="18"/>
      <c r="E56" s="21"/>
      <c r="F56" s="21"/>
      <c r="G56" s="21"/>
      <c r="L56" s="86"/>
      <c r="M56" s="22"/>
      <c r="N56" s="86"/>
      <c r="O56" s="86"/>
      <c r="Q56" s="86"/>
      <c r="R56" s="86"/>
      <c r="S56" s="86"/>
      <c r="T56" s="100">
        <v>123895.3</v>
      </c>
      <c r="U56" s="100">
        <v>72130.899999999994</v>
      </c>
      <c r="V56" s="100">
        <v>764.3</v>
      </c>
      <c r="W56" s="100">
        <v>20361.900000000001</v>
      </c>
      <c r="X56" s="100">
        <v>3465.1</v>
      </c>
      <c r="Y56" s="100">
        <v>116468.5</v>
      </c>
    </row>
    <row r="57" spans="1:25" s="23" customFormat="1" x14ac:dyDescent="0.25">
      <c r="A57" s="35" t="s">
        <v>17</v>
      </c>
      <c r="B57" s="36"/>
      <c r="C57" s="36"/>
      <c r="D57" s="36"/>
      <c r="E57" s="36"/>
      <c r="F57" s="36"/>
      <c r="G57" s="36"/>
      <c r="H57" s="36"/>
      <c r="I57" s="36"/>
      <c r="L57" s="89"/>
      <c r="M57" s="22"/>
      <c r="N57" s="22"/>
      <c r="O57" s="67"/>
      <c r="S57" s="91"/>
      <c r="T57" s="91"/>
      <c r="U57" s="91"/>
      <c r="V57" s="91"/>
      <c r="W57" s="91"/>
      <c r="X57" s="99"/>
    </row>
    <row r="58" spans="1:25" s="23" customFormat="1" x14ac:dyDescent="0.25">
      <c r="A58" s="30" t="s">
        <v>18</v>
      </c>
      <c r="B58" s="31" t="s">
        <v>1</v>
      </c>
      <c r="C58" s="31" t="s">
        <v>0</v>
      </c>
      <c r="D58" s="37" t="s">
        <v>3</v>
      </c>
      <c r="E58" s="31" t="s">
        <v>12</v>
      </c>
      <c r="F58" s="32" t="s">
        <v>11</v>
      </c>
      <c r="G58" s="31" t="s">
        <v>10</v>
      </c>
      <c r="H58" s="37" t="s">
        <v>15</v>
      </c>
      <c r="I58" s="31" t="s">
        <v>14</v>
      </c>
      <c r="J58" s="33" t="s">
        <v>13</v>
      </c>
      <c r="O58" s="67"/>
      <c r="S58" s="91"/>
      <c r="T58" s="91"/>
      <c r="U58" s="91"/>
      <c r="V58" s="91"/>
      <c r="W58" s="91"/>
      <c r="X58" s="91"/>
    </row>
    <row r="59" spans="1:25" s="23" customFormat="1" x14ac:dyDescent="0.25">
      <c r="A59" s="42" t="s">
        <v>61</v>
      </c>
      <c r="B59" s="100">
        <v>57199.9</v>
      </c>
      <c r="C59" s="100">
        <v>103596.9</v>
      </c>
      <c r="D59" s="100">
        <v>2983.4</v>
      </c>
      <c r="E59" s="43">
        <f>(B59*$C$28)+$C$30</f>
        <v>6626.2173227854546</v>
      </c>
      <c r="F59" s="43">
        <f>(C59*$G$28)+$G$30</f>
        <v>14186.725473938437</v>
      </c>
      <c r="G59" s="43">
        <f>(D59*M28)+M30</f>
        <v>7.6039028204141381</v>
      </c>
      <c r="H59" s="96">
        <f>((E59-8000)/8000)*100</f>
        <v>-17.172283465181817</v>
      </c>
      <c r="I59" s="96">
        <f>((F59-16000)/16000)*100</f>
        <v>-11.332965787884769</v>
      </c>
      <c r="J59" s="96">
        <f>((G59-10)/10)*100</f>
        <v>-23.960971795858619</v>
      </c>
      <c r="O59" s="67"/>
      <c r="S59" s="91"/>
      <c r="T59" s="91"/>
      <c r="U59" s="91"/>
      <c r="V59" s="91"/>
      <c r="W59" s="91"/>
      <c r="X59" s="91"/>
    </row>
    <row r="60" spans="1:25" s="69" customFormat="1" x14ac:dyDescent="0.25">
      <c r="A60" s="42" t="s">
        <v>61</v>
      </c>
      <c r="B60" s="100">
        <v>66548.100000000006</v>
      </c>
      <c r="C60" s="100">
        <v>116421.1</v>
      </c>
      <c r="D60" s="100">
        <v>3289</v>
      </c>
      <c r="E60" s="43">
        <f>(B60*$C$28)+$C$30</f>
        <v>7706.1255178249839</v>
      </c>
      <c r="F60" s="43">
        <f>(C60*$I$28)+$I$30</f>
        <v>14310.994694842195</v>
      </c>
      <c r="G60" s="43">
        <f>(D60*M28)+M30</f>
        <v>8.4551541330749078</v>
      </c>
      <c r="H60" s="96">
        <f t="shared" ref="H60:H61" si="0">((E60-8000)/8000)*100</f>
        <v>-3.6734310271877004</v>
      </c>
      <c r="I60" s="96">
        <f t="shared" ref="I60:I61" si="1">((F60-16000)/16000)*100</f>
        <v>-10.556283157236281</v>
      </c>
      <c r="J60" s="96">
        <f>((G60-10)/10)*100</f>
        <v>-15.448458669250922</v>
      </c>
      <c r="S60" s="91"/>
      <c r="T60" s="91"/>
      <c r="U60" s="91"/>
      <c r="V60" s="91"/>
      <c r="W60" s="91"/>
      <c r="X60" s="91"/>
    </row>
    <row r="61" spans="1:25" s="69" customFormat="1" x14ac:dyDescent="0.25">
      <c r="A61" s="42" t="s">
        <v>61</v>
      </c>
      <c r="B61" s="100">
        <v>72130.899999999994</v>
      </c>
      <c r="C61" s="100">
        <v>123895.3</v>
      </c>
      <c r="D61" s="100">
        <v>3465.1</v>
      </c>
      <c r="E61" s="43">
        <f>(B61*$C$28)+$C$30</f>
        <v>8351.0530409060775</v>
      </c>
      <c r="F61" s="43">
        <f>(C61*$I$28)+$I$30</f>
        <v>15349.224652811743</v>
      </c>
      <c r="G61" s="43">
        <f>(D61*M28)+M30</f>
        <v>8.9456821309792325</v>
      </c>
      <c r="H61" s="96">
        <f t="shared" si="0"/>
        <v>4.3881630113259691</v>
      </c>
      <c r="I61" s="96">
        <f t="shared" si="1"/>
        <v>-4.0673459199266064</v>
      </c>
      <c r="J61" s="96">
        <f>((G61-10)/10)*100</f>
        <v>-10.543178690207675</v>
      </c>
      <c r="S61" s="91"/>
      <c r="T61" s="91"/>
      <c r="U61" s="91"/>
      <c r="V61" s="91"/>
      <c r="W61" s="91"/>
      <c r="X61" s="91"/>
    </row>
    <row r="62" spans="1:25" s="69" customFormat="1" ht="14.4" x14ac:dyDescent="0.3">
      <c r="A62" s="76"/>
      <c r="B62" s="58"/>
      <c r="C62" s="58"/>
      <c r="D62" s="77"/>
      <c r="E62" s="78"/>
      <c r="F62" s="79"/>
      <c r="G62" s="85"/>
      <c r="H62" s="84"/>
      <c r="I62" s="84"/>
      <c r="S62" s="91"/>
      <c r="T62" s="91"/>
      <c r="U62" s="91"/>
      <c r="V62" s="91"/>
      <c r="W62" s="91"/>
      <c r="X62" s="91"/>
    </row>
    <row r="63" spans="1:25" s="69" customFormat="1" ht="14.4" x14ac:dyDescent="0.3">
      <c r="A63" s="76"/>
      <c r="B63" s="58"/>
      <c r="C63" s="58"/>
      <c r="D63" s="77"/>
      <c r="E63" s="78"/>
      <c r="F63" s="79"/>
      <c r="G63" s="79"/>
      <c r="H63" s="80"/>
      <c r="I63" s="80"/>
      <c r="J63" s="81"/>
    </row>
    <row r="64" spans="1:25" x14ac:dyDescent="0.25">
      <c r="D64" s="110" t="s">
        <v>27</v>
      </c>
      <c r="E64" s="110"/>
      <c r="F64" s="68" t="s">
        <v>26</v>
      </c>
      <c r="G64" s="110" t="s">
        <v>25</v>
      </c>
      <c r="H64" s="110"/>
      <c r="I64" s="110"/>
      <c r="J64" s="49"/>
      <c r="K64" s="49"/>
      <c r="L64" s="49"/>
      <c r="M64" s="49"/>
      <c r="N64" s="49"/>
      <c r="P64" s="49"/>
      <c r="Q64" s="49"/>
      <c r="R64" s="49"/>
      <c r="S64" s="49"/>
      <c r="T64" s="49"/>
      <c r="U64" s="49"/>
      <c r="V64" s="49"/>
    </row>
    <row r="65" spans="1:27" x14ac:dyDescent="0.25">
      <c r="A65" s="20" t="s">
        <v>16</v>
      </c>
      <c r="B65" s="14" t="s">
        <v>8</v>
      </c>
      <c r="C65" s="14" t="s">
        <v>9</v>
      </c>
      <c r="D65" s="55" t="s">
        <v>48</v>
      </c>
      <c r="E65" s="56" t="s">
        <v>49</v>
      </c>
      <c r="F65" s="59" t="s">
        <v>50</v>
      </c>
      <c r="G65" s="21" t="s">
        <v>51</v>
      </c>
      <c r="H65" s="21" t="s">
        <v>52</v>
      </c>
      <c r="I65" s="21" t="s">
        <v>53</v>
      </c>
      <c r="J65" s="21" t="s">
        <v>12</v>
      </c>
      <c r="K65" s="15" t="s">
        <v>11</v>
      </c>
      <c r="L65" s="21" t="s">
        <v>10</v>
      </c>
      <c r="M65" s="24" t="s">
        <v>54</v>
      </c>
      <c r="N65" s="24" t="s">
        <v>55</v>
      </c>
      <c r="O65" s="24" t="s">
        <v>56</v>
      </c>
      <c r="P65" s="21" t="s">
        <v>15</v>
      </c>
      <c r="Q65" s="21" t="s">
        <v>14</v>
      </c>
      <c r="R65" s="21" t="s">
        <v>13</v>
      </c>
      <c r="S65" s="24" t="s">
        <v>59</v>
      </c>
      <c r="T65" s="24" t="s">
        <v>60</v>
      </c>
      <c r="U65" s="17" t="s">
        <v>28</v>
      </c>
      <c r="V65" s="24" t="s">
        <v>63</v>
      </c>
      <c r="W65" s="24" t="s">
        <v>64</v>
      </c>
      <c r="X65" s="21" t="s">
        <v>68</v>
      </c>
      <c r="Y65" s="24" t="s">
        <v>65</v>
      </c>
      <c r="Z65" s="24" t="s">
        <v>66</v>
      </c>
      <c r="AA65" s="17" t="s">
        <v>67</v>
      </c>
    </row>
    <row r="66" spans="1:27" x14ac:dyDescent="0.25">
      <c r="A66" s="21" t="s">
        <v>74</v>
      </c>
      <c r="B66" s="109" t="str">
        <f>RIGHT(A66, LEN(A66) - 17)</f>
        <v>SG20.0334.DATA</v>
      </c>
      <c r="C66" s="109" t="str">
        <f>LEFT(B66, LEN(B66) -5)&amp;"R"</f>
        <v>SG20.0334R</v>
      </c>
      <c r="D66" s="86">
        <v>6474344.4000000004</v>
      </c>
      <c r="E66" s="86">
        <v>94415.6</v>
      </c>
      <c r="F66" s="34"/>
      <c r="G66" s="86">
        <v>22510.400000000001</v>
      </c>
      <c r="H66" s="86">
        <v>3184.1</v>
      </c>
      <c r="I66" s="86">
        <v>313652.2</v>
      </c>
      <c r="J66" s="88">
        <f>IF($D66&lt;=$B$36,($D66*$C$28)+$C$30,($D66*$E$28)+$E$30)</f>
        <v>736244.39848559932</v>
      </c>
      <c r="K66" s="88">
        <f>IF($E66&lt;=$C$36,($E66*$G$28)+$G$30,($E66*$I$28)+$I$30)</f>
        <v>11254.243558921447</v>
      </c>
      <c r="L66" s="105">
        <v>-0.03</v>
      </c>
      <c r="M66" s="65">
        <f t="shared" ref="M66:M104" si="2">$G66*$O$28+$O$30</f>
        <v>0.13168226054562826</v>
      </c>
      <c r="N66" s="65">
        <f t="shared" ref="N66:N104" si="3">$H66*$Q$28+$Q$30</f>
        <v>0.53744229053987924</v>
      </c>
      <c r="O66" s="65">
        <f t="shared" ref="O66:O104" si="4">$I66*$S$28+$S$30</f>
        <v>24.558196411754984</v>
      </c>
      <c r="P66" s="87"/>
      <c r="Q66" s="96"/>
      <c r="R66" s="96"/>
      <c r="S66" s="94"/>
      <c r="T66" s="94"/>
      <c r="U66" s="94"/>
    </row>
    <row r="67" spans="1:27" x14ac:dyDescent="0.25">
      <c r="A67" s="21" t="s">
        <v>75</v>
      </c>
      <c r="B67" s="109" t="str">
        <f t="shared" ref="B67:B75" si="5">RIGHT(A67, LEN(A67) - 17)</f>
        <v>SG20.0333.DATA</v>
      </c>
      <c r="C67" s="109" t="str">
        <f t="shared" ref="C67:C75" si="6">LEFT(B67, LEN(B67) -5)&amp;"R"</f>
        <v>SG20.0333R</v>
      </c>
      <c r="D67" s="86">
        <v>6662237.7999999998</v>
      </c>
      <c r="E67" s="86">
        <v>96399.8</v>
      </c>
      <c r="F67" s="86">
        <v>9.6999999999999993</v>
      </c>
      <c r="G67" s="86">
        <v>18240.599999999999</v>
      </c>
      <c r="H67" s="86">
        <v>3096.1</v>
      </c>
      <c r="I67" s="86">
        <v>295401.7</v>
      </c>
      <c r="J67" s="88">
        <f t="shared" ref="J67:J104" si="7">IF($D67&lt;=$B$36,($D67*$C$28)+$C$30,($D67*$E$28)+$E$30)</f>
        <v>757555.91413581604</v>
      </c>
      <c r="K67" s="88">
        <f t="shared" ref="K67:K104" si="8">IF($E67&lt;=$C$36,($E67*$G$28)+$G$30,($E67*$I$28)+$I$30)</f>
        <v>11529.865817170246</v>
      </c>
      <c r="L67" s="105">
        <v>-0.01</v>
      </c>
      <c r="M67" s="65">
        <f t="shared" si="2"/>
        <v>-0.68430604177061216</v>
      </c>
      <c r="N67" s="65">
        <f t="shared" si="3"/>
        <v>0.51748636138818305</v>
      </c>
      <c r="O67" s="65">
        <f t="shared" si="4"/>
        <v>22.213274324990422</v>
      </c>
      <c r="P67" s="87"/>
      <c r="Q67" s="92"/>
      <c r="R67" s="93"/>
      <c r="S67" s="66"/>
      <c r="T67" s="66"/>
      <c r="U67" s="66"/>
    </row>
    <row r="68" spans="1:27" x14ac:dyDescent="0.25">
      <c r="A68" s="21" t="s">
        <v>76</v>
      </c>
      <c r="B68" s="109" t="str">
        <f t="shared" si="5"/>
        <v>SG20.0332.DATA</v>
      </c>
      <c r="C68" s="109" t="str">
        <f t="shared" si="6"/>
        <v>SG20.0332R</v>
      </c>
      <c r="D68" s="86">
        <v>5833354.4000000004</v>
      </c>
      <c r="E68" s="86">
        <v>70101.899999999994</v>
      </c>
      <c r="F68" s="86">
        <v>57</v>
      </c>
      <c r="G68" s="86">
        <v>22822.9</v>
      </c>
      <c r="H68" s="86">
        <v>3681.4</v>
      </c>
      <c r="I68" s="86">
        <v>364423.5</v>
      </c>
      <c r="J68" s="88">
        <f t="shared" si="7"/>
        <v>663541.10812717036</v>
      </c>
      <c r="K68" s="88">
        <f t="shared" si="8"/>
        <v>7876.8638087028048</v>
      </c>
      <c r="L68" s="105">
        <f t="shared" ref="L68" si="9">(F68*$K$28)+$K$30</f>
        <v>8.6360339717066734E-2</v>
      </c>
      <c r="M68" s="65">
        <f t="shared" si="2"/>
        <v>0.19140317123789075</v>
      </c>
      <c r="N68" s="65">
        <f t="shared" si="3"/>
        <v>0.6502159674391812</v>
      </c>
      <c r="O68" s="65">
        <f t="shared" si="4"/>
        <v>31.081565236924142</v>
      </c>
      <c r="P68" s="96"/>
      <c r="Q68" s="96"/>
      <c r="R68" s="96"/>
      <c r="S68" s="66"/>
      <c r="T68" s="66"/>
      <c r="U68" s="66"/>
    </row>
    <row r="69" spans="1:27" x14ac:dyDescent="0.25">
      <c r="A69" s="21" t="s">
        <v>77</v>
      </c>
      <c r="B69" s="109" t="str">
        <f t="shared" si="5"/>
        <v>SG20.0331.DATA</v>
      </c>
      <c r="C69" s="109" t="str">
        <f t="shared" si="6"/>
        <v>SG20.0331R</v>
      </c>
      <c r="D69" s="86">
        <v>5775445</v>
      </c>
      <c r="E69" s="86">
        <v>71901.100000000006</v>
      </c>
      <c r="F69" s="86">
        <v>41.5</v>
      </c>
      <c r="G69" s="86">
        <v>23952.7</v>
      </c>
      <c r="H69" s="86">
        <v>3715.8</v>
      </c>
      <c r="I69" s="86">
        <v>366894.1</v>
      </c>
      <c r="J69" s="88">
        <f t="shared" si="7"/>
        <v>656972.82481123332</v>
      </c>
      <c r="K69" s="88">
        <f t="shared" si="8"/>
        <v>8126.7879932815995</v>
      </c>
      <c r="L69" s="105">
        <f t="shared" ref="L69:L103" si="10">IF($F69&lt;=(($D$36*0.1)+$D$36),($F69*$K$28)+$K$30,($F69*$M$28)+$M$30)</f>
        <v>5.5842999333581597E-2</v>
      </c>
      <c r="M69" s="65">
        <f t="shared" si="2"/>
        <v>0.40731576291827132</v>
      </c>
      <c r="N69" s="65">
        <f t="shared" si="3"/>
        <v>0.658016921562117</v>
      </c>
      <c r="O69" s="65">
        <f t="shared" si="4"/>
        <v>31.399001170600506</v>
      </c>
      <c r="P69" s="97"/>
      <c r="Q69" s="97"/>
      <c r="R69" s="98"/>
      <c r="S69" s="66"/>
      <c r="T69" s="66"/>
      <c r="U69" s="66"/>
    </row>
    <row r="70" spans="1:27" x14ac:dyDescent="0.25">
      <c r="A70" s="21" t="s">
        <v>78</v>
      </c>
      <c r="B70" s="109" t="str">
        <f t="shared" si="5"/>
        <v>SG20.0330.DATA</v>
      </c>
      <c r="C70" s="109" t="str">
        <f t="shared" si="6"/>
        <v>SG20.0330R</v>
      </c>
      <c r="D70" s="86">
        <v>6435438.5999999996</v>
      </c>
      <c r="E70" s="86">
        <v>84495</v>
      </c>
      <c r="F70" s="86">
        <v>211.1</v>
      </c>
      <c r="G70" s="86">
        <v>14001.5</v>
      </c>
      <c r="H70" s="86">
        <v>3591.5</v>
      </c>
      <c r="I70" s="86">
        <v>329893.3</v>
      </c>
      <c r="J70" s="88">
        <f t="shared" si="7"/>
        <v>731831.56884078891</v>
      </c>
      <c r="K70" s="88">
        <f t="shared" si="8"/>
        <v>9876.1878310799821</v>
      </c>
      <c r="L70" s="105">
        <f t="shared" ref="L70" si="11">(F70*$K$28)+$K$30</f>
        <v>0.3897617689490061</v>
      </c>
      <c r="M70" s="65">
        <f t="shared" si="2"/>
        <v>-1.4944273618204433</v>
      </c>
      <c r="N70" s="65">
        <f t="shared" si="3"/>
        <v>0.62982917163534591</v>
      </c>
      <c r="O70" s="65">
        <f t="shared" si="4"/>
        <v>26.644940013483811</v>
      </c>
      <c r="P70" s="96"/>
      <c r="Q70" s="96"/>
      <c r="R70" s="96"/>
      <c r="S70" s="66"/>
      <c r="T70" s="66"/>
      <c r="U70" s="66"/>
    </row>
    <row r="71" spans="1:27" x14ac:dyDescent="0.25">
      <c r="A71" s="21" t="s">
        <v>79</v>
      </c>
      <c r="B71" s="109" t="str">
        <f t="shared" si="5"/>
        <v>SG20.0329.DATA</v>
      </c>
      <c r="C71" s="109" t="str">
        <f t="shared" si="6"/>
        <v>SG20.0329R</v>
      </c>
      <c r="D71" s="86">
        <v>4876042.2</v>
      </c>
      <c r="E71" s="86">
        <v>100364.3</v>
      </c>
      <c r="F71" s="86">
        <v>74.599999999999994</v>
      </c>
      <c r="G71" s="86">
        <v>34805.9</v>
      </c>
      <c r="H71" s="86">
        <v>4073.5</v>
      </c>
      <c r="I71" s="86">
        <v>430544.8</v>
      </c>
      <c r="J71" s="88">
        <f t="shared" si="7"/>
        <v>554959.46591704781</v>
      </c>
      <c r="K71" s="88">
        <f t="shared" si="8"/>
        <v>12080.56859049318</v>
      </c>
      <c r="L71" s="105">
        <f t="shared" si="10"/>
        <v>0.12101228750734663</v>
      </c>
      <c r="M71" s="65">
        <f t="shared" si="2"/>
        <v>2.481437324279133</v>
      </c>
      <c r="N71" s="65">
        <f t="shared" si="3"/>
        <v>0.73913323812531884</v>
      </c>
      <c r="O71" s="65">
        <f t="shared" si="4"/>
        <v>39.577184358350173</v>
      </c>
      <c r="P71" s="38"/>
      <c r="Q71" s="38"/>
      <c r="S71" s="66"/>
      <c r="T71" s="66"/>
      <c r="U71" s="66"/>
    </row>
    <row r="72" spans="1:27" x14ac:dyDescent="0.25">
      <c r="A72" s="21" t="s">
        <v>80</v>
      </c>
      <c r="B72" s="109" t="str">
        <f t="shared" si="5"/>
        <v>SG20.0328.DATA</v>
      </c>
      <c r="C72" s="109" t="str">
        <f t="shared" si="6"/>
        <v>SG20.0328R</v>
      </c>
      <c r="D72" s="86">
        <v>4826650.0999999996</v>
      </c>
      <c r="E72" s="86">
        <v>41230.5</v>
      </c>
      <c r="F72" s="86">
        <v>87.7</v>
      </c>
      <c r="G72" s="86">
        <v>43460.7</v>
      </c>
      <c r="H72" s="86">
        <v>3945.2</v>
      </c>
      <c r="I72" s="86">
        <v>427288.9</v>
      </c>
      <c r="J72" s="88">
        <f t="shared" si="7"/>
        <v>549357.24406068085</v>
      </c>
      <c r="K72" s="88">
        <f t="shared" si="8"/>
        <v>3866.3807592096218</v>
      </c>
      <c r="L72" s="105">
        <f t="shared" ref="L72" si="12">(F72*$K$28)+$K$30</f>
        <v>0.14680436228306634</v>
      </c>
      <c r="M72" s="65">
        <f t="shared" si="2"/>
        <v>4.1354294454292067</v>
      </c>
      <c r="N72" s="65">
        <f t="shared" si="3"/>
        <v>0.71003840050983436</v>
      </c>
      <c r="O72" s="65">
        <f t="shared" si="4"/>
        <v>39.158848870429473</v>
      </c>
    </row>
    <row r="73" spans="1:27" x14ac:dyDescent="0.25">
      <c r="A73" s="21" t="s">
        <v>81</v>
      </c>
      <c r="B73" s="109" t="str">
        <f t="shared" si="5"/>
        <v>SG20.0237.DATA</v>
      </c>
      <c r="C73" s="109" t="str">
        <f t="shared" si="6"/>
        <v>SG20.0237R</v>
      </c>
      <c r="D73" s="86">
        <v>5232414.4000000004</v>
      </c>
      <c r="E73" s="86">
        <v>102620.4</v>
      </c>
      <c r="F73" s="86">
        <v>155.4</v>
      </c>
      <c r="G73" s="86">
        <v>22083.8</v>
      </c>
      <c r="H73" s="86">
        <v>4045.9</v>
      </c>
      <c r="I73" s="86">
        <v>414943.2</v>
      </c>
      <c r="J73" s="88">
        <f t="shared" si="7"/>
        <v>595380.42651280144</v>
      </c>
      <c r="K73" s="88">
        <f t="shared" si="8"/>
        <v>12393.960071611571</v>
      </c>
      <c r="L73" s="105">
        <f t="shared" si="10"/>
        <v>0.28009622963544983</v>
      </c>
      <c r="M73" s="65">
        <f t="shared" si="2"/>
        <v>5.0156050941405184E-2</v>
      </c>
      <c r="N73" s="65">
        <f t="shared" si="3"/>
        <v>0.73287433307319594</v>
      </c>
      <c r="O73" s="65">
        <f t="shared" si="4"/>
        <v>37.572607145185273</v>
      </c>
    </row>
    <row r="74" spans="1:27" x14ac:dyDescent="0.25">
      <c r="A74" s="21" t="s">
        <v>82</v>
      </c>
      <c r="B74" s="109" t="str">
        <f t="shared" si="5"/>
        <v>SG20.0326.DATA</v>
      </c>
      <c r="C74" s="109" t="str">
        <f t="shared" si="6"/>
        <v>SG20.0326R</v>
      </c>
      <c r="D74" s="86">
        <v>6202603.7000000002</v>
      </c>
      <c r="E74" s="86">
        <v>114775.9</v>
      </c>
      <c r="F74" s="86">
        <v>321.89999999999998</v>
      </c>
      <c r="G74" s="86">
        <v>2561.1999999999998</v>
      </c>
      <c r="H74" s="86">
        <v>4074.8</v>
      </c>
      <c r="I74" s="86">
        <v>353151.8</v>
      </c>
      <c r="J74" s="88">
        <f t="shared" si="7"/>
        <v>705422.63369316456</v>
      </c>
      <c r="K74" s="88">
        <f t="shared" si="8"/>
        <v>14082.462420237354</v>
      </c>
      <c r="L74" s="105">
        <f t="shared" ref="L74" si="13">(F74*$K$28)+$K$30</f>
        <v>0.60791153117417729</v>
      </c>
      <c r="M74" s="65">
        <f t="shared" si="2"/>
        <v>-3.6807477925170735</v>
      </c>
      <c r="N74" s="65">
        <f t="shared" si="3"/>
        <v>0.73942804162415077</v>
      </c>
      <c r="O74" s="65">
        <f t="shared" si="4"/>
        <v>29.633316789737265</v>
      </c>
    </row>
    <row r="75" spans="1:27" x14ac:dyDescent="0.25">
      <c r="A75" s="21" t="s">
        <v>83</v>
      </c>
      <c r="B75" s="109" t="str">
        <f t="shared" si="5"/>
        <v>SG20.0325.DATA</v>
      </c>
      <c r="C75" s="109" t="str">
        <f t="shared" si="6"/>
        <v>SG20.0325R</v>
      </c>
      <c r="D75" s="86">
        <v>5400245.4000000004</v>
      </c>
      <c r="E75" s="86">
        <v>103663.4</v>
      </c>
      <c r="F75" s="86">
        <v>37.4</v>
      </c>
      <c r="G75" s="86">
        <v>19807.2</v>
      </c>
      <c r="H75" s="86">
        <v>3977.9</v>
      </c>
      <c r="I75" s="86">
        <v>401145.59999999998</v>
      </c>
      <c r="J75" s="88">
        <f t="shared" si="7"/>
        <v>614416.39575435827</v>
      </c>
      <c r="K75" s="88">
        <f t="shared" si="8"/>
        <v>12538.841643707881</v>
      </c>
      <c r="L75" s="105">
        <f t="shared" si="10"/>
        <v>4.7770670586982297E-2</v>
      </c>
      <c r="M75" s="65">
        <f t="shared" si="2"/>
        <v>-0.38491794996101403</v>
      </c>
      <c r="N75" s="65">
        <f t="shared" si="3"/>
        <v>0.71745384236506693</v>
      </c>
      <c r="O75" s="65">
        <f t="shared" si="4"/>
        <v>35.799817523841043</v>
      </c>
    </row>
    <row r="76" spans="1:27" x14ac:dyDescent="0.25">
      <c r="A76" s="21" t="s">
        <v>84</v>
      </c>
      <c r="B76" s="109" t="str">
        <f>RIGHT(A76, LEN(A76) - 23)</f>
        <v>STD CHK1 (2).DATA</v>
      </c>
      <c r="C76" s="109" t="str">
        <f>SUBSTITUTE(LEFT(B76, LEN(B76) -9), ".","")</f>
        <v>STD CHK1</v>
      </c>
      <c r="D76" s="86">
        <v>192807.7</v>
      </c>
      <c r="E76" s="86">
        <v>18862.8</v>
      </c>
      <c r="F76" s="86">
        <v>388.3</v>
      </c>
      <c r="G76" s="86">
        <v>20160.5</v>
      </c>
      <c r="H76" s="86">
        <v>741.5</v>
      </c>
      <c r="I76" s="86">
        <v>114742.9</v>
      </c>
      <c r="J76" s="88">
        <f t="shared" si="7"/>
        <v>22291.690304886979</v>
      </c>
      <c r="K76" s="88">
        <f t="shared" si="8"/>
        <v>2500.8184075717318</v>
      </c>
      <c r="L76" s="105">
        <f t="shared" ref="L76" si="14">(F76*$K$28)+$K$30</f>
        <v>0.7386438796556879</v>
      </c>
      <c r="M76" s="65">
        <f t="shared" si="2"/>
        <v>-0.31739987716876916</v>
      </c>
      <c r="N76" s="65">
        <f t="shared" si="3"/>
        <v>-1.6470806572999264E-2</v>
      </c>
      <c r="O76" s="65">
        <f t="shared" si="4"/>
        <v>-0.99873686858685318</v>
      </c>
      <c r="P76" s="106">
        <f>((J76-$B$26)/$B$26)*100</f>
        <v>-0.92582086716898226</v>
      </c>
      <c r="Q76" s="106">
        <f>((K76-$F$26)/$F$26)*100</f>
        <v>3.2736302869270727E-2</v>
      </c>
      <c r="R76" s="106">
        <f>((L76-$J$26)/$J$26)*100</f>
        <v>-1.5141493792416139</v>
      </c>
      <c r="S76" s="94"/>
      <c r="T76" s="94"/>
      <c r="U76" s="94"/>
    </row>
    <row r="77" spans="1:27" x14ac:dyDescent="0.25">
      <c r="A77" s="21" t="s">
        <v>85</v>
      </c>
      <c r="B77" s="109" t="str">
        <f>RIGHT(A77, LEN(A77) - 22)</f>
        <v>STD CHK1 (2).DATA</v>
      </c>
      <c r="C77" s="109" t="str">
        <f>SUBSTITUTE(LEFT(B77, LEN(B77) -9), ".","")</f>
        <v>STD CHK1</v>
      </c>
      <c r="D77" s="86">
        <v>99.8</v>
      </c>
      <c r="E77" s="86">
        <v>3912</v>
      </c>
      <c r="F77" s="86">
        <v>142.19999999999999</v>
      </c>
      <c r="G77" s="86">
        <v>131023.8</v>
      </c>
      <c r="H77" s="86">
        <v>4858.8999999999996</v>
      </c>
      <c r="I77" s="86">
        <v>724939.4</v>
      </c>
      <c r="J77" s="88">
        <f t="shared" si="7"/>
        <v>29.988537824006276</v>
      </c>
      <c r="K77" s="88">
        <f t="shared" si="8"/>
        <v>438.91346767344589</v>
      </c>
      <c r="L77" s="105">
        <f t="shared" si="10"/>
        <v>0.25410726879273987</v>
      </c>
      <c r="M77" s="65">
        <f t="shared" si="2"/>
        <v>20.869343285549846</v>
      </c>
      <c r="N77" s="65">
        <f t="shared" si="3"/>
        <v>0.91723990580420778</v>
      </c>
      <c r="O77" s="65">
        <f t="shared" si="4"/>
        <v>77.402580909908721</v>
      </c>
      <c r="P77" s="106"/>
      <c r="Q77" s="108"/>
      <c r="R77" s="107"/>
      <c r="S77" s="66">
        <f>((G77-AVERAGE($E$49:$E$51))/AVERAGE($E$49:$E$51))*100</f>
        <v>-0.31973042018885217</v>
      </c>
      <c r="T77" s="66">
        <f>((H77-AVERAGE($F$49:$F$51))/AVERAGE($F$49:$F$51))*100</f>
        <v>-1.129334201530197</v>
      </c>
      <c r="U77" s="66">
        <f>((I77-AVERAGE($G$49:$G$51))/AVERAGE($G$49:$G$51))*100</f>
        <v>-0.72585282023313358</v>
      </c>
    </row>
    <row r="78" spans="1:27" x14ac:dyDescent="0.25">
      <c r="A78" s="21" t="s">
        <v>86</v>
      </c>
      <c r="B78" s="109" t="str">
        <f t="shared" ref="B78:B87" si="15">RIGHT(A78, LEN(A78) - 17)</f>
        <v>SG20.0324.DATA</v>
      </c>
      <c r="C78" s="109" t="str">
        <f t="shared" ref="C78:C87" si="16">LEFT(B78, LEN(B78) -5)&amp;"R"</f>
        <v>SG20.0324R</v>
      </c>
      <c r="D78" s="86">
        <v>7107840.2999999998</v>
      </c>
      <c r="E78" s="86">
        <v>113408.8</v>
      </c>
      <c r="F78" s="86">
        <v>54</v>
      </c>
      <c r="G78" s="86">
        <v>21497.200000000001</v>
      </c>
      <c r="H78" s="86">
        <v>2440.8000000000002</v>
      </c>
      <c r="I78" s="86">
        <v>244436</v>
      </c>
      <c r="J78" s="88">
        <f t="shared" si="7"/>
        <v>808097.68224755232</v>
      </c>
      <c r="K78" s="88">
        <f t="shared" si="8"/>
        <v>13892.560601241319</v>
      </c>
      <c r="L78" s="105">
        <f t="shared" ref="L78" si="17">(F78*$K$28)+$K$30</f>
        <v>8.0453757707359935E-2</v>
      </c>
      <c r="M78" s="65">
        <f t="shared" si="2"/>
        <v>-6.194726493725522E-2</v>
      </c>
      <c r="N78" s="65">
        <f t="shared" si="3"/>
        <v>0.36888272078469936</v>
      </c>
      <c r="O78" s="65">
        <f t="shared" si="4"/>
        <v>15.664927945580718</v>
      </c>
      <c r="P78" s="107"/>
      <c r="Q78" s="107"/>
      <c r="R78" s="107"/>
    </row>
    <row r="79" spans="1:27" x14ac:dyDescent="0.25">
      <c r="A79" s="21" t="s">
        <v>87</v>
      </c>
      <c r="B79" s="109" t="str">
        <f t="shared" si="15"/>
        <v>SG20.0323.DATA</v>
      </c>
      <c r="C79" s="109" t="str">
        <f t="shared" si="16"/>
        <v>SG20.0323R</v>
      </c>
      <c r="D79" s="86">
        <v>6708395</v>
      </c>
      <c r="E79" s="86">
        <v>103871.6</v>
      </c>
      <c r="F79" s="86">
        <v>700.3</v>
      </c>
      <c r="G79" s="86">
        <v>26232.7</v>
      </c>
      <c r="H79" s="86">
        <v>2614.9</v>
      </c>
      <c r="I79" s="86">
        <v>272302.40000000002</v>
      </c>
      <c r="J79" s="88">
        <f t="shared" si="7"/>
        <v>762791.22250838357</v>
      </c>
      <c r="K79" s="88">
        <f t="shared" si="8"/>
        <v>12567.762394724614</v>
      </c>
      <c r="L79" s="105">
        <f t="shared" si="10"/>
        <v>1.244308998634668</v>
      </c>
      <c r="M79" s="65">
        <f t="shared" si="2"/>
        <v>0.84303952732902232</v>
      </c>
      <c r="N79" s="65">
        <f t="shared" si="3"/>
        <v>0.40836371243595299</v>
      </c>
      <c r="O79" s="65">
        <f t="shared" si="4"/>
        <v>19.24535241825906</v>
      </c>
      <c r="P79" s="107"/>
      <c r="Q79" s="107"/>
      <c r="R79" s="107"/>
    </row>
    <row r="80" spans="1:27" x14ac:dyDescent="0.25">
      <c r="A80" s="21" t="s">
        <v>88</v>
      </c>
      <c r="B80" s="109" t="str">
        <f t="shared" si="15"/>
        <v>SG20.0322.DATA</v>
      </c>
      <c r="C80" s="109" t="str">
        <f t="shared" si="16"/>
        <v>SG20.0322R</v>
      </c>
      <c r="D80" s="86">
        <v>6880669.7000000002</v>
      </c>
      <c r="E80" s="86">
        <v>109127.2</v>
      </c>
      <c r="F80" s="86">
        <v>213.8</v>
      </c>
      <c r="G80" s="86">
        <v>23624.7</v>
      </c>
      <c r="H80" s="86">
        <v>2529.4</v>
      </c>
      <c r="I80" s="86">
        <v>258699.8</v>
      </c>
      <c r="J80" s="88">
        <f t="shared" si="7"/>
        <v>782331.21148716833</v>
      </c>
      <c r="K80" s="88">
        <f t="shared" si="8"/>
        <v>13297.809940562931</v>
      </c>
      <c r="L80" s="105">
        <f t="shared" ref="L80" si="18">(F80*$K$28)+$K$30</f>
        <v>0.39507769275774224</v>
      </c>
      <c r="M80" s="65">
        <f t="shared" si="2"/>
        <v>0.34463269505567151</v>
      </c>
      <c r="N80" s="65">
        <f t="shared" si="3"/>
        <v>0.38897471308970272</v>
      </c>
      <c r="O80" s="65">
        <f t="shared" si="4"/>
        <v>17.497617442372167</v>
      </c>
      <c r="P80" s="107"/>
      <c r="Q80" s="107"/>
      <c r="R80" s="107"/>
    </row>
    <row r="81" spans="1:21" x14ac:dyDescent="0.25">
      <c r="A81" s="21" t="s">
        <v>89</v>
      </c>
      <c r="B81" s="109" t="str">
        <f t="shared" si="15"/>
        <v>SG20.0321.DATA</v>
      </c>
      <c r="C81" s="109" t="str">
        <f t="shared" si="16"/>
        <v>SG20.0321R</v>
      </c>
      <c r="D81" s="86">
        <v>6193354</v>
      </c>
      <c r="E81" s="86">
        <v>76140.7</v>
      </c>
      <c r="F81" s="86">
        <v>43.7</v>
      </c>
      <c r="G81" s="86">
        <v>25504.5</v>
      </c>
      <c r="H81" s="86">
        <v>3384.5</v>
      </c>
      <c r="I81" s="86">
        <v>322594.3</v>
      </c>
      <c r="J81" s="88">
        <f t="shared" si="7"/>
        <v>704373.50090664939</v>
      </c>
      <c r="K81" s="88">
        <f t="shared" si="8"/>
        <v>8715.7044966943631</v>
      </c>
      <c r="L81" s="105">
        <f t="shared" si="10"/>
        <v>6.0174492807366586E-2</v>
      </c>
      <c r="M81" s="65">
        <f t="shared" si="2"/>
        <v>0.70387547239748294</v>
      </c>
      <c r="N81" s="65">
        <f t="shared" si="3"/>
        <v>0.58288738374442417</v>
      </c>
      <c r="O81" s="65">
        <f t="shared" si="4"/>
        <v>25.707125361211567</v>
      </c>
      <c r="P81" s="107"/>
      <c r="Q81" s="107"/>
      <c r="R81" s="107"/>
    </row>
    <row r="82" spans="1:21" x14ac:dyDescent="0.25">
      <c r="A82" s="21" t="s">
        <v>90</v>
      </c>
      <c r="B82" s="109" t="str">
        <f t="shared" si="15"/>
        <v>SG20.0320.DATA</v>
      </c>
      <c r="C82" s="109" t="str">
        <f t="shared" si="16"/>
        <v>SG20.0320R</v>
      </c>
      <c r="D82" s="86">
        <v>6202590.7000000002</v>
      </c>
      <c r="E82" s="86">
        <v>80955.5</v>
      </c>
      <c r="F82" s="86">
        <v>42.5</v>
      </c>
      <c r="G82" s="86">
        <v>25218.3</v>
      </c>
      <c r="H82" s="86">
        <v>3338.4</v>
      </c>
      <c r="I82" s="86">
        <v>320492.09999999998</v>
      </c>
      <c r="J82" s="88">
        <f t="shared" si="7"/>
        <v>705421.15918845357</v>
      </c>
      <c r="K82" s="88">
        <f t="shared" si="8"/>
        <v>9384.521172944902</v>
      </c>
      <c r="L82" s="105">
        <f t="shared" ref="L82" si="19">(F82*$K$28)+$K$30</f>
        <v>5.7811860003483859E-2</v>
      </c>
      <c r="M82" s="65">
        <f t="shared" si="2"/>
        <v>0.64918067354908082</v>
      </c>
      <c r="N82" s="65">
        <f t="shared" si="3"/>
        <v>0.57243319813200144</v>
      </c>
      <c r="O82" s="65">
        <f t="shared" si="4"/>
        <v>25.437023434645361</v>
      </c>
      <c r="P82" s="107"/>
      <c r="Q82" s="107"/>
      <c r="R82" s="107"/>
    </row>
    <row r="83" spans="1:21" x14ac:dyDescent="0.25">
      <c r="A83" s="21" t="s">
        <v>91</v>
      </c>
      <c r="B83" s="109" t="str">
        <f t="shared" si="15"/>
        <v>SG20.0319.DATA</v>
      </c>
      <c r="C83" s="109" t="str">
        <f t="shared" si="16"/>
        <v>SG20.0319R</v>
      </c>
      <c r="D83" s="86">
        <v>6141114.7999999998</v>
      </c>
      <c r="E83" s="86">
        <v>68257.100000000006</v>
      </c>
      <c r="F83" s="86">
        <v>48.9</v>
      </c>
      <c r="G83" s="86">
        <v>26109.9</v>
      </c>
      <c r="H83" s="86">
        <v>3405</v>
      </c>
      <c r="I83" s="86">
        <v>325365.90000000002</v>
      </c>
      <c r="J83" s="88">
        <f t="shared" si="7"/>
        <v>698448.35117624479</v>
      </c>
      <c r="K83" s="88">
        <f t="shared" si="8"/>
        <v>7620.6053962356236</v>
      </c>
      <c r="L83" s="105">
        <f t="shared" si="10"/>
        <v>7.0412568290858374E-2</v>
      </c>
      <c r="M83" s="65">
        <f t="shared" si="2"/>
        <v>0.81957159826339065</v>
      </c>
      <c r="N83" s="65">
        <f t="shared" si="3"/>
        <v>0.58753620814908047</v>
      </c>
      <c r="O83" s="65">
        <f t="shared" si="4"/>
        <v>26.063235388645161</v>
      </c>
      <c r="P83" s="107"/>
      <c r="Q83" s="107"/>
      <c r="R83" s="107"/>
    </row>
    <row r="84" spans="1:21" x14ac:dyDescent="0.25">
      <c r="A84" s="21" t="s">
        <v>92</v>
      </c>
      <c r="B84" s="109" t="str">
        <f t="shared" si="15"/>
        <v>SG20.0362.DATA</v>
      </c>
      <c r="C84" s="109" t="str">
        <f t="shared" si="16"/>
        <v>SG20.0362R</v>
      </c>
      <c r="D84" s="86">
        <v>3759215.1</v>
      </c>
      <c r="E84" s="86">
        <v>130422.8</v>
      </c>
      <c r="F84" s="86">
        <v>43.4</v>
      </c>
      <c r="G84" s="86">
        <v>49951.6</v>
      </c>
      <c r="H84" s="86">
        <v>4289.7</v>
      </c>
      <c r="I84" s="86">
        <v>500048.9</v>
      </c>
      <c r="J84" s="88">
        <f t="shared" si="7"/>
        <v>428285.0951289509</v>
      </c>
      <c r="K84" s="88">
        <f t="shared" si="8"/>
        <v>16255.949927844016</v>
      </c>
      <c r="L84" s="105">
        <f t="shared" ref="L84" si="20">(F84*$K$28)+$K$30</f>
        <v>5.9583834606395894E-2</v>
      </c>
      <c r="M84" s="65">
        <f t="shared" si="2"/>
        <v>5.3758853149089205</v>
      </c>
      <c r="N84" s="65">
        <f t="shared" si="3"/>
        <v>0.78816132770028169</v>
      </c>
      <c r="O84" s="65">
        <f t="shared" si="4"/>
        <v>48.507443760048368</v>
      </c>
      <c r="P84" s="107"/>
      <c r="Q84" s="107"/>
      <c r="R84" s="107"/>
    </row>
    <row r="85" spans="1:21" x14ac:dyDescent="0.25">
      <c r="A85" s="21" t="s">
        <v>93</v>
      </c>
      <c r="B85" s="109" t="str">
        <f t="shared" si="15"/>
        <v>SG20.0361.DATA</v>
      </c>
      <c r="C85" s="109" t="str">
        <f t="shared" si="16"/>
        <v>SG20.0361R</v>
      </c>
      <c r="D85" s="34">
        <v>7061389</v>
      </c>
      <c r="E85" s="86">
        <v>76781.399999999994</v>
      </c>
      <c r="F85" s="86">
        <v>334.3</v>
      </c>
      <c r="G85" s="86">
        <v>18341.3</v>
      </c>
      <c r="H85" s="86">
        <v>2866.9</v>
      </c>
      <c r="I85" s="86">
        <v>249979.2</v>
      </c>
      <c r="J85" s="88">
        <f t="shared" si="7"/>
        <v>802829.01604148594</v>
      </c>
      <c r="K85" s="88">
        <f t="shared" si="8"/>
        <v>8804.703176696381</v>
      </c>
      <c r="L85" s="105">
        <f t="shared" si="10"/>
        <v>0.63232540348096544</v>
      </c>
      <c r="M85" s="65">
        <f t="shared" si="2"/>
        <v>-0.66506157550913692</v>
      </c>
      <c r="N85" s="65">
        <f t="shared" si="3"/>
        <v>0.4655102368249015</v>
      </c>
      <c r="O85" s="65">
        <f t="shared" si="4"/>
        <v>16.377148000447896</v>
      </c>
      <c r="P85" s="107"/>
      <c r="Q85" s="107"/>
      <c r="R85" s="107"/>
    </row>
    <row r="86" spans="1:21" x14ac:dyDescent="0.25">
      <c r="A86" s="21" t="s">
        <v>94</v>
      </c>
      <c r="B86" s="109" t="str">
        <f t="shared" si="15"/>
        <v>SG20.0360.DATA</v>
      </c>
      <c r="C86" s="109" t="str">
        <f t="shared" si="16"/>
        <v>SG20.0360R</v>
      </c>
      <c r="D86" s="86">
        <v>6150214.5999999996</v>
      </c>
      <c r="E86" s="86">
        <v>77258.7</v>
      </c>
      <c r="F86" s="86">
        <v>323.89999999999998</v>
      </c>
      <c r="G86" s="86">
        <v>33165.599999999999</v>
      </c>
      <c r="H86" s="86">
        <v>3108.6</v>
      </c>
      <c r="I86" s="86">
        <v>313251.7</v>
      </c>
      <c r="J86" s="88">
        <f t="shared" si="7"/>
        <v>699480.48178920848</v>
      </c>
      <c r="K86" s="88">
        <f t="shared" si="8"/>
        <v>8871.0042067649993</v>
      </c>
      <c r="L86" s="105">
        <f t="shared" ref="L86" si="21">(F86*$K$28)+$K$30</f>
        <v>0.61184925251398181</v>
      </c>
      <c r="M86" s="65">
        <f t="shared" si="2"/>
        <v>2.1679646528918717</v>
      </c>
      <c r="N86" s="65">
        <f t="shared" si="3"/>
        <v>0.52032101041541257</v>
      </c>
      <c r="O86" s="65">
        <f t="shared" si="4"/>
        <v>24.506738024546458</v>
      </c>
      <c r="P86" s="107"/>
      <c r="Q86" s="107"/>
      <c r="R86" s="107"/>
    </row>
    <row r="87" spans="1:21" x14ac:dyDescent="0.25">
      <c r="A87" s="21" t="s">
        <v>95</v>
      </c>
      <c r="B87" s="109" t="str">
        <f t="shared" si="15"/>
        <v>SG20.0752.DATA</v>
      </c>
      <c r="C87" s="109" t="str">
        <f t="shared" si="16"/>
        <v>SG20.0752R</v>
      </c>
      <c r="D87" s="86">
        <v>4014031.1</v>
      </c>
      <c r="E87" s="86">
        <v>28140.1</v>
      </c>
      <c r="F87" s="86">
        <v>277.89999999999998</v>
      </c>
      <c r="G87" s="86">
        <v>42129.3</v>
      </c>
      <c r="H87" s="86">
        <v>4296.8</v>
      </c>
      <c r="I87" s="86">
        <v>498537.8</v>
      </c>
      <c r="J87" s="88">
        <f t="shared" si="7"/>
        <v>457187.20223822474</v>
      </c>
      <c r="K87" s="88">
        <f t="shared" si="8"/>
        <v>2048.0128480211929</v>
      </c>
      <c r="L87" s="105">
        <f t="shared" si="10"/>
        <v>0.52128166169847745</v>
      </c>
      <c r="M87" s="65">
        <f t="shared" si="2"/>
        <v>3.8809896998430347</v>
      </c>
      <c r="N87" s="65">
        <f t="shared" si="3"/>
        <v>0.78977140834774806</v>
      </c>
      <c r="O87" s="65">
        <f t="shared" si="4"/>
        <v>48.313289530558215</v>
      </c>
      <c r="P87" s="107"/>
      <c r="Q87" s="107"/>
      <c r="R87" s="107"/>
    </row>
    <row r="88" spans="1:21" x14ac:dyDescent="0.25">
      <c r="A88" s="21" t="s">
        <v>96</v>
      </c>
      <c r="B88" s="109" t="str">
        <f>RIGHT(A88, LEN(A88) - 23)</f>
        <v>STD CHK2 (2).DATA</v>
      </c>
      <c r="C88" s="109" t="str">
        <f>SUBSTITUTE(LEFT(B88, LEN(B88) -9), ".","")</f>
        <v>STD CHK2</v>
      </c>
      <c r="D88" s="86">
        <v>205048.6</v>
      </c>
      <c r="E88" s="86">
        <v>19743.3</v>
      </c>
      <c r="F88" s="86">
        <v>401.3</v>
      </c>
      <c r="G88" s="86">
        <v>19679.400000000001</v>
      </c>
      <c r="H88" s="86">
        <v>757.1</v>
      </c>
      <c r="I88" s="86">
        <v>111975.3</v>
      </c>
      <c r="J88" s="88">
        <f t="shared" si="7"/>
        <v>25159.306845668321</v>
      </c>
      <c r="K88" s="88">
        <f>(E88*$G$28)+$G$30</f>
        <v>2622.25052488856</v>
      </c>
      <c r="L88" s="105">
        <f t="shared" ref="L88" si="22">(F88*$K$28)+$K$30</f>
        <v>0.76423906836441735</v>
      </c>
      <c r="M88" s="65">
        <f t="shared" si="2"/>
        <v>-0.40934141359772136</v>
      </c>
      <c r="N88" s="65">
        <f t="shared" si="3"/>
        <v>-1.2933164587016738E-2</v>
      </c>
      <c r="O88" s="65">
        <f t="shared" si="4"/>
        <v>-1.3543329545751597</v>
      </c>
      <c r="P88" s="106">
        <f>((J88-$B$26)/$B$26)*100</f>
        <v>11.81914153630365</v>
      </c>
      <c r="Q88" s="106">
        <f>((K88-$F$26)/$F$26)*100</f>
        <v>4.8900209955423994</v>
      </c>
      <c r="R88" s="106">
        <f>((L88-$J$26)/$J$26)*100</f>
        <v>1.8985424485889801</v>
      </c>
      <c r="S88" s="94"/>
      <c r="T88" s="94"/>
      <c r="U88" s="94"/>
    </row>
    <row r="89" spans="1:21" x14ac:dyDescent="0.25">
      <c r="A89" s="21" t="s">
        <v>97</v>
      </c>
      <c r="B89" s="109" t="str">
        <f>RIGHT(A89, LEN(A89) - 22)</f>
        <v>STD CHK2 (2).DATA</v>
      </c>
      <c r="C89" s="109" t="str">
        <f>SUBSTITUTE(LEFT(B89, LEN(B89) -9), ".","")</f>
        <v>STD CHK2</v>
      </c>
      <c r="D89" s="86">
        <v>110.5</v>
      </c>
      <c r="E89" s="86">
        <v>3923.4</v>
      </c>
      <c r="F89" s="86">
        <v>141.5</v>
      </c>
      <c r="G89" s="86">
        <v>131137.5</v>
      </c>
      <c r="H89" s="86">
        <v>4870.3999999999996</v>
      </c>
      <c r="I89" s="86">
        <v>725138.5</v>
      </c>
      <c r="J89" s="88">
        <f t="shared" si="7"/>
        <v>31.22460655241634</v>
      </c>
      <c r="K89" s="88">
        <f t="shared" si="8"/>
        <v>440.48567225880856</v>
      </c>
      <c r="L89" s="105">
        <f t="shared" si="10"/>
        <v>0.25272906632380832</v>
      </c>
      <c r="M89" s="65">
        <f t="shared" si="2"/>
        <v>20.891072141696121</v>
      </c>
      <c r="N89" s="65">
        <f t="shared" si="3"/>
        <v>0.91984778290925906</v>
      </c>
      <c r="O89" s="65">
        <f t="shared" si="4"/>
        <v>77.428162345347459</v>
      </c>
      <c r="P89" s="106"/>
      <c r="Q89" s="108"/>
      <c r="R89" s="107"/>
      <c r="S89" s="66">
        <f>((G89-AVERAGE($E$49:$E$51))/AVERAGE($E$49:$E$51))*100</f>
        <v>-0.23322974892741538</v>
      </c>
      <c r="T89" s="66">
        <f>((H89-AVERAGE($F$49:$F$51))/AVERAGE($F$49:$F$51))*100</f>
        <v>-0.89532801562754361</v>
      </c>
      <c r="U89" s="66">
        <f>((I89-AVERAGE($G$49:$G$51))/AVERAGE($G$49:$G$51))*100</f>
        <v>-0.69858780649062036</v>
      </c>
    </row>
    <row r="90" spans="1:21" x14ac:dyDescent="0.25">
      <c r="A90" s="21" t="s">
        <v>98</v>
      </c>
      <c r="B90" s="109" t="str">
        <f t="shared" ref="B90:B99" si="23">RIGHT(A90, LEN(A90) - 17)</f>
        <v>SG20.0751.DATA</v>
      </c>
      <c r="C90" s="109" t="str">
        <f t="shared" ref="C90:C99" si="24">LEFT(B90, LEN(B90) -5)&amp;"R"</f>
        <v>SG20.0751R</v>
      </c>
      <c r="D90" s="86">
        <v>4160715.9</v>
      </c>
      <c r="E90" s="86">
        <v>28520</v>
      </c>
      <c r="F90" s="86">
        <v>274.7</v>
      </c>
      <c r="G90" s="86">
        <v>38240.5</v>
      </c>
      <c r="H90" s="86">
        <v>4330.6000000000004</v>
      </c>
      <c r="I90" s="86">
        <v>491888.1</v>
      </c>
      <c r="J90" s="88">
        <f t="shared" si="7"/>
        <v>473824.69674760569</v>
      </c>
      <c r="K90" s="88">
        <f t="shared" si="8"/>
        <v>2100.7841895738184</v>
      </c>
      <c r="L90" s="105">
        <f t="shared" ref="L90" si="25">(F90*$K$28)+$K$30</f>
        <v>0.51498130755479021</v>
      </c>
      <c r="M90" s="65">
        <f t="shared" si="2"/>
        <v>3.137813131842802</v>
      </c>
      <c r="N90" s="65">
        <f t="shared" si="3"/>
        <v>0.79743629931737692</v>
      </c>
      <c r="O90" s="65">
        <f t="shared" si="4"/>
        <v>47.458900423390837</v>
      </c>
      <c r="P90" s="107"/>
      <c r="Q90" s="107"/>
      <c r="R90" s="107"/>
    </row>
    <row r="91" spans="1:21" x14ac:dyDescent="0.25">
      <c r="A91" s="21" t="s">
        <v>99</v>
      </c>
      <c r="B91" s="109" t="str">
        <f t="shared" si="23"/>
        <v>SG20.0309.DATA</v>
      </c>
      <c r="C91" s="109" t="str">
        <f t="shared" si="24"/>
        <v>SG20.0309R</v>
      </c>
      <c r="D91" s="86">
        <v>6633039.5</v>
      </c>
      <c r="E91" s="86">
        <v>25459</v>
      </c>
      <c r="F91" s="86">
        <v>103.8</v>
      </c>
      <c r="G91" s="86">
        <v>14650.6</v>
      </c>
      <c r="H91" s="86">
        <v>3583.8</v>
      </c>
      <c r="I91" s="86">
        <v>299203</v>
      </c>
      <c r="J91" s="88">
        <f t="shared" si="7"/>
        <v>754244.14252803347</v>
      </c>
      <c r="K91" s="88">
        <f t="shared" si="8"/>
        <v>1675.5852517149465</v>
      </c>
      <c r="L91" s="105">
        <f t="shared" si="10"/>
        <v>0.17850301906849284</v>
      </c>
      <c r="M91" s="65">
        <f t="shared" si="2"/>
        <v>-1.3703798638033295</v>
      </c>
      <c r="N91" s="65">
        <f t="shared" si="3"/>
        <v>0.62808302783457259</v>
      </c>
      <c r="O91" s="65">
        <f t="shared" si="4"/>
        <v>22.701685728974866</v>
      </c>
      <c r="P91" s="107"/>
      <c r="Q91" s="107"/>
      <c r="R91" s="107"/>
    </row>
    <row r="92" spans="1:21" x14ac:dyDescent="0.25">
      <c r="A92" s="21" t="s">
        <v>100</v>
      </c>
      <c r="B92" s="109" t="str">
        <f t="shared" si="23"/>
        <v>SG20.0308.DATA</v>
      </c>
      <c r="C92" s="109" t="str">
        <f t="shared" si="24"/>
        <v>SG20.0308R</v>
      </c>
      <c r="D92" s="86">
        <v>5909467.2000000002</v>
      </c>
      <c r="E92" s="86">
        <v>22984.9</v>
      </c>
      <c r="F92" s="86">
        <v>95.3</v>
      </c>
      <c r="G92" s="86">
        <v>28292</v>
      </c>
      <c r="H92" s="86">
        <v>3615.9</v>
      </c>
      <c r="I92" s="86">
        <v>346150.7</v>
      </c>
      <c r="J92" s="88">
        <f t="shared" si="7"/>
        <v>672174.0836781041</v>
      </c>
      <c r="K92" s="88">
        <f t="shared" si="8"/>
        <v>1331.9117162178427</v>
      </c>
      <c r="L92" s="105">
        <f t="shared" ref="L92" si="26">(F92*$K$28)+$K$30</f>
        <v>0.16176770337432356</v>
      </c>
      <c r="M92" s="65">
        <f t="shared" si="2"/>
        <v>1.2365859957724696</v>
      </c>
      <c r="N92" s="65">
        <f t="shared" si="3"/>
        <v>0.63536240653649823</v>
      </c>
      <c r="O92" s="65">
        <f t="shared" si="4"/>
        <v>28.733777926602151</v>
      </c>
      <c r="P92" s="107"/>
      <c r="Q92" s="107"/>
      <c r="R92" s="107"/>
    </row>
    <row r="93" spans="1:21" x14ac:dyDescent="0.25">
      <c r="A93" s="21" t="s">
        <v>101</v>
      </c>
      <c r="B93" s="109" t="str">
        <f t="shared" si="23"/>
        <v>SG20.0307.DATA</v>
      </c>
      <c r="C93" s="109" t="str">
        <f t="shared" si="24"/>
        <v>SG20.0307R</v>
      </c>
      <c r="D93" s="34">
        <v>7230853</v>
      </c>
      <c r="E93" s="86">
        <v>27707.7</v>
      </c>
      <c r="F93" s="86">
        <v>74.099999999999994</v>
      </c>
      <c r="G93" s="86">
        <v>13392.2</v>
      </c>
      <c r="H93" s="86">
        <v>3047.8</v>
      </c>
      <c r="I93" s="86">
        <v>243688.3</v>
      </c>
      <c r="J93" s="88">
        <f t="shared" si="7"/>
        <v>822050.20575942355</v>
      </c>
      <c r="K93" s="88">
        <f t="shared" si="8"/>
        <v>1987.9488098865395</v>
      </c>
      <c r="L93" s="105">
        <f t="shared" si="10"/>
        <v>0.1200278571723955</v>
      </c>
      <c r="M93" s="65">
        <f t="shared" si="2"/>
        <v>-1.6108688046517901</v>
      </c>
      <c r="N93" s="65">
        <f t="shared" si="3"/>
        <v>0.50653327754696797</v>
      </c>
      <c r="O93" s="65">
        <f t="shared" si="4"/>
        <v>15.568859440922004</v>
      </c>
      <c r="P93" s="107"/>
      <c r="Q93" s="107"/>
      <c r="R93" s="107"/>
    </row>
    <row r="94" spans="1:21" x14ac:dyDescent="0.25">
      <c r="A94" s="21" t="s">
        <v>102</v>
      </c>
      <c r="B94" s="109" t="str">
        <f t="shared" si="23"/>
        <v>SG20.0306.DATA</v>
      </c>
      <c r="C94" s="109" t="str">
        <f t="shared" si="24"/>
        <v>SG20.0306R</v>
      </c>
      <c r="D94" s="34">
        <v>7353932</v>
      </c>
      <c r="E94" s="86">
        <v>54056</v>
      </c>
      <c r="F94" s="86">
        <v>70.599999999999994</v>
      </c>
      <c r="G94" s="86">
        <v>8656.9</v>
      </c>
      <c r="H94" s="86">
        <v>3044.2</v>
      </c>
      <c r="I94" s="86">
        <v>235803</v>
      </c>
      <c r="J94" s="88">
        <f t="shared" si="7"/>
        <v>836010.24924532045</v>
      </c>
      <c r="K94" s="88">
        <f t="shared" si="8"/>
        <v>5647.9518070727263</v>
      </c>
      <c r="L94" s="105">
        <f t="shared" ref="L94" si="27">(F94*$K$28)+$K$30</f>
        <v>0.11313684482773756</v>
      </c>
      <c r="M94" s="65">
        <f t="shared" si="2"/>
        <v>-2.5158173755352244</v>
      </c>
      <c r="N94" s="65">
        <f t="shared" si="3"/>
        <v>0.50571689862712588</v>
      </c>
      <c r="O94" s="65">
        <f t="shared" si="4"/>
        <v>14.555713821308043</v>
      </c>
      <c r="P94" s="107"/>
      <c r="Q94" s="107"/>
      <c r="R94" s="107"/>
    </row>
    <row r="95" spans="1:21" x14ac:dyDescent="0.25">
      <c r="A95" s="21" t="s">
        <v>103</v>
      </c>
      <c r="B95" s="109" t="str">
        <f t="shared" si="23"/>
        <v>SG20.0305.DATA</v>
      </c>
      <c r="C95" s="109" t="str">
        <f t="shared" si="24"/>
        <v>SG20.0305R</v>
      </c>
      <c r="D95" s="34">
        <v>7057582</v>
      </c>
      <c r="E95" s="86">
        <v>35549.199999999997</v>
      </c>
      <c r="F95" s="86">
        <v>75.3</v>
      </c>
      <c r="G95" s="86">
        <v>15909.1</v>
      </c>
      <c r="H95" s="86">
        <v>3032.9</v>
      </c>
      <c r="I95" s="86">
        <v>254239.1</v>
      </c>
      <c r="J95" s="88">
        <f t="shared" si="7"/>
        <v>802397.21300806187</v>
      </c>
      <c r="K95" s="88">
        <f t="shared" si="8"/>
        <v>3077.199862229023</v>
      </c>
      <c r="L95" s="105">
        <f t="shared" si="10"/>
        <v>0.12239048997627822</v>
      </c>
      <c r="M95" s="65">
        <f t="shared" si="2"/>
        <v>-1.1298718122634477</v>
      </c>
      <c r="N95" s="65">
        <f t="shared" si="3"/>
        <v>0.50315437590651024</v>
      </c>
      <c r="O95" s="65">
        <f t="shared" si="4"/>
        <v>16.924482791133535</v>
      </c>
      <c r="P95" s="107"/>
      <c r="Q95" s="107"/>
      <c r="R95" s="107"/>
    </row>
    <row r="96" spans="1:21" x14ac:dyDescent="0.25">
      <c r="A96" s="21" t="s">
        <v>104</v>
      </c>
      <c r="B96" s="109" t="str">
        <f t="shared" si="23"/>
        <v>SG20.0304.DATA</v>
      </c>
      <c r="C96" s="109" t="str">
        <f t="shared" si="24"/>
        <v>SG20.0304R</v>
      </c>
      <c r="D96" s="86">
        <v>3414991.3</v>
      </c>
      <c r="E96" s="86">
        <v>63336</v>
      </c>
      <c r="F96" s="86">
        <v>19.5</v>
      </c>
      <c r="G96" s="86">
        <v>28492.7</v>
      </c>
      <c r="H96" s="86">
        <v>5138.6000000000004</v>
      </c>
      <c r="I96" s="86">
        <v>566543.1</v>
      </c>
      <c r="J96" s="88">
        <f t="shared" si="7"/>
        <v>389242.0478432182</v>
      </c>
      <c r="K96" s="88">
        <f t="shared" si="8"/>
        <v>6937.0227457628062</v>
      </c>
      <c r="L96" s="105">
        <f t="shared" ref="L96" si="28">(F96*$K$28)+$K$30</f>
        <v>1.2528064595731719E-2</v>
      </c>
      <c r="M96" s="65">
        <f t="shared" si="2"/>
        <v>1.2749411534554689</v>
      </c>
      <c r="N96" s="65">
        <f t="shared" si="3"/>
        <v>0.98066801243749713</v>
      </c>
      <c r="O96" s="65">
        <f t="shared" si="4"/>
        <v>57.050975072710507</v>
      </c>
      <c r="P96" s="107"/>
      <c r="Q96" s="107"/>
      <c r="R96" s="107"/>
    </row>
    <row r="97" spans="1:21" x14ac:dyDescent="0.25">
      <c r="A97" s="21" t="s">
        <v>105</v>
      </c>
      <c r="B97" s="109" t="str">
        <f t="shared" si="23"/>
        <v>SG20.0303.DATA</v>
      </c>
      <c r="C97" s="109" t="str">
        <f t="shared" si="24"/>
        <v>SG20.0303R</v>
      </c>
      <c r="D97" s="86">
        <v>5238065.0999999996</v>
      </c>
      <c r="E97" s="86">
        <v>43187.199999999997</v>
      </c>
      <c r="F97" s="86">
        <v>75.599999999999994</v>
      </c>
      <c r="G97" s="86">
        <v>37648.199999999997</v>
      </c>
      <c r="H97" s="86">
        <v>3844.6</v>
      </c>
      <c r="I97" s="86">
        <v>391443.8</v>
      </c>
      <c r="J97" s="88">
        <f t="shared" si="7"/>
        <v>596021.34834126732</v>
      </c>
      <c r="K97" s="88">
        <f t="shared" si="8"/>
        <v>4138.1830335345003</v>
      </c>
      <c r="L97" s="105">
        <f t="shared" si="10"/>
        <v>0.12298114817724889</v>
      </c>
      <c r="M97" s="65">
        <f t="shared" si="2"/>
        <v>3.0246205065531138</v>
      </c>
      <c r="N97" s="65">
        <f t="shared" si="3"/>
        <v>0.6872251451386906</v>
      </c>
      <c r="O97" s="65">
        <f t="shared" si="4"/>
        <v>34.553278245389912</v>
      </c>
      <c r="P97" s="107"/>
      <c r="Q97" s="107"/>
      <c r="R97" s="107"/>
    </row>
    <row r="98" spans="1:21" x14ac:dyDescent="0.25">
      <c r="A98" s="21" t="s">
        <v>106</v>
      </c>
      <c r="B98" s="109" t="str">
        <f t="shared" si="23"/>
        <v>SG20.0302.DATA</v>
      </c>
      <c r="C98" s="109" t="str">
        <f t="shared" si="24"/>
        <v>SG20.0302R</v>
      </c>
      <c r="D98" s="86">
        <v>6960726.7000000002</v>
      </c>
      <c r="E98" s="86">
        <v>52437.8</v>
      </c>
      <c r="F98" s="86">
        <v>52.4</v>
      </c>
      <c r="G98" s="86">
        <v>7927.3</v>
      </c>
      <c r="H98" s="86">
        <v>3538.4</v>
      </c>
      <c r="I98" s="86">
        <v>273017.09999999998</v>
      </c>
      <c r="J98" s="88">
        <f t="shared" si="7"/>
        <v>791411.5517673986</v>
      </c>
      <c r="K98" s="88">
        <f t="shared" si="8"/>
        <v>5423.1700621386444</v>
      </c>
      <c r="L98" s="105">
        <f t="shared" ref="L98" si="29">(F98*$K$28)+$K$30</f>
        <v>7.7303580635516303E-2</v>
      </c>
      <c r="M98" s="65">
        <f t="shared" si="2"/>
        <v>-2.6552489801466646</v>
      </c>
      <c r="N98" s="65">
        <f t="shared" si="3"/>
        <v>0.61778758256767463</v>
      </c>
      <c r="O98" s="65">
        <f t="shared" si="4"/>
        <v>19.337180905994224</v>
      </c>
      <c r="P98" s="107"/>
      <c r="Q98" s="107"/>
      <c r="R98" s="107"/>
    </row>
    <row r="99" spans="1:21" x14ac:dyDescent="0.25">
      <c r="A99" s="21" t="s">
        <v>107</v>
      </c>
      <c r="B99" s="109" t="str">
        <f t="shared" si="23"/>
        <v>SG20.0301.DATA</v>
      </c>
      <c r="C99" s="109" t="str">
        <f t="shared" si="24"/>
        <v>SG20.0301R</v>
      </c>
      <c r="D99" s="86">
        <v>6682335.2000000002</v>
      </c>
      <c r="E99" s="86">
        <v>52383.1</v>
      </c>
      <c r="F99" s="86">
        <v>57.5</v>
      </c>
      <c r="G99" s="86">
        <v>13520.8</v>
      </c>
      <c r="H99" s="86">
        <v>3480</v>
      </c>
      <c r="I99" s="86">
        <v>291072.59999999998</v>
      </c>
      <c r="J99" s="88">
        <f t="shared" si="7"/>
        <v>759835.43036485161</v>
      </c>
      <c r="K99" s="88">
        <f t="shared" si="8"/>
        <v>5415.5717668427005</v>
      </c>
      <c r="L99" s="105">
        <f t="shared" si="10"/>
        <v>8.7344770052017864E-2</v>
      </c>
      <c r="M99" s="65">
        <f t="shared" si="2"/>
        <v>-1.5862924554837101</v>
      </c>
      <c r="N99" s="65">
        <f t="shared" si="3"/>
        <v>0.60454410231245803</v>
      </c>
      <c r="O99" s="65">
        <f t="shared" si="4"/>
        <v>21.657048347301455</v>
      </c>
      <c r="P99" s="107"/>
      <c r="Q99" s="107"/>
      <c r="R99" s="107"/>
    </row>
    <row r="100" spans="1:21" x14ac:dyDescent="0.25">
      <c r="A100" s="21" t="s">
        <v>108</v>
      </c>
      <c r="B100" s="109" t="str">
        <f>RIGHT(A100, LEN(A100) - 23)</f>
        <v>STD CHK3 (2).DATA</v>
      </c>
      <c r="C100" s="109" t="str">
        <f>SUBSTITUTE(LEFT(B100, LEN(B100) -9), ".","")</f>
        <v>STD CHK3</v>
      </c>
      <c r="D100" s="86">
        <v>204395.1</v>
      </c>
      <c r="E100" s="86">
        <v>19728.3</v>
      </c>
      <c r="F100" s="86">
        <v>400.1</v>
      </c>
      <c r="G100" s="86">
        <v>20012.099999999999</v>
      </c>
      <c r="H100" s="86">
        <v>738.3</v>
      </c>
      <c r="I100" s="86">
        <v>113840.9</v>
      </c>
      <c r="J100" s="88">
        <f t="shared" si="7"/>
        <v>25085.184628084218</v>
      </c>
      <c r="K100" s="88">
        <f>(E100*$G$28)+$G$30</f>
        <v>2620.1818346446616</v>
      </c>
      <c r="L100" s="105">
        <f t="shared" ref="L100" si="30">(F100*$K$28)+$K$30</f>
        <v>0.76187643556053464</v>
      </c>
      <c r="M100" s="65">
        <f t="shared" si="2"/>
        <v>-0.34576014323831128</v>
      </c>
      <c r="N100" s="65">
        <f t="shared" si="3"/>
        <v>-1.7196476723970039E-2</v>
      </c>
      <c r="O100" s="65">
        <f t="shared" si="4"/>
        <v>-1.1146306644971933</v>
      </c>
      <c r="P100" s="106">
        <f>((J100-$B$26)/$B$26)*100</f>
        <v>11.489709458152081</v>
      </c>
      <c r="Q100" s="106">
        <f>((K100-$F$26)/$F$26)*100</f>
        <v>4.8072733857864662</v>
      </c>
      <c r="R100" s="106">
        <f>((L100-$J$26)/$J$26)*100</f>
        <v>1.5835247414046183</v>
      </c>
      <c r="S100" s="94"/>
      <c r="T100" s="94"/>
      <c r="U100" s="94"/>
    </row>
    <row r="101" spans="1:21" x14ac:dyDescent="0.25">
      <c r="A101" s="21" t="s">
        <v>109</v>
      </c>
      <c r="B101" s="109" t="str">
        <f>RIGHT(A101, LEN(A101) - 22)</f>
        <v>STD CHK3 (2).DATA</v>
      </c>
      <c r="C101" s="109" t="str">
        <f>SUBSTITUTE(LEFT(B101, LEN(B101) -9), ".","")</f>
        <v>STD CHK3</v>
      </c>
      <c r="D101" s="86">
        <v>1.8</v>
      </c>
      <c r="E101" s="86">
        <v>4018.8</v>
      </c>
      <c r="F101" s="86">
        <v>142.6</v>
      </c>
      <c r="G101" s="86">
        <v>131107.6</v>
      </c>
      <c r="H101" s="86">
        <v>4923.3999999999996</v>
      </c>
      <c r="I101" s="86">
        <v>726246.3</v>
      </c>
      <c r="J101" s="88">
        <f t="shared" si="7"/>
        <v>18.66753451707298</v>
      </c>
      <c r="K101" s="88">
        <f t="shared" si="8"/>
        <v>453.64254221000158</v>
      </c>
      <c r="L101" s="105">
        <f t="shared" si="10"/>
        <v>0.25489481306070078</v>
      </c>
      <c r="M101" s="65">
        <f t="shared" si="2"/>
        <v>20.88535804496108</v>
      </c>
      <c r="N101" s="65">
        <f t="shared" si="3"/>
        <v>0.93186669478471251</v>
      </c>
      <c r="O101" s="65">
        <f t="shared" si="4"/>
        <v>77.570498428617384</v>
      </c>
      <c r="P101" s="106"/>
      <c r="Q101" s="108"/>
      <c r="R101" s="107"/>
      <c r="S101" s="66">
        <f>((G101-AVERAGE($E$49:$E$51))/AVERAGE($E$49:$E$51))*100</f>
        <v>-0.25597706705157125</v>
      </c>
      <c r="T101" s="66">
        <f>((H101-AVERAGE($F$49:$F$51))/AVERAGE($F$49:$F$51))*100</f>
        <v>0.18313527592381573</v>
      </c>
      <c r="U101" s="66">
        <f>((I101-AVERAGE($G$49:$G$51))/AVERAGE($G$49:$G$51))*100</f>
        <v>-0.54688422927333802</v>
      </c>
    </row>
    <row r="102" spans="1:21" x14ac:dyDescent="0.25">
      <c r="A102" s="21" t="s">
        <v>110</v>
      </c>
      <c r="B102" s="109" t="str">
        <f t="shared" ref="B67:B104" si="31">RIGHT(A102, LEN(A102) - 16)</f>
        <v>port Helium1.DATA</v>
      </c>
      <c r="C102" s="109" t="str">
        <f>SUBSTITUTE(LEFT(B102,LEN(B102)-5),".","")&amp;" STD"</f>
        <v>port Helium1 STD</v>
      </c>
      <c r="D102" s="86">
        <v>0.4</v>
      </c>
      <c r="E102" s="86">
        <v>1994.2</v>
      </c>
      <c r="F102" s="86">
        <v>72.7</v>
      </c>
      <c r="G102" s="86">
        <v>25290</v>
      </c>
      <c r="H102" s="86">
        <v>978.1</v>
      </c>
      <c r="I102" s="86">
        <v>81932</v>
      </c>
      <c r="J102" s="88">
        <f t="shared" si="7"/>
        <v>18.505805898402503</v>
      </c>
      <c r="K102" s="88">
        <f t="shared" si="8"/>
        <v>174.42452435690547</v>
      </c>
      <c r="L102" s="105">
        <f t="shared" ref="L102" si="32">(F102*$K$28)+$K$30</f>
        <v>0.11727145223453234</v>
      </c>
      <c r="M102" s="65">
        <f t="shared" si="2"/>
        <v>0.66288303929831383</v>
      </c>
      <c r="N102" s="65">
        <f t="shared" si="3"/>
        <v>3.7183430214402319E-2</v>
      </c>
      <c r="O102" s="65">
        <f t="shared" si="4"/>
        <v>-5.2144572103102824</v>
      </c>
      <c r="P102" s="107"/>
      <c r="Q102" s="107"/>
      <c r="R102" s="107"/>
    </row>
    <row r="103" spans="1:21" x14ac:dyDescent="0.25">
      <c r="A103" s="21" t="s">
        <v>111</v>
      </c>
      <c r="B103" s="109" t="str">
        <f t="shared" si="31"/>
        <v>port Helium2.DATA</v>
      </c>
      <c r="C103" s="109" t="str">
        <f t="shared" ref="C103:C104" si="33">SUBSTITUTE(LEFT(B103,LEN(B103)-5),".","")&amp;" STD"</f>
        <v>port Helium2 STD</v>
      </c>
      <c r="D103" s="86">
        <v>0.4</v>
      </c>
      <c r="E103" s="86">
        <v>1755.1</v>
      </c>
      <c r="F103" s="86">
        <v>61.8</v>
      </c>
      <c r="G103" s="86">
        <v>21925.3</v>
      </c>
      <c r="H103" s="86">
        <v>855.7</v>
      </c>
      <c r="I103" s="86">
        <v>71650.100000000006</v>
      </c>
      <c r="J103" s="88">
        <f t="shared" si="7"/>
        <v>18.505805898402503</v>
      </c>
      <c r="K103" s="88">
        <f t="shared" si="8"/>
        <v>141.44960186916697</v>
      </c>
      <c r="L103" s="105">
        <f t="shared" si="10"/>
        <v>9.5810870932597617E-2</v>
      </c>
      <c r="M103" s="65">
        <f t="shared" si="2"/>
        <v>1.9865605038289935E-2</v>
      </c>
      <c r="N103" s="65">
        <f t="shared" si="3"/>
        <v>9.4265469397702417E-3</v>
      </c>
      <c r="O103" s="65">
        <f t="shared" si="4"/>
        <v>-6.5355308468629545</v>
      </c>
      <c r="P103" s="107"/>
      <c r="Q103" s="107"/>
      <c r="R103" s="107"/>
    </row>
    <row r="104" spans="1:21" x14ac:dyDescent="0.25">
      <c r="A104" s="21" t="s">
        <v>112</v>
      </c>
      <c r="B104" s="109" t="str">
        <f t="shared" si="31"/>
        <v>port Helium3.DATA</v>
      </c>
      <c r="C104" s="109" t="str">
        <f t="shared" si="33"/>
        <v>port Helium3 STD</v>
      </c>
      <c r="D104" s="86">
        <v>3.7</v>
      </c>
      <c r="E104" s="86">
        <v>1421.7</v>
      </c>
      <c r="F104" s="86">
        <v>48.2</v>
      </c>
      <c r="G104" s="86">
        <v>17311.099999999999</v>
      </c>
      <c r="H104" s="86">
        <v>672.6</v>
      </c>
      <c r="I104" s="86">
        <v>57530.1</v>
      </c>
      <c r="J104" s="88">
        <f t="shared" si="7"/>
        <v>18.887023356697195</v>
      </c>
      <c r="K104" s="88">
        <f t="shared" si="8"/>
        <v>95.469513381454732</v>
      </c>
      <c r="L104" s="105">
        <f t="shared" ref="L104" si="34">(F104*$K$28)+$K$30</f>
        <v>6.9034365821926791E-2</v>
      </c>
      <c r="M104" s="65">
        <f t="shared" si="2"/>
        <v>-0.86193991853367935</v>
      </c>
      <c r="N104" s="65">
        <f t="shared" si="3"/>
        <v>-3.2095392011088714E-2</v>
      </c>
      <c r="O104" s="65">
        <f t="shared" si="4"/>
        <v>-8.3497441486966402</v>
      </c>
      <c r="P104" s="107"/>
      <c r="Q104" s="107"/>
      <c r="R104" s="107"/>
    </row>
  </sheetData>
  <sortState xmlns:xlrd2="http://schemas.microsoft.com/office/spreadsheetml/2017/richdata2" ref="A48">
    <sortCondition ref="A48"/>
  </sortState>
  <mergeCells count="5">
    <mergeCell ref="D64:E64"/>
    <mergeCell ref="G64:I64"/>
    <mergeCell ref="E34:G34"/>
    <mergeCell ref="A1:G1"/>
    <mergeCell ref="B34:C34"/>
  </mergeCells>
  <phoneticPr fontId="4" type="noConversion"/>
  <conditionalFormatting sqref="K66:K104">
    <cfRule type="cellIs" dxfId="1" priority="2" operator="lessThan">
      <formula>$F$32</formula>
    </cfRule>
  </conditionalFormatting>
  <conditionalFormatting sqref="L66:L104">
    <cfRule type="cellIs" dxfId="0" priority="1" operator="lessThan">
      <formula>$J$32</formula>
    </cfRule>
  </conditionalFormatting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2025-03-31T16:51:40Z</dcterms:modified>
</cp:coreProperties>
</file>