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sw01.int.cyprotex.com\WTN_DATA\CLIENT_DATA\EPA\EPA 2020\Hepatocyte Stability\07102020\Results\"/>
    </mc:Choice>
  </mc:AlternateContent>
  <bookViews>
    <workbookView xWindow="0" yWindow="0" windowWidth="28800" windowHeight="11700" tabRatio="873"/>
  </bookViews>
  <sheets>
    <sheet name="Summary" sheetId="6" r:id="rId1"/>
    <sheet name="Data 1uM 5500" sheetId="2" r:id="rId2"/>
    <sheet name="Data 10uM 5500" sheetId="8" r:id="rId3"/>
    <sheet name="Data 1uM Xevo" sheetId="10" r:id="rId4"/>
    <sheet name="Data 10uM Xevo" sheetId="1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Print_Area" localSheetId="0">Summary!$A$1:$H$10</definedName>
    <definedName name="Summary1">#REF!</definedName>
    <definedName name="Table1">'Data 1uM 5500'!#REF!</definedName>
    <definedName name="Table2">'Data 1uM 5500'!$Z$2:$AD$7</definedName>
    <definedName name="Table3">'Data 1uM 5500'!#REF!</definedName>
    <definedName name="Table4">'Data 1uM 5500'!#REF!</definedName>
    <definedName name="Table5">'Data 1uM 5500'!$Z$21:$AD$26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0" l="1"/>
  <c r="I19" i="10" s="1"/>
  <c r="G18" i="10"/>
  <c r="I18" i="10" s="1"/>
  <c r="G17" i="10"/>
  <c r="I17" i="10" s="1"/>
  <c r="I16" i="10"/>
  <c r="U16" i="10" s="1"/>
  <c r="G16" i="10"/>
  <c r="I15" i="10"/>
  <c r="U15" i="10" s="1"/>
  <c r="G15" i="10"/>
  <c r="I14" i="10"/>
  <c r="U14" i="10" s="1"/>
  <c r="G14" i="10"/>
  <c r="AA6" i="10" s="1"/>
  <c r="I13" i="10"/>
  <c r="U13" i="10" s="1"/>
  <c r="G13" i="10"/>
  <c r="U12" i="10"/>
  <c r="I12" i="10"/>
  <c r="G12" i="10"/>
  <c r="I11" i="10"/>
  <c r="U11" i="10" s="1"/>
  <c r="G11" i="10"/>
  <c r="U10" i="10"/>
  <c r="I10" i="10"/>
  <c r="G10" i="10"/>
  <c r="AC4" i="10" s="1"/>
  <c r="U9" i="10"/>
  <c r="I9" i="10"/>
  <c r="G9" i="10"/>
  <c r="AB4" i="10" s="1"/>
  <c r="I8" i="10"/>
  <c r="U8" i="10" s="1"/>
  <c r="G8" i="10"/>
  <c r="Z7" i="10"/>
  <c r="I7" i="10"/>
  <c r="U7" i="10" s="1"/>
  <c r="G7" i="10"/>
  <c r="Z6" i="10"/>
  <c r="I6" i="10"/>
  <c r="AB3" i="10" s="1"/>
  <c r="G6" i="10"/>
  <c r="Z5" i="10"/>
  <c r="I5" i="10"/>
  <c r="G5" i="10"/>
  <c r="Z4" i="10"/>
  <c r="Z3" i="10"/>
  <c r="U19" i="10" l="1"/>
  <c r="AC7" i="10"/>
  <c r="AA3" i="10"/>
  <c r="AC5" i="10"/>
  <c r="AC6" i="10"/>
  <c r="AA5" i="10"/>
  <c r="AC3" i="10"/>
  <c r="AB6" i="10"/>
  <c r="AD6" i="10" s="1"/>
  <c r="AB5" i="10"/>
  <c r="U18" i="10"/>
  <c r="AB7" i="10"/>
  <c r="U17" i="10"/>
  <c r="AA7" i="10"/>
  <c r="U6" i="10"/>
  <c r="AA4" i="10"/>
  <c r="AD4" i="10" s="1"/>
  <c r="U5" i="10"/>
  <c r="AD5" i="10" l="1"/>
  <c r="AD3" i="10"/>
  <c r="AD7" i="10"/>
  <c r="W19" i="10"/>
  <c r="V18" i="10"/>
  <c r="W8" i="10"/>
  <c r="W5" i="10"/>
  <c r="V19" i="10"/>
  <c r="W14" i="10"/>
  <c r="W13" i="10"/>
  <c r="W12" i="10"/>
  <c r="W11" i="10"/>
  <c r="W10" i="10"/>
  <c r="W9" i="10"/>
  <c r="V8" i="10"/>
  <c r="V5" i="10"/>
  <c r="W15" i="10"/>
  <c r="V14" i="10"/>
  <c r="V13" i="10"/>
  <c r="V12" i="10"/>
  <c r="V11" i="10"/>
  <c r="V10" i="10"/>
  <c r="V9" i="10"/>
  <c r="W6" i="10"/>
  <c r="V6" i="10"/>
  <c r="W16" i="10"/>
  <c r="V15" i="10"/>
  <c r="W17" i="10"/>
  <c r="V16" i="10"/>
  <c r="W7" i="10"/>
  <c r="W18" i="10"/>
  <c r="V17" i="10"/>
  <c r="V7" i="10"/>
  <c r="AA11" i="10" l="1"/>
  <c r="AA10" i="10"/>
  <c r="AA9" i="10"/>
  <c r="AA13" i="10" l="1"/>
  <c r="AA12" i="10"/>
  <c r="G19" i="8" l="1"/>
  <c r="I19" i="8" s="1"/>
  <c r="G18" i="8"/>
  <c r="I18" i="8" s="1"/>
  <c r="U18" i="8" s="1"/>
  <c r="G17" i="8"/>
  <c r="I17" i="8" s="1"/>
  <c r="G16" i="8"/>
  <c r="I16" i="8" s="1"/>
  <c r="G15" i="8"/>
  <c r="I15" i="8" s="1"/>
  <c r="G14" i="8"/>
  <c r="I14" i="8" s="1"/>
  <c r="G13" i="8"/>
  <c r="I13" i="8" s="1"/>
  <c r="G12" i="8"/>
  <c r="I12" i="8" s="1"/>
  <c r="G11" i="8"/>
  <c r="I11" i="8" s="1"/>
  <c r="G10" i="8"/>
  <c r="I10" i="8" s="1"/>
  <c r="G9" i="8"/>
  <c r="I9" i="8" s="1"/>
  <c r="U9" i="8" s="1"/>
  <c r="G8" i="8"/>
  <c r="I8" i="8" s="1"/>
  <c r="AB7" i="8"/>
  <c r="Z7" i="8"/>
  <c r="G7" i="8"/>
  <c r="I7" i="8" s="1"/>
  <c r="Z6" i="8"/>
  <c r="G6" i="8"/>
  <c r="I6" i="8" s="1"/>
  <c r="Z5" i="8"/>
  <c r="G5" i="8"/>
  <c r="I5" i="8" s="1"/>
  <c r="U5" i="8" s="1"/>
  <c r="Z4" i="8"/>
  <c r="Z3" i="8"/>
  <c r="AB4" i="8" l="1"/>
  <c r="AC3" i="8"/>
  <c r="U7" i="8"/>
  <c r="U10" i="8"/>
  <c r="AC4" i="8"/>
  <c r="U13" i="8"/>
  <c r="AC5" i="8"/>
  <c r="AA3" i="8"/>
  <c r="U17" i="8"/>
  <c r="AA7" i="8"/>
  <c r="U6" i="8"/>
  <c r="V19" i="8" s="1"/>
  <c r="AB3" i="8"/>
  <c r="U8" i="8"/>
  <c r="AA4" i="8"/>
  <c r="U11" i="8"/>
  <c r="AA5" i="8"/>
  <c r="U14" i="8"/>
  <c r="AA6" i="8"/>
  <c r="W16" i="8"/>
  <c r="W18" i="8"/>
  <c r="V10" i="8"/>
  <c r="U12" i="8"/>
  <c r="AB5" i="8"/>
  <c r="U15" i="8"/>
  <c r="AB6" i="8"/>
  <c r="AC7" i="8"/>
  <c r="U19" i="8"/>
  <c r="AC6" i="8"/>
  <c r="U16" i="8"/>
  <c r="W5" i="8" l="1"/>
  <c r="AD3" i="8"/>
  <c r="AD5" i="8"/>
  <c r="AD4" i="8"/>
  <c r="AD7" i="8"/>
  <c r="V11" i="8"/>
  <c r="W8" i="8"/>
  <c r="W7" i="8"/>
  <c r="V5" i="8"/>
  <c r="V12" i="8"/>
  <c r="V18" i="8"/>
  <c r="V16" i="8"/>
  <c r="W10" i="8"/>
  <c r="V13" i="8"/>
  <c r="W19" i="8"/>
  <c r="W17" i="8"/>
  <c r="W6" i="8"/>
  <c r="V14" i="8"/>
  <c r="V7" i="8"/>
  <c r="V6" i="8"/>
  <c r="W13" i="8"/>
  <c r="V9" i="8"/>
  <c r="W15" i="8"/>
  <c r="V17" i="8"/>
  <c r="V15" i="8"/>
  <c r="AD6" i="8"/>
  <c r="V8" i="8"/>
  <c r="W14" i="8"/>
  <c r="W11" i="8"/>
  <c r="W12" i="8"/>
  <c r="W9" i="8"/>
  <c r="AA11" i="8" l="1"/>
  <c r="AA9" i="8"/>
  <c r="AA10" i="8"/>
  <c r="AA13" i="8" l="1"/>
  <c r="AA12" i="8"/>
</calcChain>
</file>

<file path=xl/sharedStrings.xml><?xml version="1.0" encoding="utf-8"?>
<sst xmlns="http://schemas.openxmlformats.org/spreadsheetml/2006/main" count="487" uniqueCount="147">
  <si>
    <t>SampleName</t>
  </si>
  <si>
    <t>CompoundName</t>
  </si>
  <si>
    <t>Transition</t>
  </si>
  <si>
    <t>Area</t>
  </si>
  <si>
    <t>ISTD Area</t>
  </si>
  <si>
    <t>ISTDResponseRatio</t>
  </si>
  <si>
    <t xml:space="preserve">Blank_Human___1_____5P1-_Inj 2020Jul02_EPA_003  </t>
  </si>
  <si>
    <t xml:space="preserve">Blank_Human___2_____5P1-_Inj 2020Jul02_EPA_004  </t>
  </si>
  <si>
    <t xml:space="preserve">Blank_Human___3_____5P1-_Inj 2020Jul02_EPA_005  </t>
  </si>
  <si>
    <t>DTXSID6048175</t>
  </si>
  <si>
    <t>363.1 / 199.5</t>
  </si>
  <si>
    <t xml:space="preserve">DTXSID6048175_Human__120_1_____5P1-_Inj 2020Jul02_EPA_038  </t>
  </si>
  <si>
    <t xml:space="preserve">DTXSID6048175_Human__120_2_____5P1-_Inj 2020Jul02_EPA_039  </t>
  </si>
  <si>
    <t xml:space="preserve">DTXSID6048175_Human__120_3_____5P1-_Inj 2020Jul02_EPA_040  </t>
  </si>
  <si>
    <t xml:space="preserve">DTXSID6048175_Human__60_1_____5P9_Inj 2020Jul02_EPA_041  </t>
  </si>
  <si>
    <t xml:space="preserve">DTXSID6048175_Human__60_2_____5P9_Inj 2020Jul02_EPA_042  </t>
  </si>
  <si>
    <t xml:space="preserve">DTXSID6048175_Human__60_3_____5P9_Inj 2020Jul02_EPA_043  </t>
  </si>
  <si>
    <t xml:space="preserve">DTXSID6048175_Human__30_1_____5P9_Inj 2020Jul02_EPA_044  </t>
  </si>
  <si>
    <t xml:space="preserve">DTXSID6048175_Human__30_2_____5P9_Inj 2020Jul02_EPA_045  </t>
  </si>
  <si>
    <t xml:space="preserve">DTXSID6048175_Human__30_3_____5P9_Inj 2020Jul02_EPA_046  </t>
  </si>
  <si>
    <t xml:space="preserve">DTXSID6048175_Human__15_1_____5P9_Inj 2020Jul02_EPA_047  </t>
  </si>
  <si>
    <t xml:space="preserve">DTXSID6048175_Human__15_2_____5P9_Inj 2020Jul02_EPA_048  </t>
  </si>
  <si>
    <t xml:space="preserve">DTXSID6048175_Human__15_3_____5P9_Inj 2020Jul02_EPA_049  </t>
  </si>
  <si>
    <t xml:space="preserve">DTXSID6048175_Human__0_1_____5P9_Inj 2020Jul02_EPA_050  </t>
  </si>
  <si>
    <t xml:space="preserve">DTXSID6048175_Human__0_2_____5P9_Inj 2020Jul02_EPA_051  </t>
  </si>
  <si>
    <t xml:space="preserve">DTXSID6048175_Human__0_3_____5P9_Inj 2020Jul02_EPA_052  </t>
  </si>
  <si>
    <t>Midazolam</t>
  </si>
  <si>
    <t>326.2 / 291.0</t>
  </si>
  <si>
    <t xml:space="preserve">Midazolam_Human__120_1_____5P1-_Inj 2020Jul02_EPA_006  </t>
  </si>
  <si>
    <t xml:space="preserve">Midazolam_Human__120_2_____5P1-_Inj 2020Jul02_EPA_007  </t>
  </si>
  <si>
    <t xml:space="preserve">Midazolam_Human__120_3_____5P1-_Inj 2020Jul02_EPA_008  </t>
  </si>
  <si>
    <t xml:space="preserve">Midazolam_Human__60_1_____5P9_Inj 2020Jul02_EPA_009  </t>
  </si>
  <si>
    <t xml:space="preserve">Midazolam_Human__60_2_____5P9_Inj 2020Jul02_EPA_010  </t>
  </si>
  <si>
    <t xml:space="preserve">Midazolam_Human__60_3_____5P9_Inj 2020Jul02_EPA_011  </t>
  </si>
  <si>
    <t xml:space="preserve">Midazolam_Human__30_1_____5P9_Inj 2020Jul02_EPA_012  </t>
  </si>
  <si>
    <t xml:space="preserve">Midazolam_Human__30_2_____5P9_Inj 2020Jul02_EPA_013  </t>
  </si>
  <si>
    <t xml:space="preserve">Midazolam_Human__30_3_____5P9_Inj 2020Jul02_EPA_014  </t>
  </si>
  <si>
    <t xml:space="preserve">Midazolam_Human__15_1_____5P9_Inj 2020Jul02_EPA_015  </t>
  </si>
  <si>
    <t xml:space="preserve">Midazolam_Human__15_2_____5P9_Inj 2020Jul02_EPA_016  </t>
  </si>
  <si>
    <t xml:space="preserve">Midazolam_Human__15_3_____5P9_Inj 2020Jul02_EPA_017  </t>
  </si>
  <si>
    <t xml:space="preserve">Midazolam_Human__0_1_____5P9_Inj 2020Jul02_EPA_018  </t>
  </si>
  <si>
    <t xml:space="preserve">Midazolam_Human__0_2_____5P9_Inj 2020Jul02_EPA_019  </t>
  </si>
  <si>
    <t xml:space="preserve">Midazolam_Human__0_3_____5P9_Inj 2020Jul02_EPA_020  </t>
  </si>
  <si>
    <t>Compound</t>
  </si>
  <si>
    <t>Species</t>
  </si>
  <si>
    <t>Clearance (µl/min/million cells)</t>
  </si>
  <si>
    <t>Half Life (mins)</t>
  </si>
  <si>
    <t>Avg % Remaining at Last Point</t>
  </si>
  <si>
    <t>Comments</t>
  </si>
  <si>
    <t>% Remaining</t>
  </si>
  <si>
    <t>Time (mins)</t>
  </si>
  <si>
    <t>ln % Remaining</t>
  </si>
  <si>
    <t>Table</t>
  </si>
  <si>
    <t>Chart</t>
  </si>
  <si>
    <t>Time (Mins)</t>
  </si>
  <si>
    <t>ln Percent Remaining</t>
  </si>
  <si>
    <t>% Remaining Replica 1</t>
  </si>
  <si>
    <t>% Remaining Replica 2</t>
  </si>
  <si>
    <t>% Remaining Replica 3</t>
  </si>
  <si>
    <t>Average</t>
  </si>
  <si>
    <t>Slope</t>
  </si>
  <si>
    <t>Intercept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</si>
  <si>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</si>
  <si>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</si>
  <si>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</si>
  <si>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 xml:space="preserve"> </t>
  </si>
  <si>
    <t>Human</t>
  </si>
  <si>
    <t>DTXSID6048175 - Human</t>
  </si>
  <si>
    <t>Midazolam - Human</t>
  </si>
  <si>
    <t xml:space="preserve">Points Deleted: (120,1.5700) (120,1.3230) (120,-1.0380) </t>
  </si>
  <si>
    <t>EPA</t>
  </si>
  <si>
    <t>Test Concentration (µM)</t>
  </si>
  <si>
    <t>Avg % Remaining at Last Point (Control)</t>
  </si>
  <si>
    <t>Assay Control</t>
  </si>
  <si>
    <t>Blank_Human___1_____5P6_Inj 2020Jul07_EPA_003</t>
  </si>
  <si>
    <t>Blank_Human___2_____5P6_Inj 2020Jul07_EPA_004</t>
  </si>
  <si>
    <t>Blank_Human___3_____5P6_Inj 2020Jul07_EPA_005</t>
  </si>
  <si>
    <t>DTXSID5044576</t>
  </si>
  <si>
    <t>319.146 &gt; 156.93</t>
  </si>
  <si>
    <t>DTXSID5044576 - Human</t>
  </si>
  <si>
    <t>DTXSID5044576_Human__120_1_____5P1-_Inj 2020Jul07_EPA_102</t>
  </si>
  <si>
    <t>DTXSID5044576_Human__120_2_____5P1-_Inj 2020Jul07_EPA_103</t>
  </si>
  <si>
    <t>DTXSID5044576_Human__120_3_____5P1-_Inj 2020Jul07_EPA_104</t>
  </si>
  <si>
    <t>DTXSID5044576_Human__60_1_____5P1-_Inj 2020Jul07_EPA_105</t>
  </si>
  <si>
    <t>DTXSID5044576_Human__60_2_____5P1-_Inj 2020Jul07_EPA_106</t>
  </si>
  <si>
    <t>DTXSID5044576_Human__60_3_____5P1-_Inj 2020Jul07_EPA_107</t>
  </si>
  <si>
    <t>DTXSID5044576_Human__30_1_____5P1-_Inj 2020Jul07_EPA_108</t>
  </si>
  <si>
    <t>DTXSID5044576_Human__30_2_____5P1-_Inj 2020Jul07_EPA_109</t>
  </si>
  <si>
    <t>DTXSID5044576_Human__30_3_____5P1-_Inj 2020Jul07_EPA_110</t>
  </si>
  <si>
    <t>DTXSID5044576_Human__15_1_____5P1-_Inj 2020Jul07_EPA_111</t>
  </si>
  <si>
    <t>DTXSID5044576_Human__15_2_____5P1-_Inj 2020Jul07_EPA_112</t>
  </si>
  <si>
    <t>DTXSID5044576_Human__15_3_____5P1-_Inj 2020Jul07_EPA_113</t>
  </si>
  <si>
    <t>DTXSID5044576_Human__0_1_____5P1-_Inj 2020Jul07_EPA_114</t>
  </si>
  <si>
    <t>DTXSID5044576_Human__0_2_____5P1-_Inj 2020Jul07_EPA_115</t>
  </si>
  <si>
    <t>DTXSID5044576_Human__0_3_____5P1-_Inj 2020Jul07_EPA_116</t>
  </si>
  <si>
    <t/>
  </si>
  <si>
    <t xml:space="preserve">DTXSID6048175_Human__120_1_____5P1-_Inj 2020Jul02_EPA_054  </t>
  </si>
  <si>
    <t xml:space="preserve">DTXSID6048175_Human__120_2_____5P1-_Inj 2020Jul02_EPA_055  </t>
  </si>
  <si>
    <t xml:space="preserve">DTXSID6048175_Human__120_3_____5P1-_Inj 2020Jul02_EPA_056  </t>
  </si>
  <si>
    <t xml:space="preserve">DTXSID6048175_Human__60_1_____5P9_Inj 2020Jul02_EPA_057  </t>
  </si>
  <si>
    <t xml:space="preserve">DTXSID6048175_Human__60_2_____5P9_Inj 2020Jul02_EPA_058  </t>
  </si>
  <si>
    <t xml:space="preserve">DTXSID6048175_Human__60_3_____5P9_Inj 2020Jul02_EPA_059  </t>
  </si>
  <si>
    <t xml:space="preserve">DTXSID6048175_Human__30_1_____5P9_Inj 2020Jul02_EPA_060  </t>
  </si>
  <si>
    <t xml:space="preserve">DTXSID6048175_Human__30_2_____5P9_Inj 2020Jul02_EPA_061  </t>
  </si>
  <si>
    <t xml:space="preserve">DTXSID6048175_Human__30_3_____5P9_Inj 2020Jul02_EPA_062  </t>
  </si>
  <si>
    <t xml:space="preserve">DTXSID6048175_Human__15_1_____5P9_Inj 2020Jul02_EPA_063  </t>
  </si>
  <si>
    <t xml:space="preserve">DTXSID6048175_Human__15_2_____5P9_Inj 2020Jul02_EPA_064  </t>
  </si>
  <si>
    <t xml:space="preserve">DTXSID6048175_Human__15_3_____5P9_Inj 2020Jul02_EPA_065  </t>
  </si>
  <si>
    <t xml:space="preserve">DTXSID6048175_Human__0_1_____5P9_Inj 2020Jul02_EPA_066  </t>
  </si>
  <si>
    <t xml:space="preserve">DTXSID6048175_Human__0_2_____5P9_Inj 2020Jul02_EPA_067  </t>
  </si>
  <si>
    <t xml:space="preserve">DTXSID6048175_Human__0_3_____5P9_Inj 2020Jul02_EPA_068  </t>
  </si>
  <si>
    <t>DTXSID5044576_Human__120_1_____5P1-_Inj 2020Jul07_EPA_118</t>
  </si>
  <si>
    <t>DTXSID5044576_Human__120_2_____5P1-_Inj 2020Jul07_EPA_119</t>
  </si>
  <si>
    <t>DTXSID5044576_Human__120_3_____5P1-_Inj 2020Jul07_EPA_120</t>
  </si>
  <si>
    <t>DTXSID5044576_Human__60_1_____5P1-_Inj 2020Jul07_EPA_121</t>
  </si>
  <si>
    <t>DTXSID5044576_Human__60_2_____5P1-_Inj 2020Jul07_EPA_122</t>
  </si>
  <si>
    <t>DTXSID5044576_Human__60_3_____5P1-_Inj 2020Jul07_EPA_123</t>
  </si>
  <si>
    <t>DTXSID5044576_Human__30_1_____5P1-_Inj 2020Jul07_EPA_124</t>
  </si>
  <si>
    <t>DTXSID5044576_Human__30_2_____5P1-_Inj 2020Jul07_EPA_125</t>
  </si>
  <si>
    <t>DTXSID5044576_Human__30_3_____5P1-_Inj 2020Jul07_EPA_126</t>
  </si>
  <si>
    <t>DTXSID5044576_Human__15_1_____5P1-_Inj 2020Jul07_EPA_127</t>
  </si>
  <si>
    <t>DTXSID5044576_Human__15_2_____5P1-_Inj 2020Jul07_EPA_128</t>
  </si>
  <si>
    <t>DTXSID5044576_Human__15_3_____5P1-_Inj 2020Jul07_EPA_129</t>
  </si>
  <si>
    <t>DTXSID5044576_Human__0_1_____5P1-_Inj 2020Jul07_EPA_130</t>
  </si>
  <si>
    <t>DTXSID5044576_Human__0_2_____5P1-_Inj 2020Jul07_EPA_131</t>
  </si>
  <si>
    <t>DTXSID5044576_Human__0_3_____5P1-_Inj 2020Jul07_EPA_132</t>
  </si>
  <si>
    <t>R2</t>
  </si>
  <si>
    <t>T½ (mins)</t>
  </si>
  <si>
    <t>CLint (µl/min/106 cells)</t>
  </si>
  <si>
    <t>&lt;15</t>
  </si>
  <si>
    <t>4.80%</t>
  </si>
  <si>
    <t>3.76%</t>
  </si>
  <si>
    <t>0.35%</t>
  </si>
  <si>
    <t>1.570</t>
  </si>
  <si>
    <t>1.323</t>
  </si>
  <si>
    <t>-1.038</t>
  </si>
  <si>
    <t>-0.03%</t>
  </si>
  <si>
    <t>-0.04%</t>
  </si>
  <si>
    <t>-0.01%</t>
  </si>
  <si>
    <t>-0.02%</t>
  </si>
  <si>
    <t>0.05%</t>
  </si>
  <si>
    <t>0.13%</t>
  </si>
  <si>
    <t>0.36%</t>
  </si>
  <si>
    <t>3.89%</t>
  </si>
  <si>
    <t>N/A</t>
  </si>
  <si>
    <t>N/A= Not available - to be repeated</t>
  </si>
  <si>
    <t>&gt;92.4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</si>
</sst>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\ mmm\ yyyy"/>
    <numFmt numFmtId="165" formatCode="0.0%"/>
    <numFmt numFmtId="166" formatCode="0.0000"/>
    <numFmt numFmtId="167" formatCode="0.000"/>
    <numFmt numFmtId="168" formatCode="0.0"/>
    <numFmt numFmtId="169" formatCode="0.000%"/>
    <numFmt numFmtId="170" formatCode="0.00000"/>
  </numFmts>
  <fonts count="9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Arial"/>
      <family val="2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1" fillId="0" borderId="0" xfId="1"/>
    <xf numFmtId="0" fontId="3" fillId="0" borderId="0" xfId="1" applyFont="1"/>
    <xf numFmtId="164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ont="1"/>
    <xf numFmtId="0" fontId="6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65" fontId="1" fillId="2" borderId="0" xfId="1" applyNumberFormat="1" applyFill="1" applyAlignment="1">
      <alignment horizontal="center"/>
    </xf>
    <xf numFmtId="10" fontId="1" fillId="2" borderId="0" xfId="1" applyNumberForma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9" fontId="1" fillId="2" borderId="1" xfId="1" applyNumberFormat="1" applyFill="1" applyBorder="1" applyAlignment="1">
      <alignment horizontal="center"/>
    </xf>
    <xf numFmtId="0" fontId="1" fillId="2" borderId="0" xfId="1" applyFill="1" applyAlignment="1">
      <alignment horizontal="center"/>
    </xf>
    <xf numFmtId="169" fontId="1" fillId="2" borderId="0" xfId="1" applyNumberFormat="1" applyFill="1" applyAlignment="1">
      <alignment horizont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center"/>
    </xf>
    <xf numFmtId="0" fontId="2" fillId="0" borderId="6" xfId="1" applyFont="1" applyBorder="1" applyAlignment="1">
      <alignment horizontal="center"/>
    </xf>
    <xf numFmtId="166" fontId="1" fillId="0" borderId="3" xfId="1" applyNumberFormat="1" applyBorder="1" applyAlignment="1">
      <alignment horizontal="center"/>
    </xf>
    <xf numFmtId="0" fontId="2" fillId="0" borderId="7" xfId="1" applyFont="1" applyBorder="1" applyAlignment="1">
      <alignment horizontal="center"/>
    </xf>
    <xf numFmtId="2" fontId="1" fillId="0" borderId="4" xfId="1" applyNumberFormat="1" applyBorder="1" applyAlignment="1">
      <alignment horizontal="center"/>
    </xf>
    <xf numFmtId="167" fontId="1" fillId="0" borderId="4" xfId="1" applyNumberFormat="1" applyBorder="1" applyAlignment="1">
      <alignment horizontal="center"/>
    </xf>
    <xf numFmtId="168" fontId="1" fillId="0" borderId="4" xfId="1" applyNumberForma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3" fillId="3" borderId="0" xfId="1" applyFont="1" applyFill="1"/>
    <xf numFmtId="0" fontId="3" fillId="4" borderId="0" xfId="1" applyFont="1" applyFill="1"/>
    <xf numFmtId="0" fontId="3" fillId="3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4" fillId="4" borderId="0" xfId="1" applyFont="1" applyFill="1"/>
    <xf numFmtId="0" fontId="4" fillId="3" borderId="0" xfId="1" applyFont="1" applyFill="1"/>
    <xf numFmtId="0" fontId="0" fillId="0" borderId="0" xfId="0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1" fillId="2" borderId="0" xfId="1" applyNumberFormat="1" applyFill="1" applyAlignment="1">
      <alignment horizontal="center"/>
    </xf>
    <xf numFmtId="170" fontId="1" fillId="0" borderId="3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1" fontId="1" fillId="0" borderId="4" xfId="1" applyNumberFormat="1" applyBorder="1" applyAlignment="1">
      <alignment horizontal="center"/>
    </xf>
    <xf numFmtId="0" fontId="1" fillId="0" borderId="3" xfId="1" applyBorder="1" applyAlignment="1">
      <alignment horizontal="center"/>
    </xf>
    <xf numFmtId="167" fontId="1" fillId="0" borderId="3" xfId="1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 customBuiltin="1"/>
    <cellStyle name="Normal 2" xfId="1"/>
  </cellStyles>
  <dxfs count="175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1uM 5500'!$R$2</c:f>
          <c:strCache>
            <c:ptCount val="1"/>
            <c:pt idx="0">
              <c:v>DTXSID6048175 -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2836759988334791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1uM 5500'!$V$5:$V$19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'Data 1uM 5500'!$W$5:$W$19</c:f>
              <c:numCache>
                <c:formatCode>General</c:formatCode>
                <c:ptCount val="15"/>
                <c:pt idx="0">
                  <c:v>3.2078148819809678</c:v>
                </c:pt>
                <c:pt idx="1">
                  <c:v>3.2498417295126742</c:v>
                </c:pt>
                <c:pt idx="2">
                  <c:v>3.3257145179778571</c:v>
                </c:pt>
                <c:pt idx="3">
                  <c:v>3.970815609556273</c:v>
                </c:pt>
                <c:pt idx="4">
                  <c:v>3.7638273311939447</c:v>
                </c:pt>
                <c:pt idx="5">
                  <c:v>3.8173668003601069</c:v>
                </c:pt>
                <c:pt idx="6">
                  <c:v>4.4150256719423346</c:v>
                </c:pt>
                <c:pt idx="7">
                  <c:v>4.1534821634130017</c:v>
                </c:pt>
                <c:pt idx="8">
                  <c:v>4.2497223352926694</c:v>
                </c:pt>
                <c:pt idx="9">
                  <c:v>4.4896795038740729</c:v>
                </c:pt>
                <c:pt idx="10">
                  <c:v>4.3512620156396231</c:v>
                </c:pt>
                <c:pt idx="11">
                  <c:v>4.2920104500581377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2A-401F-AF83-97F8E550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24032"/>
        <c:axId val="429816488"/>
      </c:scatterChart>
      <c:valAx>
        <c:axId val="4298240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1uM 5500'!$R$3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816488"/>
        <c:crosses val="autoZero"/>
        <c:crossBetween val="midCat"/>
      </c:valAx>
      <c:valAx>
        <c:axId val="42981648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1uM 5500'!$R$4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8240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[5]Data!$R$21</c:f>
          <c:strCache>
            <c:ptCount val="1"/>
            <c:pt idx="0">
              <c:v>DTXSID5044576 -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[5]Data!$V$24:$V$26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[5]Data!$W$24:$W$26</c:f>
              <c:numCache>
                <c:formatCode>General</c:formatCode>
                <c:ptCount val="3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5-4EC9-B5AD-7ABA92C4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9032"/>
        <c:axId val="588633952"/>
      </c:scatterChart>
      <c:valAx>
        <c:axId val="588629032"/>
        <c:scaling>
          <c:orientation val="minMax"/>
          <c:max val="0"/>
        </c:scaling>
        <c:delete val="0"/>
        <c:axPos val="b"/>
        <c:title>
          <c:tx>
            <c:strRef>
              <c:f>[5]Data!$R$22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633952"/>
        <c:crosses val="autoZero"/>
        <c:crossBetween val="midCat"/>
      </c:valAx>
      <c:valAx>
        <c:axId val="588633952"/>
        <c:scaling>
          <c:orientation val="minMax"/>
          <c:max val="5"/>
          <c:min val="0"/>
        </c:scaling>
        <c:delete val="0"/>
        <c:axPos val="l"/>
        <c:majorGridlines/>
        <c:title>
          <c:tx>
            <c:strRef>
              <c:f>[5]Data!$R$23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6290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[6]Data!$R$21</c:f>
          <c:strCache>
            <c:ptCount val="1"/>
            <c:pt idx="0">
              <c:v>DTXSID5044576 -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[6]Data!$V$24:$V$26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[6]Data!$W$24:$W$26</c:f>
              <c:numCache>
                <c:formatCode>General</c:formatCode>
                <c:ptCount val="3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7-4FDA-84C7-EE4D2914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9032"/>
        <c:axId val="588633952"/>
      </c:scatterChart>
      <c:valAx>
        <c:axId val="588629032"/>
        <c:scaling>
          <c:orientation val="minMax"/>
          <c:max val="0"/>
        </c:scaling>
        <c:delete val="0"/>
        <c:axPos val="b"/>
        <c:title>
          <c:tx>
            <c:strRef>
              <c:f>[6]Data!$R$22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633952"/>
        <c:crosses val="autoZero"/>
        <c:crossBetween val="midCat"/>
      </c:valAx>
      <c:valAx>
        <c:axId val="588633952"/>
        <c:scaling>
          <c:orientation val="minMax"/>
          <c:max val="5"/>
          <c:min val="0"/>
        </c:scaling>
        <c:delete val="0"/>
        <c:axPos val="l"/>
        <c:majorGridlines/>
        <c:title>
          <c:tx>
            <c:strRef>
              <c:f>[6]Data!$R$23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6290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[7]Data!$R$21</c:f>
          <c:strCache>
            <c:ptCount val="1"/>
            <c:pt idx="0">
              <c:v>DTXSID5044576 -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4145475668000518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[7]Data!$V$24:$V$28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[7]Data!$W$24:$W$28</c:f>
              <c:numCache>
                <c:formatCode>General</c:formatCode>
                <c:ptCount val="5"/>
                <c:pt idx="0">
                  <c:v>1.580386713760503</c:v>
                </c:pt>
                <c:pt idx="1">
                  <c:v>1.672763529429184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B-42AE-AB15-7BDE47C80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04168"/>
        <c:axId val="580303512"/>
      </c:scatterChart>
      <c:valAx>
        <c:axId val="580304168"/>
        <c:scaling>
          <c:orientation val="minMax"/>
          <c:max val="16"/>
          <c:min val="0"/>
        </c:scaling>
        <c:delete val="0"/>
        <c:axPos val="b"/>
        <c:majorGridlines/>
        <c:minorGridlines/>
        <c:title>
          <c:tx>
            <c:strRef>
              <c:f>[7]Data!$R$22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03512"/>
        <c:crosses val="autoZero"/>
        <c:crossBetween val="midCat"/>
      </c:valAx>
      <c:valAx>
        <c:axId val="5803035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[7]Data!$R$23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041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[7]Data!$R$21</c:f>
          <c:strCache>
            <c:ptCount val="1"/>
            <c:pt idx="0">
              <c:v>DTXSID5044576 -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4145475668000518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[7]Data!$V$24:$V$28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[7]Data!$W$24:$W$28</c:f>
              <c:numCache>
                <c:formatCode>General</c:formatCode>
                <c:ptCount val="5"/>
                <c:pt idx="0">
                  <c:v>1.580386713760503</c:v>
                </c:pt>
                <c:pt idx="1">
                  <c:v>1.672763529429184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0-4D0B-AA33-21687353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04168"/>
        <c:axId val="580303512"/>
      </c:scatterChart>
      <c:valAx>
        <c:axId val="580304168"/>
        <c:scaling>
          <c:orientation val="minMax"/>
          <c:max val="16"/>
          <c:min val="0"/>
        </c:scaling>
        <c:delete val="0"/>
        <c:axPos val="b"/>
        <c:majorGridlines/>
        <c:minorGridlines/>
        <c:title>
          <c:tx>
            <c:strRef>
              <c:f>[7]Data!$R$22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03512"/>
        <c:crosses val="autoZero"/>
        <c:crossBetween val="midCat"/>
      </c:valAx>
      <c:valAx>
        <c:axId val="5803035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[7]Data!$R$23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041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[7]Data!$R$21</c:f>
          <c:strCache>
            <c:ptCount val="1"/>
            <c:pt idx="0">
              <c:v>DTXSID5044576 -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0054276002384948E-2"/>
                  <c:y val="-0.3564581472170859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[7]Data!$V$24:$V$28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[7]Data!$W$24:$W$28</c:f>
              <c:numCache>
                <c:formatCode>General</c:formatCode>
                <c:ptCount val="5"/>
                <c:pt idx="0">
                  <c:v>1.580386713760503</c:v>
                </c:pt>
                <c:pt idx="1">
                  <c:v>1.672763529429184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E-4DD0-9102-BCED925B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04168"/>
        <c:axId val="580303512"/>
      </c:scatterChart>
      <c:valAx>
        <c:axId val="580304168"/>
        <c:scaling>
          <c:orientation val="minMax"/>
          <c:max val="16"/>
          <c:min val="0"/>
        </c:scaling>
        <c:delete val="0"/>
        <c:axPos val="b"/>
        <c:majorGridlines/>
        <c:minorGridlines/>
        <c:title>
          <c:tx>
            <c:strRef>
              <c:f>[7]Data!$R$22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03512"/>
        <c:crosses val="autoZero"/>
        <c:crossBetween val="midCat"/>
      </c:valAx>
      <c:valAx>
        <c:axId val="5803035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[7]Data!$R$23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041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[7]Data!$R$21</c:f>
          <c:strCache>
            <c:ptCount val="1"/>
            <c:pt idx="0">
              <c:v>DTXSID5044576 -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0054276002384948E-2"/>
                  <c:y val="-0.3564581472170859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[7]Data!$V$24:$V$28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[7]Data!$W$24:$W$28</c:f>
              <c:numCache>
                <c:formatCode>General</c:formatCode>
                <c:ptCount val="5"/>
                <c:pt idx="0">
                  <c:v>1.580386713760503</c:v>
                </c:pt>
                <c:pt idx="1">
                  <c:v>1.672763529429184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CD4-9FF7-EBB4AB32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04168"/>
        <c:axId val="580303512"/>
      </c:scatterChart>
      <c:valAx>
        <c:axId val="580304168"/>
        <c:scaling>
          <c:orientation val="minMax"/>
          <c:max val="16"/>
          <c:min val="0"/>
        </c:scaling>
        <c:delete val="0"/>
        <c:axPos val="b"/>
        <c:majorGridlines/>
        <c:minorGridlines/>
        <c:title>
          <c:tx>
            <c:strRef>
              <c:f>[7]Data!$R$22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03512"/>
        <c:crosses val="autoZero"/>
        <c:crossBetween val="midCat"/>
      </c:valAx>
      <c:valAx>
        <c:axId val="5803035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[7]Data!$R$23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041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1uM 5500'!$R$21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2390713455899978"/>
                  <c:y val="-0.4575923655980997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'Data 1uM 5500'!$V$24:$V$35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'Data 1uM 5500'!$W$24:$W$35</c:f>
              <c:numCache>
                <c:formatCode>General</c:formatCode>
                <c:ptCount val="12"/>
                <c:pt idx="0">
                  <c:v>1.3778513828390873</c:v>
                </c:pt>
                <c:pt idx="1">
                  <c:v>1.2002681271381372</c:v>
                </c:pt>
                <c:pt idx="2">
                  <c:v>0.43039535177736304</c:v>
                </c:pt>
                <c:pt idx="3">
                  <c:v>2.7256873020707575</c:v>
                </c:pt>
                <c:pt idx="4">
                  <c:v>3.0706946512778899</c:v>
                </c:pt>
                <c:pt idx="5">
                  <c:v>2.9255778833047525</c:v>
                </c:pt>
                <c:pt idx="6">
                  <c:v>3.7395892996683053</c:v>
                </c:pt>
                <c:pt idx="7">
                  <c:v>3.7267351073981216</c:v>
                </c:pt>
                <c:pt idx="8">
                  <c:v>3.4477978120880586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FA-4CFE-AD07-63835109A5F5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1.57</c:v>
              </c:pt>
              <c:pt idx="1">
                <c:v>1.323</c:v>
              </c:pt>
              <c:pt idx="2">
                <c:v>-1.038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2FA-4CFE-AD07-63835109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84832"/>
        <c:axId val="579585160"/>
      </c:scatterChart>
      <c:valAx>
        <c:axId val="5795848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'Data 1uM 5500'!$R$22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9585160"/>
        <c:crosses val="autoZero"/>
        <c:crossBetween val="midCat"/>
      </c:valAx>
      <c:valAx>
        <c:axId val="5795851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'Data 1uM 5500'!$R$23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958483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7135050741608115"/>
          <c:y val="0.4538258575197889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[1]Data!$R$21</c:f>
          <c:strCache>
            <c:ptCount val="1"/>
            <c:pt idx="0">
              <c:v>DTXSID6048175 -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2836759988334791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[1]Data!$V$24:$V$38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[1]Data!$W$24:$W$38</c:f>
              <c:numCache>
                <c:formatCode>General</c:formatCode>
                <c:ptCount val="15"/>
                <c:pt idx="0">
                  <c:v>3.2078148819809678</c:v>
                </c:pt>
                <c:pt idx="1">
                  <c:v>3.2498417295126742</c:v>
                </c:pt>
                <c:pt idx="2">
                  <c:v>3.3257145179778571</c:v>
                </c:pt>
                <c:pt idx="3">
                  <c:v>3.970815609556273</c:v>
                </c:pt>
                <c:pt idx="4">
                  <c:v>3.7638273311939447</c:v>
                </c:pt>
                <c:pt idx="5">
                  <c:v>3.8173668003601069</c:v>
                </c:pt>
                <c:pt idx="6">
                  <c:v>4.4150256719423346</c:v>
                </c:pt>
                <c:pt idx="7">
                  <c:v>4.1534821634130017</c:v>
                </c:pt>
                <c:pt idx="8">
                  <c:v>4.2497223352926694</c:v>
                </c:pt>
                <c:pt idx="9">
                  <c:v>4.4896795038740729</c:v>
                </c:pt>
                <c:pt idx="10">
                  <c:v>4.3512620156396231</c:v>
                </c:pt>
                <c:pt idx="11">
                  <c:v>4.2920104500581377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5-431E-92EE-B6590273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24032"/>
        <c:axId val="429816488"/>
      </c:scatterChart>
      <c:valAx>
        <c:axId val="4298240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[1]Data!$R$22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816488"/>
        <c:crosses val="autoZero"/>
        <c:crossBetween val="midCat"/>
      </c:valAx>
      <c:valAx>
        <c:axId val="42981648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[1]Data!$R$23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8240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[1]Data!$R$78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2390713455899978"/>
                  <c:y val="-0.4575923655980997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Ref>
              <c:f>[1]Data!$V$81:$V$92</c:f>
              <c:strCach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strCache>
            </c:strRef>
          </c:xVal>
          <c:yVal>
            <c:numRef>
              <c:f>[1]Data!$W$81:$W$92</c:f>
              <c:numCache>
                <c:formatCode>General</c:formatCode>
                <c:ptCount val="12"/>
                <c:pt idx="0">
                  <c:v>2.131362096840248</c:v>
                </c:pt>
                <c:pt idx="1">
                  <c:v>2.7317292017711812</c:v>
                </c:pt>
                <c:pt idx="2">
                  <c:v>2.670429177615433</c:v>
                </c:pt>
                <c:pt idx="3">
                  <c:v>3.6217999903440909</c:v>
                </c:pt>
                <c:pt idx="4">
                  <c:v>3.6088845047017353</c:v>
                </c:pt>
                <c:pt idx="5">
                  <c:v>3.3283461912576899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9E8-8961-AEC26B961F8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1.57</c:v>
              </c:pt>
              <c:pt idx="1">
                <c:v>1.323</c:v>
              </c:pt>
              <c:pt idx="2">
                <c:v>-1.038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5F9-49E8-8961-AEC26B96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84832"/>
        <c:axId val="579585160"/>
      </c:scatterChart>
      <c:valAx>
        <c:axId val="5795848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[1]Data!$R$79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9585160"/>
        <c:crosses val="autoZero"/>
        <c:crossBetween val="midCat"/>
      </c:valAx>
      <c:valAx>
        <c:axId val="5795851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[1]Data!$R$80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958483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7135050741608115"/>
          <c:y val="0.4538258575197889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[1]Data!$R$21</c:f>
          <c:strCache>
            <c:ptCount val="1"/>
            <c:pt idx="0">
              <c:v>DTXSID6048175 -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2836759988334791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[1]Data!$V$24:$V$38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[1]Data!$W$24:$W$38</c:f>
              <c:numCache>
                <c:formatCode>General</c:formatCode>
                <c:ptCount val="15"/>
                <c:pt idx="0">
                  <c:v>3.2078148819809678</c:v>
                </c:pt>
                <c:pt idx="1">
                  <c:v>3.2498417295126742</c:v>
                </c:pt>
                <c:pt idx="2">
                  <c:v>3.3257145179778571</c:v>
                </c:pt>
                <c:pt idx="3">
                  <c:v>3.970815609556273</c:v>
                </c:pt>
                <c:pt idx="4">
                  <c:v>3.7638273311939447</c:v>
                </c:pt>
                <c:pt idx="5">
                  <c:v>3.8173668003601069</c:v>
                </c:pt>
                <c:pt idx="6">
                  <c:v>4.4150256719423346</c:v>
                </c:pt>
                <c:pt idx="7">
                  <c:v>4.1534821634130017</c:v>
                </c:pt>
                <c:pt idx="8">
                  <c:v>4.2497223352926694</c:v>
                </c:pt>
                <c:pt idx="9">
                  <c:v>4.4896795038740729</c:v>
                </c:pt>
                <c:pt idx="10">
                  <c:v>4.3512620156396231</c:v>
                </c:pt>
                <c:pt idx="11">
                  <c:v>4.2920104500581377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0-48A6-95A0-39CCB77A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24032"/>
        <c:axId val="429816488"/>
      </c:scatterChart>
      <c:valAx>
        <c:axId val="4298240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[1]Data!$R$22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816488"/>
        <c:crosses val="autoZero"/>
        <c:crossBetween val="midCat"/>
      </c:valAx>
      <c:valAx>
        <c:axId val="42981648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[1]Data!$R$23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8240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[1]Data!$R$78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2390713455899978"/>
                  <c:y val="-0.4575923655980997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Ref>
              <c:f>[1]Data!$V$81:$V$92</c:f>
              <c:strCach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strCache>
            </c:strRef>
          </c:xVal>
          <c:yVal>
            <c:numRef>
              <c:f>[1]Data!$W$81:$W$92</c:f>
              <c:numCache>
                <c:formatCode>General</c:formatCode>
                <c:ptCount val="12"/>
                <c:pt idx="0">
                  <c:v>2.131362096840248</c:v>
                </c:pt>
                <c:pt idx="1">
                  <c:v>2.7317292017711812</c:v>
                </c:pt>
                <c:pt idx="2">
                  <c:v>2.670429177615433</c:v>
                </c:pt>
                <c:pt idx="3">
                  <c:v>3.6217999903440909</c:v>
                </c:pt>
                <c:pt idx="4">
                  <c:v>3.6088845047017353</c:v>
                </c:pt>
                <c:pt idx="5">
                  <c:v>3.3283461912576899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9-4066-81E3-C9911F4999EE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1.57</c:v>
              </c:pt>
              <c:pt idx="1">
                <c:v>1.323</c:v>
              </c:pt>
              <c:pt idx="2">
                <c:v>-1.038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6B9-4066-81E3-C9911F49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84832"/>
        <c:axId val="579585160"/>
      </c:scatterChart>
      <c:valAx>
        <c:axId val="5795848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[1]Data!$R$79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9585160"/>
        <c:crosses val="autoZero"/>
        <c:crossBetween val="midCat"/>
      </c:valAx>
      <c:valAx>
        <c:axId val="5795851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[1]Data!$R$80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958483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7135050741608115"/>
          <c:y val="0.4538258575197889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[1]Data!$R$21</c:f>
          <c:strCache>
            <c:ptCount val="1"/>
            <c:pt idx="0">
              <c:v>DTXSID6048175 -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2836759988334791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[1]Data!$V$24:$V$38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[1]Data!$W$24:$W$38</c:f>
              <c:numCache>
                <c:formatCode>General</c:formatCode>
                <c:ptCount val="15"/>
                <c:pt idx="0">
                  <c:v>3.2078148819809678</c:v>
                </c:pt>
                <c:pt idx="1">
                  <c:v>3.2498417295126742</c:v>
                </c:pt>
                <c:pt idx="2">
                  <c:v>3.3257145179778571</c:v>
                </c:pt>
                <c:pt idx="3">
                  <c:v>3.970815609556273</c:v>
                </c:pt>
                <c:pt idx="4">
                  <c:v>3.7638273311939447</c:v>
                </c:pt>
                <c:pt idx="5">
                  <c:v>3.8173668003601069</c:v>
                </c:pt>
                <c:pt idx="6">
                  <c:v>4.4150256719423346</c:v>
                </c:pt>
                <c:pt idx="7">
                  <c:v>4.1534821634130017</c:v>
                </c:pt>
                <c:pt idx="8">
                  <c:v>4.2497223352926694</c:v>
                </c:pt>
                <c:pt idx="9">
                  <c:v>4.4896795038740729</c:v>
                </c:pt>
                <c:pt idx="10">
                  <c:v>4.3512620156396231</c:v>
                </c:pt>
                <c:pt idx="11">
                  <c:v>4.2920104500581377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2-46DF-B550-B941E6E3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24032"/>
        <c:axId val="429816488"/>
      </c:scatterChart>
      <c:valAx>
        <c:axId val="4298240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[1]Data!$R$22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816488"/>
        <c:crosses val="autoZero"/>
        <c:crossBetween val="midCat"/>
      </c:valAx>
      <c:valAx>
        <c:axId val="42981648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[1]Data!$R$23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8240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[1]Data!$R$78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2390713455899978"/>
                  <c:y val="-0.4575923655980997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Ref>
              <c:f>[1]Data!$V$81:$V$92</c:f>
              <c:strCach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strCache>
            </c:strRef>
          </c:xVal>
          <c:yVal>
            <c:numRef>
              <c:f>[1]Data!$W$81:$W$92</c:f>
              <c:numCache>
                <c:formatCode>General</c:formatCode>
                <c:ptCount val="12"/>
                <c:pt idx="0">
                  <c:v>2.131362096840248</c:v>
                </c:pt>
                <c:pt idx="1">
                  <c:v>2.7317292017711812</c:v>
                </c:pt>
                <c:pt idx="2">
                  <c:v>2.670429177615433</c:v>
                </c:pt>
                <c:pt idx="3">
                  <c:v>3.6217999903440909</c:v>
                </c:pt>
                <c:pt idx="4">
                  <c:v>3.6088845047017353</c:v>
                </c:pt>
                <c:pt idx="5">
                  <c:v>3.3283461912576899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2-40B7-BD53-D17AAF453BFD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1.57</c:v>
              </c:pt>
              <c:pt idx="1">
                <c:v>1.323</c:v>
              </c:pt>
              <c:pt idx="2">
                <c:v>-1.038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482-40B7-BD53-D17AAF45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84832"/>
        <c:axId val="579585160"/>
      </c:scatterChart>
      <c:valAx>
        <c:axId val="5795848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[1]Data!$R$79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9585160"/>
        <c:crosses val="autoZero"/>
        <c:crossBetween val="midCat"/>
      </c:valAx>
      <c:valAx>
        <c:axId val="5795851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[1]Data!$R$80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958483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7135050741608115"/>
          <c:y val="0.4538258575197889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"DTXSID6048175 - Human"</c:f>
          <c:strCache>
            <c:ptCount val="1"/>
            <c:pt idx="0">
              <c:v>DTXSID6048175 -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3468871391076115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4.0357354452771714</c:v>
              </c:pt>
              <c:pt idx="1">
                <c:v>3.5126610039889021</c:v>
              </c:pt>
              <c:pt idx="2">
                <c:v>3.7983001027231089</c:v>
              </c:pt>
              <c:pt idx="3">
                <c:v>4.0823128446794348</c:v>
              </c:pt>
              <c:pt idx="4">
                <c:v>3.7434555675856496</c:v>
              </c:pt>
              <c:pt idx="5">
                <c:v>3.9529125829994043</c:v>
              </c:pt>
              <c:pt idx="6">
                <c:v>4.6336759900394231</c:v>
              </c:pt>
              <c:pt idx="7">
                <c:v>4.2223696698638884</c:v>
              </c:pt>
              <c:pt idx="8">
                <c:v>4.5582989561241938</c:v>
              </c:pt>
              <c:pt idx="9">
                <c:v>4.5613335111499369</c:v>
              </c:pt>
              <c:pt idx="10">
                <c:v>4.1787863592251897</c:v>
              </c:pt>
              <c:pt idx="11">
                <c:v>4.3709881612807431</c:v>
              </c:pt>
              <c:pt idx="12">
                <c:v>4.6051701859880918</c:v>
              </c:pt>
              <c:pt idx="13">
                <c:v>4.6051701859880918</c:v>
              </c:pt>
              <c:pt idx="14">
                <c:v>4.6051701859880918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E30-45BB-ADA8-45FA759D3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58000"/>
        <c:axId val="578758656"/>
      </c:scatterChart>
      <c:valAx>
        <c:axId val="57875800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"Time (Mins)"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758656"/>
        <c:crosses val="autoZero"/>
        <c:crossBetween val="midCat"/>
      </c:valAx>
      <c:valAx>
        <c:axId val="5787586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"ln Percent Remaining"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75800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uM/EPA%20HEPS%2007102020%205500%201uM%20Act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uM/EPA%20HEPS%2007102020%205500%201uM%20Contro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uM/EPA%20HEPS%2007102020%205500%201uM%20Control%20Midazola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uM/EPA%20HEPS%2007102020%205500%2010uM%20Control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uM/EPA%20HEPS%2007102020%20Xevo%201uM%20Active%20blanks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uM/EPA%20HEPS%2007102020%20Xevo%201uM%20Activ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0uM/EPA%20HEPS%2007102020%20Xevo%2010uM%20Active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0uM/EPA%20HEPS%2007102020%20Xevo%2010uM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21">
          <cell r="R21" t="str">
            <v>DTXSID6048175 -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120</v>
          </cell>
          <cell r="W24">
            <v>3.2078148819809678</v>
          </cell>
        </row>
        <row r="25">
          <cell r="V25">
            <v>120</v>
          </cell>
          <cell r="W25">
            <v>3.2498417295126742</v>
          </cell>
        </row>
        <row r="26">
          <cell r="V26">
            <v>120</v>
          </cell>
          <cell r="W26">
            <v>3.3257145179778571</v>
          </cell>
        </row>
        <row r="27">
          <cell r="V27">
            <v>60</v>
          </cell>
          <cell r="W27">
            <v>3.970815609556273</v>
          </cell>
        </row>
        <row r="28">
          <cell r="V28">
            <v>60</v>
          </cell>
          <cell r="W28">
            <v>3.7638273311939447</v>
          </cell>
        </row>
        <row r="29">
          <cell r="V29">
            <v>60</v>
          </cell>
          <cell r="W29">
            <v>3.8173668003601069</v>
          </cell>
        </row>
        <row r="30">
          <cell r="V30">
            <v>30</v>
          </cell>
          <cell r="W30">
            <v>4.4150256719423346</v>
          </cell>
        </row>
        <row r="31">
          <cell r="V31">
            <v>30</v>
          </cell>
          <cell r="W31">
            <v>4.1534821634130017</v>
          </cell>
        </row>
        <row r="32">
          <cell r="V32">
            <v>30</v>
          </cell>
          <cell r="W32">
            <v>4.2497223352926694</v>
          </cell>
        </row>
        <row r="33">
          <cell r="V33">
            <v>15</v>
          </cell>
          <cell r="W33">
            <v>4.4896795038740729</v>
          </cell>
        </row>
        <row r="34">
          <cell r="V34">
            <v>15</v>
          </cell>
          <cell r="W34">
            <v>4.3512620156396231</v>
          </cell>
        </row>
        <row r="35">
          <cell r="V35">
            <v>15</v>
          </cell>
          <cell r="W35">
            <v>4.2920104500581377</v>
          </cell>
        </row>
        <row r="36">
          <cell r="V36">
            <v>0</v>
          </cell>
          <cell r="W36">
            <v>4.6051701859880918</v>
          </cell>
        </row>
        <row r="37">
          <cell r="V37">
            <v>0</v>
          </cell>
          <cell r="W37">
            <v>4.6051701859880918</v>
          </cell>
        </row>
        <row r="38">
          <cell r="V38">
            <v>0</v>
          </cell>
          <cell r="W38">
            <v>4.6051701859880918</v>
          </cell>
        </row>
        <row r="78">
          <cell r="R78" t="str">
            <v>Midazolam - Human</v>
          </cell>
        </row>
        <row r="79">
          <cell r="R79" t="str">
            <v>Time (Mins)</v>
          </cell>
        </row>
        <row r="80">
          <cell r="R80" t="str">
            <v>ln Percent Remaining</v>
          </cell>
        </row>
        <row r="81">
          <cell r="V81">
            <v>30</v>
          </cell>
          <cell r="W81">
            <v>2.131362096840248</v>
          </cell>
        </row>
        <row r="82">
          <cell r="V82">
            <v>30</v>
          </cell>
          <cell r="W82">
            <v>2.7317292017711812</v>
          </cell>
        </row>
        <row r="83">
          <cell r="V83">
            <v>30</v>
          </cell>
          <cell r="W83">
            <v>2.670429177615433</v>
          </cell>
        </row>
        <row r="84">
          <cell r="V84">
            <v>15</v>
          </cell>
          <cell r="W84">
            <v>3.6217999903440909</v>
          </cell>
        </row>
        <row r="85">
          <cell r="V85">
            <v>15</v>
          </cell>
          <cell r="W85">
            <v>3.6088845047017353</v>
          </cell>
        </row>
        <row r="86">
          <cell r="V86">
            <v>15</v>
          </cell>
          <cell r="W86">
            <v>3.3283461912576899</v>
          </cell>
        </row>
        <row r="87">
          <cell r="V87">
            <v>0</v>
          </cell>
          <cell r="W87">
            <v>4.6051701859880918</v>
          </cell>
        </row>
        <row r="88">
          <cell r="V88">
            <v>0</v>
          </cell>
          <cell r="W88">
            <v>4.6051701859880918</v>
          </cell>
        </row>
        <row r="89">
          <cell r="V89">
            <v>0</v>
          </cell>
          <cell r="W89">
            <v>4.6051701859880918</v>
          </cell>
        </row>
        <row r="90">
          <cell r="V90" t="str">
            <v/>
          </cell>
          <cell r="W90" t="str">
            <v/>
          </cell>
        </row>
        <row r="91">
          <cell r="V91" t="str">
            <v/>
          </cell>
          <cell r="W91" t="str">
            <v/>
          </cell>
        </row>
        <row r="92">
          <cell r="V92" t="str">
            <v/>
          </cell>
          <cell r="W92" t="str">
            <v/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22">
          <cell r="R22" t="str">
            <v>DTXSID6048175 -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4.8787857138849668</v>
          </cell>
        </row>
        <row r="26">
          <cell r="V26">
            <v>120</v>
          </cell>
          <cell r="W26">
            <v>5.4457159225791338</v>
          </cell>
        </row>
        <row r="27">
          <cell r="V27">
            <v>120</v>
          </cell>
          <cell r="W27">
            <v>5.2659810031046002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30">
          <cell r="V30">
            <v>0</v>
          </cell>
          <cell r="W3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2">
          <cell r="R2" t="str">
            <v>Midazolam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6.2633380948160777</v>
          </cell>
        </row>
        <row r="6">
          <cell r="V6">
            <v>0</v>
          </cell>
          <cell r="W6">
            <v>4.6051701859880918</v>
          </cell>
        </row>
        <row r="7">
          <cell r="V7">
            <v>0</v>
          </cell>
          <cell r="W7">
            <v>4.6051701859880918</v>
          </cell>
        </row>
        <row r="8">
          <cell r="V8">
            <v>0</v>
          </cell>
          <cell r="W8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22">
          <cell r="R22" t="str">
            <v>DTXSID6048175 -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4.8669050724700291</v>
          </cell>
        </row>
        <row r="26">
          <cell r="V26">
            <v>120</v>
          </cell>
          <cell r="W26">
            <v>5.1615538858402861</v>
          </cell>
        </row>
        <row r="27">
          <cell r="V27">
            <v>120</v>
          </cell>
          <cell r="W27">
            <v>4.8716029213519896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30">
          <cell r="V30">
            <v>0</v>
          </cell>
          <cell r="W3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21">
          <cell r="R21" t="str">
            <v>DTXSID5044576 -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0</v>
          </cell>
          <cell r="W24">
            <v>4.6051701859880918</v>
          </cell>
        </row>
        <row r="25">
          <cell r="V25">
            <v>0</v>
          </cell>
          <cell r="W25">
            <v>4.6051701859880918</v>
          </cell>
        </row>
        <row r="26">
          <cell r="V26">
            <v>0</v>
          </cell>
          <cell r="W26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uM"/>
      <sheetName val="Log"/>
      <sheetName val="Criteria"/>
    </sheetNames>
    <sheetDataSet>
      <sheetData sheetId="0"/>
      <sheetData sheetId="1">
        <row r="21">
          <cell r="R21" t="str">
            <v>DTXSID5044576 -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0</v>
          </cell>
          <cell r="W24">
            <v>4.6051701859880918</v>
          </cell>
        </row>
        <row r="25">
          <cell r="V25">
            <v>0</v>
          </cell>
          <cell r="W25">
            <v>4.6051701859880918</v>
          </cell>
        </row>
        <row r="26">
          <cell r="V26">
            <v>0</v>
          </cell>
          <cell r="W26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21">
          <cell r="R21" t="str">
            <v>DTXSID5044576 -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24">
          <cell r="V24">
            <v>15</v>
          </cell>
          <cell r="W24">
            <v>1.580386713760503</v>
          </cell>
        </row>
        <row r="25">
          <cell r="V25">
            <v>15</v>
          </cell>
          <cell r="W25">
            <v>1.672763529429184</v>
          </cell>
        </row>
        <row r="26">
          <cell r="V26">
            <v>0</v>
          </cell>
          <cell r="W26">
            <v>4.6051701859880918</v>
          </cell>
        </row>
        <row r="27">
          <cell r="V27">
            <v>0</v>
          </cell>
          <cell r="W27">
            <v>4.6051701859880918</v>
          </cell>
        </row>
        <row r="28">
          <cell r="V28">
            <v>0</v>
          </cell>
          <cell r="W28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/>
      <sheetData sheetId="1">
        <row r="22">
          <cell r="R22" t="str">
            <v>DTXSID5044576 -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11.524518121536643</v>
          </cell>
        </row>
        <row r="26">
          <cell r="V26">
            <v>120</v>
          </cell>
          <cell r="W26">
            <v>10.713601728115794</v>
          </cell>
        </row>
        <row r="27">
          <cell r="V27">
            <v>120</v>
          </cell>
          <cell r="W27">
            <v>9.8468157784443431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30">
          <cell r="V30">
            <v>0</v>
          </cell>
          <cell r="W30">
            <v>4.6051701859880918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showGridLines="0" tabSelected="1" workbookViewId="0">
      <selection activeCell="E22" sqref="E22"/>
    </sheetView>
  </sheetViews>
  <sheetFormatPr defaultRowHeight="15" x14ac:dyDescent="0.25"/>
  <cols>
    <col min="1" max="1" width="15.85546875" style="4" bestFit="1" customWidth="1"/>
    <col min="2" max="2" width="9.42578125" style="4" bestFit="1" customWidth="1"/>
    <col min="3" max="3" width="22.28515625" style="4" customWidth="1"/>
    <col min="4" max="4" width="17.85546875" style="4" customWidth="1"/>
    <col min="5" max="5" width="24.140625" style="4" customWidth="1"/>
    <col min="6" max="6" width="24" style="17" customWidth="1"/>
    <col min="7" max="7" width="18" customWidth="1"/>
    <col min="8" max="8" width="15.85546875" customWidth="1"/>
    <col min="11" max="11" width="15.85546875" bestFit="1" customWidth="1"/>
  </cols>
  <sheetData>
    <row r="1" spans="1:8" ht="15.75" customHeight="1" x14ac:dyDescent="0.25">
      <c r="A1" s="56"/>
      <c r="B1" s="56"/>
      <c r="C1" s="4" t="s">
        <v>70</v>
      </c>
    </row>
    <row r="2" spans="1:8" x14ac:dyDescent="0.25">
      <c r="A2" s="56"/>
      <c r="B2" s="56"/>
      <c r="C2" s="3">
        <v>44022.434918981482</v>
      </c>
    </row>
    <row r="3" spans="1:8" ht="15.75" thickBot="1" x14ac:dyDescent="0.3"/>
    <row r="4" spans="1:8" ht="23.25" customHeight="1" thickTop="1" x14ac:dyDescent="0.25">
      <c r="A4" s="54" t="s">
        <v>43</v>
      </c>
      <c r="B4" s="54" t="s">
        <v>44</v>
      </c>
      <c r="C4" s="52" t="s">
        <v>71</v>
      </c>
      <c r="D4" s="52" t="s">
        <v>45</v>
      </c>
      <c r="E4" s="52" t="s">
        <v>46</v>
      </c>
      <c r="F4" s="52" t="s">
        <v>47</v>
      </c>
      <c r="G4" s="52" t="s">
        <v>72</v>
      </c>
      <c r="H4" s="54" t="s">
        <v>48</v>
      </c>
    </row>
    <row r="5" spans="1:8" ht="23.25" customHeight="1" thickBot="1" x14ac:dyDescent="0.3">
      <c r="A5" s="55"/>
      <c r="B5" s="55"/>
      <c r="C5" s="53"/>
      <c r="D5" s="53"/>
      <c r="E5" s="53"/>
      <c r="F5" s="53"/>
      <c r="G5" s="53"/>
      <c r="H5" s="55"/>
    </row>
    <row r="6" spans="1:8" s="4" customFormat="1" ht="15.75" thickTop="1" x14ac:dyDescent="0.25">
      <c r="A6" s="33" t="s">
        <v>9</v>
      </c>
      <c r="B6" s="33" t="s">
        <v>66</v>
      </c>
      <c r="C6" s="47">
        <v>1</v>
      </c>
      <c r="D6" s="34">
        <v>22.290889328018533</v>
      </c>
      <c r="E6" s="34">
        <v>62.191074600930698</v>
      </c>
      <c r="F6" s="34">
        <v>26.110042375317605</v>
      </c>
      <c r="G6" s="47" t="s">
        <v>144</v>
      </c>
      <c r="H6" s="33" t="s">
        <v>65</v>
      </c>
    </row>
    <row r="7" spans="1:8" s="4" customFormat="1" x14ac:dyDescent="0.25">
      <c r="A7" s="35" t="s">
        <v>77</v>
      </c>
      <c r="B7" s="35" t="s">
        <v>66</v>
      </c>
      <c r="C7" s="48">
        <v>1</v>
      </c>
      <c r="D7" s="36" t="s">
        <v>146</v>
      </c>
      <c r="E7" s="36" t="s">
        <v>129</v>
      </c>
      <c r="F7" s="36">
        <v>0</v>
      </c>
      <c r="G7" s="48" t="s">
        <v>144</v>
      </c>
      <c r="H7" s="35"/>
    </row>
    <row r="8" spans="1:8" s="4" customFormat="1" x14ac:dyDescent="0.25">
      <c r="A8" s="37" t="s">
        <v>9</v>
      </c>
      <c r="B8" s="37" t="s">
        <v>66</v>
      </c>
      <c r="C8" s="37">
        <v>10</v>
      </c>
      <c r="D8" s="38">
        <v>13.9676984422463</v>
      </c>
      <c r="E8" s="38">
        <v>99.250020814234105</v>
      </c>
      <c r="F8" s="38">
        <v>44.915724554396057</v>
      </c>
      <c r="G8" s="39" t="s">
        <v>144</v>
      </c>
      <c r="H8" s="37"/>
    </row>
    <row r="9" spans="1:8" s="4" customFormat="1" ht="15.75" thickBot="1" x14ac:dyDescent="0.3">
      <c r="A9" s="37" t="s">
        <v>77</v>
      </c>
      <c r="B9" s="37" t="s">
        <v>66</v>
      </c>
      <c r="C9" s="37">
        <v>10</v>
      </c>
      <c r="D9" s="39">
        <v>397</v>
      </c>
      <c r="E9" s="38">
        <v>3.49</v>
      </c>
      <c r="F9" s="38">
        <v>0</v>
      </c>
      <c r="G9" s="40" t="s">
        <v>144</v>
      </c>
      <c r="H9" s="37"/>
    </row>
    <row r="10" spans="1:8" s="4" customFormat="1" ht="16.5" thickTop="1" thickBot="1" x14ac:dyDescent="0.3">
      <c r="A10" s="49" t="s">
        <v>26</v>
      </c>
      <c r="B10" s="49" t="s">
        <v>66</v>
      </c>
      <c r="C10" s="49">
        <v>1</v>
      </c>
      <c r="D10" s="50">
        <v>118.92361520097612</v>
      </c>
      <c r="E10" s="51">
        <v>11.657014956845273</v>
      </c>
      <c r="F10" s="51">
        <v>0</v>
      </c>
      <c r="G10" s="51" t="s">
        <v>144</v>
      </c>
      <c r="H10" s="49" t="s">
        <v>73</v>
      </c>
    </row>
    <row r="11" spans="1:8" ht="15.75" thickTop="1" x14ac:dyDescent="0.25"/>
    <row r="12" spans="1:8" x14ac:dyDescent="0.25">
      <c r="A12" s="17" t="s">
        <v>145</v>
      </c>
    </row>
  </sheetData>
  <mergeCells count="9">
    <mergeCell ref="F4:F5"/>
    <mergeCell ref="G4:G5"/>
    <mergeCell ref="H4:H5"/>
    <mergeCell ref="A1:B2"/>
    <mergeCell ref="A4:A5"/>
    <mergeCell ref="B4:B5"/>
    <mergeCell ref="C4:C5"/>
    <mergeCell ref="D4:D5"/>
    <mergeCell ref="E4:E5"/>
  </mergeCells>
  <pageMargins left="0.7" right="0.7" top="0.75" bottom="0.75" header="0.3" footer="0.3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38"/>
  <sheetViews>
    <sheetView workbookViewId="0">
      <pane ySplit="1" topLeftCell="A2" activePane="bottomLeft" state="frozenSplit"/>
      <selection pane="bottomLeft" activeCell="A21" sqref="A21:XFD39"/>
    </sheetView>
  </sheetViews>
  <sheetFormatPr defaultRowHeight="15" x14ac:dyDescent="0.25"/>
  <cols>
    <col min="1" max="1" width="64.7109375" style="1" bestFit="1" customWidth="1"/>
    <col min="2" max="2" width="15.85546875" style="1" bestFit="1" customWidth="1"/>
    <col min="3" max="3" width="11.85546875" style="1" bestFit="1" customWidth="1"/>
    <col min="4" max="4" width="7" style="1" bestFit="1" customWidth="1"/>
    <col min="5" max="5" width="10.5703125" style="1" bestFit="1" customWidth="1"/>
    <col min="6" max="6" width="8.7109375" style="1" customWidth="1"/>
    <col min="7" max="7" width="12.42578125" style="1" bestFit="1" customWidth="1"/>
    <col min="8" max="8" width="11.5703125" style="1" bestFit="1" customWidth="1"/>
    <col min="9" max="9" width="14.7109375" style="1" bestFit="1" customWidth="1"/>
    <col min="10" max="10" width="8.7109375" style="8" customWidth="1"/>
    <col min="11" max="11" width="8.7109375" style="1" hidden="1" customWidth="1"/>
    <col min="12" max="17" width="8.7109375" style="1" customWidth="1"/>
    <col min="18" max="18" width="22.5703125" style="1" bestFit="1" customWidth="1"/>
    <col min="19" max="19" width="8.7109375" style="1" customWidth="1"/>
    <col min="20" max="25" width="8.7109375" style="1" hidden="1" customWidth="1"/>
    <col min="26" max="26" width="20.5703125" style="8" bestFit="1" customWidth="1"/>
    <col min="27" max="29" width="21" style="8" bestFit="1" customWidth="1"/>
    <col min="30" max="30" width="8.28515625" style="1" bestFit="1" customWidth="1"/>
    <col min="31" max="44" width="8.7109375" style="1" customWidth="1"/>
    <col min="45" max="16384" width="9.140625" style="1"/>
  </cols>
  <sheetData>
    <row r="1" spans="1:30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49</v>
      </c>
      <c r="H1" s="5" t="s">
        <v>50</v>
      </c>
      <c r="I1" s="5" t="s">
        <v>51</v>
      </c>
      <c r="J1" s="7"/>
      <c r="K1" s="5"/>
      <c r="R1" s="6" t="s">
        <v>53</v>
      </c>
      <c r="Z1" s="18" t="s">
        <v>52</v>
      </c>
    </row>
    <row r="2" spans="1:30" ht="16.5" thickTop="1" thickBot="1" x14ac:dyDescent="0.3">
      <c r="A2" s="28" t="s">
        <v>6</v>
      </c>
      <c r="B2" s="28" t="s">
        <v>9</v>
      </c>
      <c r="C2" s="28" t="s">
        <v>10</v>
      </c>
      <c r="D2" s="28">
        <v>619.1</v>
      </c>
      <c r="E2" s="28">
        <v>1321000</v>
      </c>
      <c r="F2" s="28">
        <v>4.685E-4</v>
      </c>
      <c r="G2" s="28"/>
      <c r="H2" s="28"/>
      <c r="I2" s="28"/>
      <c r="J2" s="30"/>
      <c r="K2" s="28"/>
      <c r="L2" s="28"/>
      <c r="M2" s="28"/>
      <c r="N2" s="28"/>
      <c r="O2" s="28"/>
      <c r="P2" s="28"/>
      <c r="Q2" s="28"/>
      <c r="R2" s="28" t="s">
        <v>67</v>
      </c>
      <c r="S2" s="28"/>
      <c r="T2" s="28">
        <v>2</v>
      </c>
      <c r="U2" s="28"/>
      <c r="V2" s="28"/>
      <c r="W2" s="28"/>
      <c r="X2" s="28"/>
      <c r="Y2" s="28"/>
      <c r="Z2" s="9" t="s">
        <v>54</v>
      </c>
      <c r="AA2" s="9" t="s">
        <v>56</v>
      </c>
      <c r="AB2" s="9" t="s">
        <v>57</v>
      </c>
      <c r="AC2" s="9" t="s">
        <v>58</v>
      </c>
      <c r="AD2" s="9" t="s">
        <v>59</v>
      </c>
    </row>
    <row r="3" spans="1:30" ht="15.75" thickTop="1" x14ac:dyDescent="0.25">
      <c r="A3" s="27" t="s">
        <v>7</v>
      </c>
      <c r="B3" s="27" t="s">
        <v>9</v>
      </c>
      <c r="C3" s="27" t="s">
        <v>10</v>
      </c>
      <c r="D3" s="27">
        <v>715.5</v>
      </c>
      <c r="E3" s="27">
        <v>1342000</v>
      </c>
      <c r="F3" s="27">
        <v>5.3300000000000005E-4</v>
      </c>
      <c r="G3" s="27"/>
      <c r="H3" s="27"/>
      <c r="I3" s="27"/>
      <c r="J3" s="29"/>
      <c r="K3" s="27"/>
      <c r="L3" s="27"/>
      <c r="M3" s="27"/>
      <c r="N3" s="27"/>
      <c r="O3" s="27"/>
      <c r="P3" s="27"/>
      <c r="Q3" s="27"/>
      <c r="R3" s="27" t="s">
        <v>54</v>
      </c>
      <c r="S3" s="27"/>
      <c r="T3" s="27">
        <v>24</v>
      </c>
      <c r="U3" s="27"/>
      <c r="V3" s="27"/>
      <c r="W3" s="27"/>
      <c r="X3" s="27"/>
      <c r="Y3" s="27"/>
      <c r="Z3" s="10">
        <v>120</v>
      </c>
      <c r="AA3" s="11">
        <v>0.24725000110574949</v>
      </c>
      <c r="AB3" s="11">
        <v>0.25786258390527195</v>
      </c>
      <c r="AC3" s="11">
        <v>0.27818868624850662</v>
      </c>
      <c r="AD3" s="11">
        <v>0.26110042375317599</v>
      </c>
    </row>
    <row r="4" spans="1:30" x14ac:dyDescent="0.25">
      <c r="A4" s="28" t="s">
        <v>8</v>
      </c>
      <c r="B4" s="28" t="s">
        <v>9</v>
      </c>
      <c r="C4" s="28" t="s">
        <v>10</v>
      </c>
      <c r="D4" s="28">
        <v>548.5</v>
      </c>
      <c r="E4" s="28">
        <v>973500</v>
      </c>
      <c r="F4" s="28">
        <v>5.6340000000000003E-4</v>
      </c>
      <c r="G4" s="28"/>
      <c r="H4" s="28"/>
      <c r="I4" s="28"/>
      <c r="J4" s="30"/>
      <c r="K4" s="28"/>
      <c r="L4" s="28"/>
      <c r="M4" s="28"/>
      <c r="N4" s="28"/>
      <c r="O4" s="28"/>
      <c r="P4" s="28"/>
      <c r="Q4" s="28"/>
      <c r="R4" s="28" t="s">
        <v>55</v>
      </c>
      <c r="S4" s="28"/>
      <c r="T4" s="28">
        <v>38</v>
      </c>
      <c r="U4" s="28"/>
      <c r="V4" s="28"/>
      <c r="W4" s="28"/>
      <c r="X4" s="28"/>
      <c r="Y4" s="28"/>
      <c r="Z4" s="10">
        <v>60</v>
      </c>
      <c r="AA4" s="11">
        <v>0.53027763157312768</v>
      </c>
      <c r="AB4" s="11">
        <v>0.43113118795177852</v>
      </c>
      <c r="AC4" s="11">
        <v>0.45484281301108481</v>
      </c>
      <c r="AD4" s="11">
        <v>0.47208387751199704</v>
      </c>
    </row>
    <row r="5" spans="1:30" x14ac:dyDescent="0.25">
      <c r="A5" s="27" t="s">
        <v>11</v>
      </c>
      <c r="B5" s="27" t="s">
        <v>9</v>
      </c>
      <c r="C5" s="27" t="s">
        <v>10</v>
      </c>
      <c r="D5" s="27">
        <v>3780</v>
      </c>
      <c r="E5" s="27">
        <v>1585000</v>
      </c>
      <c r="F5" s="27">
        <v>2.385E-3</v>
      </c>
      <c r="G5" s="27">
        <v>24.72500011057495</v>
      </c>
      <c r="H5" s="27">
        <v>120</v>
      </c>
      <c r="I5" s="32">
        <v>3.2078148819809678</v>
      </c>
      <c r="J5" s="29"/>
      <c r="K5" s="27"/>
      <c r="L5" s="27"/>
      <c r="M5" s="27"/>
      <c r="N5" s="27"/>
      <c r="O5" s="27"/>
      <c r="P5" s="27"/>
      <c r="Q5" s="27"/>
      <c r="R5" s="27"/>
      <c r="S5" s="27"/>
      <c r="T5" s="27"/>
      <c r="U5" s="27">
        <v>1</v>
      </c>
      <c r="V5" s="27">
        <v>120</v>
      </c>
      <c r="W5" s="27">
        <v>3.2078148819809678</v>
      </c>
      <c r="X5" s="27"/>
      <c r="Y5" s="27"/>
      <c r="Z5" s="10">
        <v>30</v>
      </c>
      <c r="AA5" s="11">
        <v>0.82683963536805993</v>
      </c>
      <c r="AB5" s="11">
        <v>0.63655272883165748</v>
      </c>
      <c r="AC5" s="11">
        <v>0.70085949250118906</v>
      </c>
      <c r="AD5" s="11">
        <v>0.72141728556696882</v>
      </c>
    </row>
    <row r="6" spans="1:30" x14ac:dyDescent="0.25">
      <c r="A6" s="28" t="s">
        <v>12</v>
      </c>
      <c r="B6" s="28" t="s">
        <v>9</v>
      </c>
      <c r="C6" s="28" t="s">
        <v>10</v>
      </c>
      <c r="D6" s="28">
        <v>4395</v>
      </c>
      <c r="E6" s="28">
        <v>1635000</v>
      </c>
      <c r="F6" s="28">
        <v>2.6870000000000002E-3</v>
      </c>
      <c r="G6" s="28">
        <v>25.786258390527195</v>
      </c>
      <c r="H6" s="28">
        <v>120</v>
      </c>
      <c r="I6" s="31">
        <v>3.2498417295126742</v>
      </c>
      <c r="J6" s="30"/>
      <c r="K6" s="28"/>
      <c r="L6" s="28"/>
      <c r="M6" s="28"/>
      <c r="N6" s="28"/>
      <c r="O6" s="28"/>
      <c r="P6" s="28"/>
      <c r="Q6" s="28"/>
      <c r="R6" s="28"/>
      <c r="S6" s="28"/>
      <c r="T6" s="28"/>
      <c r="U6" s="28">
        <v>2</v>
      </c>
      <c r="V6" s="28">
        <v>120</v>
      </c>
      <c r="W6" s="28">
        <v>3.2498417295126742</v>
      </c>
      <c r="X6" s="28"/>
      <c r="Y6" s="28"/>
      <c r="Z6" s="10">
        <v>15</v>
      </c>
      <c r="AA6" s="11">
        <v>0.89092887377206542</v>
      </c>
      <c r="AB6" s="11">
        <v>0.77576303682503644</v>
      </c>
      <c r="AC6" s="11">
        <v>0.73113311501270106</v>
      </c>
      <c r="AD6" s="11">
        <v>0.79927500853660094</v>
      </c>
    </row>
    <row r="7" spans="1:30" ht="15.75" thickBot="1" x14ac:dyDescent="0.3">
      <c r="A7" s="27" t="s">
        <v>13</v>
      </c>
      <c r="B7" s="27" t="s">
        <v>9</v>
      </c>
      <c r="C7" s="27" t="s">
        <v>10</v>
      </c>
      <c r="D7" s="27">
        <v>4242</v>
      </c>
      <c r="E7" s="27">
        <v>1453000</v>
      </c>
      <c r="F7" s="27">
        <v>2.9199999999999999E-3</v>
      </c>
      <c r="G7" s="27">
        <v>27.818868624850662</v>
      </c>
      <c r="H7" s="27">
        <v>120</v>
      </c>
      <c r="I7" s="32">
        <v>3.3257145179778571</v>
      </c>
      <c r="J7" s="29"/>
      <c r="K7" s="27"/>
      <c r="L7" s="27"/>
      <c r="M7" s="27"/>
      <c r="N7" s="27"/>
      <c r="O7" s="27"/>
      <c r="P7" s="27"/>
      <c r="Q7" s="27"/>
      <c r="R7" s="27"/>
      <c r="S7" s="27"/>
      <c r="T7" s="27"/>
      <c r="U7" s="27">
        <v>3</v>
      </c>
      <c r="V7" s="27">
        <v>120</v>
      </c>
      <c r="W7" s="27">
        <v>3.3257145179778571</v>
      </c>
      <c r="X7" s="27"/>
      <c r="Y7" s="27"/>
      <c r="Z7" s="13">
        <v>0</v>
      </c>
      <c r="AA7" s="14">
        <v>1</v>
      </c>
      <c r="AB7" s="14">
        <v>1</v>
      </c>
      <c r="AC7" s="14">
        <v>1</v>
      </c>
      <c r="AD7" s="14">
        <v>1</v>
      </c>
    </row>
    <row r="8" spans="1:30" ht="16.5" thickTop="1" thickBot="1" x14ac:dyDescent="0.3">
      <c r="A8" s="28" t="s">
        <v>14</v>
      </c>
      <c r="B8" s="28" t="s">
        <v>9</v>
      </c>
      <c r="C8" s="28" t="s">
        <v>10</v>
      </c>
      <c r="D8" s="28">
        <v>6889</v>
      </c>
      <c r="E8" s="28">
        <v>1525000</v>
      </c>
      <c r="F8" s="28">
        <v>4.5180000000000003E-3</v>
      </c>
      <c r="G8" s="28">
        <v>53.027763157312769</v>
      </c>
      <c r="H8" s="28">
        <v>60</v>
      </c>
      <c r="I8" s="31">
        <v>3.970815609556273</v>
      </c>
      <c r="J8" s="30"/>
      <c r="K8" s="28"/>
      <c r="L8" s="28"/>
      <c r="M8" s="28"/>
      <c r="N8" s="28"/>
      <c r="O8" s="28"/>
      <c r="P8" s="28"/>
      <c r="Q8" s="28"/>
      <c r="R8" s="28"/>
      <c r="S8" s="28"/>
      <c r="T8" s="28"/>
      <c r="U8" s="28">
        <v>4</v>
      </c>
      <c r="V8" s="28">
        <v>60</v>
      </c>
      <c r="W8" s="28">
        <v>3.970815609556273</v>
      </c>
      <c r="X8" s="28"/>
      <c r="Y8" s="28"/>
    </row>
    <row r="9" spans="1:30" x14ac:dyDescent="0.25">
      <c r="A9" s="27" t="s">
        <v>15</v>
      </c>
      <c r="B9" s="27" t="s">
        <v>9</v>
      </c>
      <c r="C9" s="27" t="s">
        <v>10</v>
      </c>
      <c r="D9" s="27">
        <v>6688</v>
      </c>
      <c r="E9" s="27">
        <v>1615000</v>
      </c>
      <c r="F9" s="27">
        <v>4.1419999999999998E-3</v>
      </c>
      <c r="G9" s="27">
        <v>43.113118795177854</v>
      </c>
      <c r="H9" s="27">
        <v>60</v>
      </c>
      <c r="I9" s="32">
        <v>3.7638273311939447</v>
      </c>
      <c r="J9" s="29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v>5</v>
      </c>
      <c r="V9" s="27">
        <v>60</v>
      </c>
      <c r="W9" s="27">
        <v>3.7638273311939447</v>
      </c>
      <c r="X9" s="27"/>
      <c r="Y9" s="27"/>
      <c r="Z9" s="19" t="s">
        <v>60</v>
      </c>
      <c r="AA9" s="20">
        <v>-1.1145444664009267E-2</v>
      </c>
    </row>
    <row r="10" spans="1:30" x14ac:dyDescent="0.25">
      <c r="A10" s="28" t="s">
        <v>16</v>
      </c>
      <c r="B10" s="28" t="s">
        <v>9</v>
      </c>
      <c r="C10" s="28" t="s">
        <v>10</v>
      </c>
      <c r="D10" s="28">
        <v>5942</v>
      </c>
      <c r="E10" s="28">
        <v>1337000</v>
      </c>
      <c r="F10" s="28">
        <v>4.4429999999999999E-3</v>
      </c>
      <c r="G10" s="28">
        <v>45.484281301108481</v>
      </c>
      <c r="H10" s="28">
        <v>60</v>
      </c>
      <c r="I10" s="31">
        <v>3.8173668003601069</v>
      </c>
      <c r="J10" s="30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>
        <v>6</v>
      </c>
      <c r="V10" s="28">
        <v>60</v>
      </c>
      <c r="W10" s="28">
        <v>3.8173668003601069</v>
      </c>
      <c r="X10" s="28"/>
      <c r="Y10" s="28"/>
      <c r="Z10" s="21" t="s">
        <v>61</v>
      </c>
      <c r="AA10" s="22">
        <v>4.5750165811314805</v>
      </c>
    </row>
    <row r="11" spans="1:30" x14ac:dyDescent="0.25">
      <c r="A11" s="27" t="s">
        <v>17</v>
      </c>
      <c r="B11" s="27" t="s">
        <v>9</v>
      </c>
      <c r="C11" s="27" t="s">
        <v>10</v>
      </c>
      <c r="D11" s="27">
        <v>10610</v>
      </c>
      <c r="E11" s="27">
        <v>1570000</v>
      </c>
      <c r="F11" s="27">
        <v>6.7530000000000003E-3</v>
      </c>
      <c r="G11" s="27">
        <v>82.68396353680599</v>
      </c>
      <c r="H11" s="27">
        <v>30</v>
      </c>
      <c r="I11" s="32">
        <v>4.4150256719423346</v>
      </c>
      <c r="J11" s="29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>
        <v>7</v>
      </c>
      <c r="V11" s="27">
        <v>30</v>
      </c>
      <c r="W11" s="27">
        <v>4.4150256719423346</v>
      </c>
      <c r="X11" s="27"/>
      <c r="Y11" s="27"/>
      <c r="Z11" s="21" t="s">
        <v>126</v>
      </c>
      <c r="AA11" s="23">
        <v>0.96955953644864146</v>
      </c>
    </row>
    <row r="12" spans="1:30" x14ac:dyDescent="0.25">
      <c r="A12" s="28" t="s">
        <v>18</v>
      </c>
      <c r="B12" s="28" t="s">
        <v>9</v>
      </c>
      <c r="C12" s="28" t="s">
        <v>10</v>
      </c>
      <c r="D12" s="28">
        <v>9929</v>
      </c>
      <c r="E12" s="28">
        <v>1692000</v>
      </c>
      <c r="F12" s="28">
        <v>5.8669999999999998E-3</v>
      </c>
      <c r="G12" s="28">
        <v>63.65527288316575</v>
      </c>
      <c r="H12" s="28">
        <v>30</v>
      </c>
      <c r="I12" s="31">
        <v>4.1534821634130017</v>
      </c>
      <c r="J12" s="30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>
        <v>8</v>
      </c>
      <c r="V12" s="28">
        <v>30</v>
      </c>
      <c r="W12" s="28">
        <v>4.1534821634130017</v>
      </c>
      <c r="X12" s="28"/>
      <c r="Y12" s="28"/>
      <c r="Z12" s="21" t="s">
        <v>127</v>
      </c>
      <c r="AA12" s="24">
        <v>62.191074600930698</v>
      </c>
    </row>
    <row r="13" spans="1:30" x14ac:dyDescent="0.25">
      <c r="A13" s="27" t="s">
        <v>19</v>
      </c>
      <c r="B13" s="27" t="s">
        <v>9</v>
      </c>
      <c r="C13" s="27" t="s">
        <v>10</v>
      </c>
      <c r="D13" s="27">
        <v>11620</v>
      </c>
      <c r="E13" s="27">
        <v>1771000</v>
      </c>
      <c r="F13" s="27">
        <v>6.5640000000000004E-3</v>
      </c>
      <c r="G13" s="27">
        <v>70.085949250118901</v>
      </c>
      <c r="H13" s="27">
        <v>30</v>
      </c>
      <c r="I13" s="32">
        <v>4.2497223352926694</v>
      </c>
      <c r="J13" s="29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>
        <v>9</v>
      </c>
      <c r="V13" s="27">
        <v>30</v>
      </c>
      <c r="W13" s="27">
        <v>4.2497223352926694</v>
      </c>
      <c r="X13" s="27"/>
      <c r="Y13" s="27"/>
      <c r="Z13" s="21" t="s">
        <v>128</v>
      </c>
      <c r="AA13" s="24">
        <v>22.290889328018533</v>
      </c>
    </row>
    <row r="14" spans="1:30" ht="15.75" thickBot="1" x14ac:dyDescent="0.3">
      <c r="A14" s="28" t="s">
        <v>20</v>
      </c>
      <c r="B14" s="28" t="s">
        <v>9</v>
      </c>
      <c r="C14" s="28" t="s">
        <v>10</v>
      </c>
      <c r="D14" s="28">
        <v>10230</v>
      </c>
      <c r="E14" s="28">
        <v>1414000</v>
      </c>
      <c r="F14" s="28">
        <v>7.2360000000000002E-3</v>
      </c>
      <c r="G14" s="28">
        <v>89.092887377206537</v>
      </c>
      <c r="H14" s="28">
        <v>15</v>
      </c>
      <c r="I14" s="31">
        <v>4.4896795038740729</v>
      </c>
      <c r="J14" s="30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>
        <v>10</v>
      </c>
      <c r="V14" s="28">
        <v>15</v>
      </c>
      <c r="W14" s="28">
        <v>4.4896795038740729</v>
      </c>
      <c r="X14" s="28"/>
      <c r="Y14" s="28"/>
      <c r="Z14" s="25" t="s">
        <v>48</v>
      </c>
      <c r="AA14" s="26" t="s">
        <v>65</v>
      </c>
    </row>
    <row r="15" spans="1:30" x14ac:dyDescent="0.25">
      <c r="A15" s="27" t="s">
        <v>21</v>
      </c>
      <c r="B15" s="27" t="s">
        <v>9</v>
      </c>
      <c r="C15" s="27" t="s">
        <v>10</v>
      </c>
      <c r="D15" s="27">
        <v>11960</v>
      </c>
      <c r="E15" s="27">
        <v>1700000</v>
      </c>
      <c r="F15" s="27">
        <v>7.0359999999999997E-3</v>
      </c>
      <c r="G15" s="27">
        <v>77.576303682503649</v>
      </c>
      <c r="H15" s="27">
        <v>15</v>
      </c>
      <c r="I15" s="32">
        <v>4.3512620156396231</v>
      </c>
      <c r="J15" s="29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11</v>
      </c>
      <c r="V15" s="27">
        <v>15</v>
      </c>
      <c r="W15" s="27">
        <v>4.3512620156396231</v>
      </c>
      <c r="X15" s="27"/>
      <c r="Y15" s="27"/>
    </row>
    <row r="16" spans="1:30" x14ac:dyDescent="0.25">
      <c r="A16" s="28" t="s">
        <v>22</v>
      </c>
      <c r="B16" s="28" t="s">
        <v>9</v>
      </c>
      <c r="C16" s="28" t="s">
        <v>10</v>
      </c>
      <c r="D16" s="28">
        <v>11450</v>
      </c>
      <c r="E16" s="28">
        <v>1678000</v>
      </c>
      <c r="F16" s="28">
        <v>6.8250000000000003E-3</v>
      </c>
      <c r="G16" s="28">
        <v>73.113311501270104</v>
      </c>
      <c r="H16" s="28">
        <v>15</v>
      </c>
      <c r="I16" s="31">
        <v>4.2920104500581377</v>
      </c>
      <c r="J16" s="30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>
        <v>12</v>
      </c>
      <c r="V16" s="28">
        <v>15</v>
      </c>
      <c r="W16" s="28">
        <v>4.2920104500581377</v>
      </c>
      <c r="X16" s="28"/>
      <c r="Y16" s="28"/>
    </row>
    <row r="17" spans="1:30" x14ac:dyDescent="0.25">
      <c r="A17" s="27" t="s">
        <v>23</v>
      </c>
      <c r="B17" s="27" t="s">
        <v>9</v>
      </c>
      <c r="C17" s="27" t="s">
        <v>10</v>
      </c>
      <c r="D17" s="27">
        <v>13760</v>
      </c>
      <c r="E17" s="27">
        <v>1708000</v>
      </c>
      <c r="F17" s="27">
        <v>8.0579999999999992E-3</v>
      </c>
      <c r="G17" s="27">
        <v>100</v>
      </c>
      <c r="H17" s="27">
        <v>0</v>
      </c>
      <c r="I17" s="32">
        <v>4.6051701859880918</v>
      </c>
      <c r="J17" s="29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13</v>
      </c>
      <c r="V17" s="27">
        <v>0</v>
      </c>
      <c r="W17" s="27">
        <v>4.6051701859880918</v>
      </c>
      <c r="X17" s="27"/>
      <c r="Y17" s="27"/>
    </row>
    <row r="18" spans="1:30" x14ac:dyDescent="0.25">
      <c r="A18" s="28" t="s">
        <v>24</v>
      </c>
      <c r="B18" s="28" t="s">
        <v>9</v>
      </c>
      <c r="C18" s="28" t="s">
        <v>10</v>
      </c>
      <c r="D18" s="28">
        <v>12340</v>
      </c>
      <c r="E18" s="28">
        <v>1384000</v>
      </c>
      <c r="F18" s="28">
        <v>8.9189999999999998E-3</v>
      </c>
      <c r="G18" s="28">
        <v>100</v>
      </c>
      <c r="H18" s="28">
        <v>0</v>
      </c>
      <c r="I18" s="31">
        <v>4.6051701859880918</v>
      </c>
      <c r="J18" s="30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>
        <v>14</v>
      </c>
      <c r="V18" s="28">
        <v>0</v>
      </c>
      <c r="W18" s="28">
        <v>4.6051701859880918</v>
      </c>
      <c r="X18" s="28"/>
      <c r="Y18" s="28"/>
    </row>
    <row r="19" spans="1:30" x14ac:dyDescent="0.25">
      <c r="A19" s="27" t="s">
        <v>25</v>
      </c>
      <c r="B19" s="27" t="s">
        <v>9</v>
      </c>
      <c r="C19" s="27" t="s">
        <v>10</v>
      </c>
      <c r="D19" s="27">
        <v>16000</v>
      </c>
      <c r="E19" s="27">
        <v>1750000</v>
      </c>
      <c r="F19" s="27">
        <v>9.1430000000000001E-3</v>
      </c>
      <c r="G19" s="27">
        <v>100</v>
      </c>
      <c r="H19" s="27">
        <v>0</v>
      </c>
      <c r="I19" s="32">
        <v>4.6051701859880918</v>
      </c>
      <c r="J19" s="29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15</v>
      </c>
      <c r="V19" s="27">
        <v>0</v>
      </c>
      <c r="W19" s="27">
        <v>4.6051701859880918</v>
      </c>
      <c r="X19" s="27"/>
      <c r="Y19" s="27"/>
    </row>
    <row r="20" spans="1:30" ht="15.75" thickBot="1" x14ac:dyDescent="0.3">
      <c r="A20" s="28"/>
      <c r="B20" s="28"/>
      <c r="C20" s="28"/>
      <c r="D20" s="28"/>
      <c r="E20" s="28"/>
      <c r="F20" s="28"/>
      <c r="G20" s="28"/>
      <c r="H20" s="28"/>
      <c r="I20" s="28"/>
      <c r="J20" s="30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30" ht="16.5" thickTop="1" thickBot="1" x14ac:dyDescent="0.3">
      <c r="A21" s="27" t="s">
        <v>6</v>
      </c>
      <c r="B21" s="27" t="s">
        <v>26</v>
      </c>
      <c r="C21" s="27" t="s">
        <v>27</v>
      </c>
      <c r="D21" s="27">
        <v>1</v>
      </c>
      <c r="E21" s="27">
        <v>1321000</v>
      </c>
      <c r="F21" s="27">
        <v>7.57002271006813E-7</v>
      </c>
      <c r="G21" s="27"/>
      <c r="H21" s="27"/>
      <c r="I21" s="27"/>
      <c r="J21" s="29"/>
      <c r="K21" s="27"/>
      <c r="L21" s="27"/>
      <c r="M21" s="27"/>
      <c r="N21" s="27"/>
      <c r="O21" s="27"/>
      <c r="P21" s="27"/>
      <c r="Q21" s="27"/>
      <c r="R21" s="27" t="s">
        <v>68</v>
      </c>
      <c r="S21" s="27"/>
      <c r="T21" s="27">
        <v>5</v>
      </c>
      <c r="U21" s="27"/>
      <c r="V21" s="27"/>
      <c r="W21" s="27"/>
      <c r="X21" s="27"/>
      <c r="Y21" s="27"/>
      <c r="Z21" s="9" t="s">
        <v>54</v>
      </c>
      <c r="AA21" s="9" t="s">
        <v>56</v>
      </c>
      <c r="AB21" s="9" t="s">
        <v>57</v>
      </c>
      <c r="AC21" s="9" t="s">
        <v>58</v>
      </c>
      <c r="AD21" s="9" t="s">
        <v>59</v>
      </c>
    </row>
    <row r="22" spans="1:30" ht="15.75" thickTop="1" x14ac:dyDescent="0.25">
      <c r="A22" s="28" t="s">
        <v>7</v>
      </c>
      <c r="B22" s="28" t="s">
        <v>26</v>
      </c>
      <c r="C22" s="28" t="s">
        <v>27</v>
      </c>
      <c r="D22" s="28">
        <v>1</v>
      </c>
      <c r="E22" s="28">
        <v>1342000</v>
      </c>
      <c r="F22" s="28">
        <v>7.4515648286140094E-7</v>
      </c>
      <c r="G22" s="28"/>
      <c r="H22" s="28"/>
      <c r="I22" s="28"/>
      <c r="J22" s="30"/>
      <c r="K22" s="28"/>
      <c r="L22" s="28"/>
      <c r="M22" s="28"/>
      <c r="N22" s="28"/>
      <c r="O22" s="28"/>
      <c r="P22" s="28"/>
      <c r="Q22" s="28"/>
      <c r="R22" s="28" t="s">
        <v>54</v>
      </c>
      <c r="S22" s="28"/>
      <c r="T22" s="28">
        <v>81</v>
      </c>
      <c r="U22" s="28"/>
      <c r="V22" s="28"/>
      <c r="W22" s="28"/>
      <c r="X22" s="28"/>
      <c r="Y22" s="28"/>
      <c r="Z22" s="10">
        <v>120</v>
      </c>
      <c r="AA22" s="12" t="s">
        <v>130</v>
      </c>
      <c r="AB22" s="12" t="s">
        <v>131</v>
      </c>
      <c r="AC22" s="16" t="s">
        <v>132</v>
      </c>
      <c r="AD22" s="12" t="s">
        <v>95</v>
      </c>
    </row>
    <row r="23" spans="1:30" x14ac:dyDescent="0.25">
      <c r="A23" s="27" t="s">
        <v>8</v>
      </c>
      <c r="B23" s="27" t="s">
        <v>26</v>
      </c>
      <c r="C23" s="27" t="s">
        <v>27</v>
      </c>
      <c r="D23" s="27">
        <v>1</v>
      </c>
      <c r="E23" s="27">
        <v>973500</v>
      </c>
      <c r="F23" s="27">
        <v>1.0272213662044171E-6</v>
      </c>
      <c r="G23" s="27"/>
      <c r="H23" s="27"/>
      <c r="I23" s="27"/>
      <c r="J23" s="29"/>
      <c r="K23" s="27"/>
      <c r="L23" s="27"/>
      <c r="M23" s="27"/>
      <c r="N23" s="27"/>
      <c r="O23" s="27"/>
      <c r="P23" s="27"/>
      <c r="Q23" s="27"/>
      <c r="R23" s="27" t="s">
        <v>55</v>
      </c>
      <c r="S23" s="27"/>
      <c r="T23" s="27">
        <v>95</v>
      </c>
      <c r="U23" s="27"/>
      <c r="V23" s="27"/>
      <c r="W23" s="27"/>
      <c r="X23" s="27"/>
      <c r="Y23" s="27"/>
      <c r="Z23" s="10">
        <v>60</v>
      </c>
      <c r="AA23" s="12">
        <v>3.9663702542545774E-2</v>
      </c>
      <c r="AB23" s="12">
        <v>3.3210072555411814E-2</v>
      </c>
      <c r="AC23" s="12">
        <v>1.5378654011973176E-2</v>
      </c>
      <c r="AD23" s="12">
        <v>2.9417476369976922E-2</v>
      </c>
    </row>
    <row r="24" spans="1:30" x14ac:dyDescent="0.25">
      <c r="A24" s="28" t="s">
        <v>28</v>
      </c>
      <c r="B24" s="28" t="s">
        <v>26</v>
      </c>
      <c r="C24" s="28" t="s">
        <v>27</v>
      </c>
      <c r="D24" s="28">
        <v>36530</v>
      </c>
      <c r="E24" s="28">
        <v>1766000</v>
      </c>
      <c r="F24" s="28">
        <v>2.069E-2</v>
      </c>
      <c r="G24" s="28">
        <v>4.804736967792353</v>
      </c>
      <c r="H24" s="28">
        <v>120</v>
      </c>
      <c r="I24" s="31" t="s">
        <v>133</v>
      </c>
      <c r="J24" s="30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 t="s">
        <v>95</v>
      </c>
      <c r="V24" s="28">
        <v>60</v>
      </c>
      <c r="W24" s="28">
        <v>1.3778513828390873</v>
      </c>
      <c r="X24" s="28"/>
      <c r="Y24" s="28"/>
      <c r="Z24" s="10">
        <v>30</v>
      </c>
      <c r="AA24" s="11">
        <v>0.15266903296013073</v>
      </c>
      <c r="AB24" s="11">
        <v>0.21556871983846604</v>
      </c>
      <c r="AC24" s="11">
        <v>0.18644997570071298</v>
      </c>
      <c r="AD24" s="11">
        <v>0.18489590949976989</v>
      </c>
    </row>
    <row r="25" spans="1:30" x14ac:dyDescent="0.25">
      <c r="A25" s="27" t="s">
        <v>29</v>
      </c>
      <c r="B25" s="27" t="s">
        <v>26</v>
      </c>
      <c r="C25" s="27" t="s">
        <v>27</v>
      </c>
      <c r="D25" s="27">
        <v>27860</v>
      </c>
      <c r="E25" s="27">
        <v>1689000</v>
      </c>
      <c r="F25" s="27">
        <v>1.6500000000000001E-2</v>
      </c>
      <c r="G25" s="27">
        <v>3.755790698695137</v>
      </c>
      <c r="H25" s="27">
        <v>120</v>
      </c>
      <c r="I25" s="32" t="s">
        <v>134</v>
      </c>
      <c r="J25" s="29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 t="s">
        <v>95</v>
      </c>
      <c r="V25" s="27">
        <v>60</v>
      </c>
      <c r="W25" s="27">
        <v>1.2002681271381372</v>
      </c>
      <c r="X25" s="27"/>
      <c r="Y25" s="27"/>
      <c r="Z25" s="10">
        <v>15</v>
      </c>
      <c r="AA25" s="11">
        <v>0.42080704056420709</v>
      </c>
      <c r="AB25" s="11">
        <v>0.41543252250295432</v>
      </c>
      <c r="AC25" s="11">
        <v>0.31431098852194372</v>
      </c>
      <c r="AD25" s="11">
        <v>0.38351685052970169</v>
      </c>
    </row>
    <row r="26" spans="1:30" ht="15.75" thickBot="1" x14ac:dyDescent="0.3">
      <c r="A26" s="28" t="s">
        <v>30</v>
      </c>
      <c r="B26" s="28" t="s">
        <v>26</v>
      </c>
      <c r="C26" s="28" t="s">
        <v>27</v>
      </c>
      <c r="D26" s="28">
        <v>3369</v>
      </c>
      <c r="E26" s="28">
        <v>1450000</v>
      </c>
      <c r="F26" s="28">
        <v>2.323E-3</v>
      </c>
      <c r="G26" s="28">
        <v>0.3543118493425596</v>
      </c>
      <c r="H26" s="28">
        <v>120</v>
      </c>
      <c r="I26" s="31" t="s">
        <v>135</v>
      </c>
      <c r="J26" s="30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 t="s">
        <v>95</v>
      </c>
      <c r="V26" s="28">
        <v>60</v>
      </c>
      <c r="W26" s="28">
        <v>0.43039535177736304</v>
      </c>
      <c r="X26" s="28"/>
      <c r="Y26" s="28"/>
      <c r="Z26" s="13">
        <v>0</v>
      </c>
      <c r="AA26" s="14">
        <v>1</v>
      </c>
      <c r="AB26" s="14">
        <v>1</v>
      </c>
      <c r="AC26" s="14">
        <v>1</v>
      </c>
      <c r="AD26" s="14">
        <v>1</v>
      </c>
    </row>
    <row r="27" spans="1:30" ht="16.5" thickTop="1" thickBot="1" x14ac:dyDescent="0.3">
      <c r="A27" s="27" t="s">
        <v>31</v>
      </c>
      <c r="B27" s="27" t="s">
        <v>26</v>
      </c>
      <c r="C27" s="27" t="s">
        <v>27</v>
      </c>
      <c r="D27" s="27">
        <v>27520</v>
      </c>
      <c r="E27" s="27">
        <v>1611000</v>
      </c>
      <c r="F27" s="27">
        <v>1.7080000000000001E-2</v>
      </c>
      <c r="G27" s="27">
        <v>3.9663702542545773</v>
      </c>
      <c r="H27" s="27">
        <v>60</v>
      </c>
      <c r="I27" s="32">
        <v>1.3778513828390873</v>
      </c>
      <c r="J27" s="29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>
        <v>4</v>
      </c>
      <c r="V27" s="27">
        <v>30</v>
      </c>
      <c r="W27" s="27">
        <v>2.7256873020707575</v>
      </c>
      <c r="X27" s="27"/>
      <c r="Y27" s="27"/>
    </row>
    <row r="28" spans="1:30" x14ac:dyDescent="0.25">
      <c r="A28" s="28" t="s">
        <v>32</v>
      </c>
      <c r="B28" s="28" t="s">
        <v>26</v>
      </c>
      <c r="C28" s="28" t="s">
        <v>27</v>
      </c>
      <c r="D28" s="28">
        <v>21240</v>
      </c>
      <c r="E28" s="28">
        <v>1456000</v>
      </c>
      <c r="F28" s="28">
        <v>1.4590000000000001E-2</v>
      </c>
      <c r="G28" s="28">
        <v>3.3210072555411814</v>
      </c>
      <c r="H28" s="28">
        <v>60</v>
      </c>
      <c r="I28" s="31">
        <v>1.2002681271381372</v>
      </c>
      <c r="J28" s="30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>
        <v>5</v>
      </c>
      <c r="V28" s="28">
        <v>30</v>
      </c>
      <c r="W28" s="28">
        <v>3.0706946512778899</v>
      </c>
      <c r="X28" s="28"/>
      <c r="Y28" s="28"/>
      <c r="Z28" s="19" t="s">
        <v>60</v>
      </c>
      <c r="AA28" s="20">
        <v>-5.9461807600488061E-2</v>
      </c>
    </row>
    <row r="29" spans="1:30" x14ac:dyDescent="0.25">
      <c r="A29" s="27" t="s">
        <v>33</v>
      </c>
      <c r="B29" s="27" t="s">
        <v>26</v>
      </c>
      <c r="C29" s="27" t="s">
        <v>27</v>
      </c>
      <c r="D29" s="27">
        <v>14130</v>
      </c>
      <c r="E29" s="27">
        <v>1402000</v>
      </c>
      <c r="F29" s="27">
        <v>1.008E-2</v>
      </c>
      <c r="G29" s="27">
        <v>1.5378654011973176</v>
      </c>
      <c r="H29" s="27">
        <v>60</v>
      </c>
      <c r="I29" s="32">
        <v>0.43039535177736304</v>
      </c>
      <c r="J29" s="29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>
        <v>6</v>
      </c>
      <c r="V29" s="27">
        <v>30</v>
      </c>
      <c r="W29" s="27">
        <v>2.9255778833047525</v>
      </c>
      <c r="X29" s="27"/>
      <c r="Y29" s="27"/>
      <c r="Z29" s="21" t="s">
        <v>61</v>
      </c>
      <c r="AA29" s="22">
        <v>4.5992147391400406</v>
      </c>
    </row>
    <row r="30" spans="1:30" x14ac:dyDescent="0.25">
      <c r="A30" s="28" t="s">
        <v>34</v>
      </c>
      <c r="B30" s="28" t="s">
        <v>26</v>
      </c>
      <c r="C30" s="28" t="s">
        <v>27</v>
      </c>
      <c r="D30" s="28">
        <v>110800</v>
      </c>
      <c r="E30" s="28">
        <v>1685000</v>
      </c>
      <c r="F30" s="28">
        <v>6.5740000000000007E-2</v>
      </c>
      <c r="G30" s="28">
        <v>15.266903296013073</v>
      </c>
      <c r="H30" s="28">
        <v>30</v>
      </c>
      <c r="I30" s="31">
        <v>2.7256873020707575</v>
      </c>
      <c r="J30" s="30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>
        <v>7</v>
      </c>
      <c r="V30" s="28">
        <v>15</v>
      </c>
      <c r="W30" s="28">
        <v>3.7395892996683053</v>
      </c>
      <c r="X30" s="28"/>
      <c r="Y30" s="28"/>
      <c r="Z30" s="21" t="s">
        <v>126</v>
      </c>
      <c r="AA30" s="23">
        <v>0.96918252520080539</v>
      </c>
    </row>
    <row r="31" spans="1:30" x14ac:dyDescent="0.25">
      <c r="A31" s="27" t="s">
        <v>35</v>
      </c>
      <c r="B31" s="27" t="s">
        <v>26</v>
      </c>
      <c r="C31" s="27" t="s">
        <v>27</v>
      </c>
      <c r="D31" s="27">
        <v>161400</v>
      </c>
      <c r="E31" s="27">
        <v>1704000</v>
      </c>
      <c r="F31" s="27">
        <v>9.4700000000000006E-2</v>
      </c>
      <c r="G31" s="27">
        <v>21.556871983846605</v>
      </c>
      <c r="H31" s="27">
        <v>30</v>
      </c>
      <c r="I31" s="32">
        <v>3.0706946512778899</v>
      </c>
      <c r="J31" s="29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>
        <v>8</v>
      </c>
      <c r="V31" s="27">
        <v>15</v>
      </c>
      <c r="W31" s="27">
        <v>3.7267351073981216</v>
      </c>
      <c r="X31" s="27"/>
      <c r="Y31" s="27"/>
      <c r="Z31" s="21" t="s">
        <v>127</v>
      </c>
      <c r="AA31" s="24">
        <v>11.657014956845273</v>
      </c>
    </row>
    <row r="32" spans="1:30" x14ac:dyDescent="0.25">
      <c r="A32" s="28" t="s">
        <v>36</v>
      </c>
      <c r="B32" s="28" t="s">
        <v>26</v>
      </c>
      <c r="C32" s="28" t="s">
        <v>27</v>
      </c>
      <c r="D32" s="28">
        <v>168400</v>
      </c>
      <c r="E32" s="28">
        <v>1378000</v>
      </c>
      <c r="F32" s="28">
        <v>0.1222</v>
      </c>
      <c r="G32" s="28">
        <v>18.644997570071297</v>
      </c>
      <c r="H32" s="28">
        <v>30</v>
      </c>
      <c r="I32" s="31">
        <v>2.9255778833047525</v>
      </c>
      <c r="J32" s="30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>
        <v>9</v>
      </c>
      <c r="V32" s="28">
        <v>15</v>
      </c>
      <c r="W32" s="28">
        <v>3.4477978120880586</v>
      </c>
      <c r="X32" s="28"/>
      <c r="Y32" s="28"/>
      <c r="Z32" s="21" t="s">
        <v>128</v>
      </c>
      <c r="AA32" s="24">
        <v>118.92361520097612</v>
      </c>
    </row>
    <row r="33" spans="1:27" ht="15.75" thickBot="1" x14ac:dyDescent="0.3">
      <c r="A33" s="27" t="s">
        <v>37</v>
      </c>
      <c r="B33" s="27" t="s">
        <v>26</v>
      </c>
      <c r="C33" s="27" t="s">
        <v>27</v>
      </c>
      <c r="D33" s="27">
        <v>286200</v>
      </c>
      <c r="E33" s="27">
        <v>1579000</v>
      </c>
      <c r="F33" s="27">
        <v>0.1812</v>
      </c>
      <c r="G33" s="27">
        <v>42.080704056420707</v>
      </c>
      <c r="H33" s="27">
        <v>15</v>
      </c>
      <c r="I33" s="32">
        <v>3.7395892996683053</v>
      </c>
      <c r="J33" s="29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>
        <v>10</v>
      </c>
      <c r="V33" s="27">
        <v>0</v>
      </c>
      <c r="W33" s="27">
        <v>4.6051701859880918</v>
      </c>
      <c r="X33" s="27"/>
      <c r="Y33" s="27"/>
      <c r="Z33" s="25" t="s">
        <v>48</v>
      </c>
      <c r="AA33" s="26" t="s">
        <v>69</v>
      </c>
    </row>
    <row r="34" spans="1:27" x14ac:dyDescent="0.25">
      <c r="A34" s="28" t="s">
        <v>38</v>
      </c>
      <c r="B34" s="28" t="s">
        <v>26</v>
      </c>
      <c r="C34" s="28" t="s">
        <v>27</v>
      </c>
      <c r="D34" s="28">
        <v>301800</v>
      </c>
      <c r="E34" s="28">
        <v>1654000</v>
      </c>
      <c r="F34" s="28">
        <v>0.1825</v>
      </c>
      <c r="G34" s="28">
        <v>41.543252250295431</v>
      </c>
      <c r="H34" s="28">
        <v>15</v>
      </c>
      <c r="I34" s="31">
        <v>3.7267351073981216</v>
      </c>
      <c r="J34" s="30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>
        <v>11</v>
      </c>
      <c r="V34" s="28">
        <v>0</v>
      </c>
      <c r="W34" s="28">
        <v>4.6051701859880918</v>
      </c>
      <c r="X34" s="28"/>
      <c r="Y34" s="28"/>
    </row>
    <row r="35" spans="1:27" x14ac:dyDescent="0.25">
      <c r="A35" s="27" t="s">
        <v>39</v>
      </c>
      <c r="B35" s="27" t="s">
        <v>26</v>
      </c>
      <c r="C35" s="27" t="s">
        <v>27</v>
      </c>
      <c r="D35" s="27">
        <v>368500</v>
      </c>
      <c r="E35" s="27">
        <v>1788000</v>
      </c>
      <c r="F35" s="27">
        <v>0.20599999999999999</v>
      </c>
      <c r="G35" s="27">
        <v>31.431098852194374</v>
      </c>
      <c r="H35" s="27">
        <v>15</v>
      </c>
      <c r="I35" s="32">
        <v>3.4477978120880586</v>
      </c>
      <c r="J35" s="29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>
        <v>12</v>
      </c>
      <c r="V35" s="27">
        <v>0</v>
      </c>
      <c r="W35" s="27">
        <v>4.6051701859880918</v>
      </c>
      <c r="X35" s="27"/>
      <c r="Y35" s="27"/>
    </row>
    <row r="36" spans="1:27" x14ac:dyDescent="0.25">
      <c r="A36" s="28" t="s">
        <v>40</v>
      </c>
      <c r="B36" s="28" t="s">
        <v>26</v>
      </c>
      <c r="C36" s="28" t="s">
        <v>27</v>
      </c>
      <c r="D36" s="28">
        <v>683900</v>
      </c>
      <c r="E36" s="28">
        <v>1588000</v>
      </c>
      <c r="F36" s="28">
        <v>0.43059999999999998</v>
      </c>
      <c r="G36" s="28">
        <v>100</v>
      </c>
      <c r="H36" s="28">
        <v>0</v>
      </c>
      <c r="I36" s="31">
        <v>4.6051701859880918</v>
      </c>
      <c r="J36" s="30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>
        <v>13</v>
      </c>
      <c r="V36" s="28" t="s">
        <v>95</v>
      </c>
      <c r="W36" s="28" t="s">
        <v>95</v>
      </c>
      <c r="X36" s="28"/>
      <c r="Y36" s="28"/>
    </row>
    <row r="37" spans="1:27" x14ac:dyDescent="0.25">
      <c r="A37" s="27" t="s">
        <v>41</v>
      </c>
      <c r="B37" s="27" t="s">
        <v>26</v>
      </c>
      <c r="C37" s="27" t="s">
        <v>27</v>
      </c>
      <c r="D37" s="27">
        <v>704100</v>
      </c>
      <c r="E37" s="27">
        <v>1603000</v>
      </c>
      <c r="F37" s="27">
        <v>0.43930000000000002</v>
      </c>
      <c r="G37" s="27">
        <v>100</v>
      </c>
      <c r="H37" s="27">
        <v>0</v>
      </c>
      <c r="I37" s="32">
        <v>4.6051701859880918</v>
      </c>
      <c r="J37" s="29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>
        <v>14</v>
      </c>
      <c r="V37" s="27" t="s">
        <v>95</v>
      </c>
      <c r="W37" s="27" t="s">
        <v>95</v>
      </c>
      <c r="X37" s="27"/>
      <c r="Y37" s="27"/>
    </row>
    <row r="38" spans="1:27" x14ac:dyDescent="0.25">
      <c r="A38" s="28" t="s">
        <v>42</v>
      </c>
      <c r="B38" s="28" t="s">
        <v>26</v>
      </c>
      <c r="C38" s="28" t="s">
        <v>27</v>
      </c>
      <c r="D38" s="28">
        <v>912600</v>
      </c>
      <c r="E38" s="28">
        <v>1392000</v>
      </c>
      <c r="F38" s="28">
        <v>0.65539999999999998</v>
      </c>
      <c r="G38" s="28">
        <v>100</v>
      </c>
      <c r="H38" s="28">
        <v>0</v>
      </c>
      <c r="I38" s="31">
        <v>4.6051701859880918</v>
      </c>
      <c r="J38" s="30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>
        <v>15</v>
      </c>
      <c r="V38" s="28" t="s">
        <v>95</v>
      </c>
      <c r="W38" s="28" t="s">
        <v>95</v>
      </c>
      <c r="X38" s="28"/>
      <c r="Y38" s="28"/>
    </row>
  </sheetData>
  <sortState ref="A2:L91">
    <sortCondition ref="H2:H91"/>
    <sortCondition ref="L2:L91"/>
    <sortCondition ref="B2:B91"/>
    <sortCondition ref="G2:G91"/>
    <sortCondition descending="1" ref="J2:J91"/>
    <sortCondition ref="K2:K91"/>
  </sortState>
  <conditionalFormatting sqref="I5">
    <cfRule type="expression" dxfId="174" priority="160">
      <formula>ISTEXT($I$5)</formula>
    </cfRule>
  </conditionalFormatting>
  <conditionalFormatting sqref="I6">
    <cfRule type="expression" dxfId="173" priority="159">
      <formula>ISTEXT($I$6)</formula>
    </cfRule>
  </conditionalFormatting>
  <conditionalFormatting sqref="I7">
    <cfRule type="expression" dxfId="172" priority="158">
      <formula>ISTEXT($I$7)</formula>
    </cfRule>
  </conditionalFormatting>
  <conditionalFormatting sqref="I8">
    <cfRule type="expression" dxfId="171" priority="157">
      <formula>ISTEXT($I$8)</formula>
    </cfRule>
  </conditionalFormatting>
  <conditionalFormatting sqref="I9">
    <cfRule type="expression" dxfId="170" priority="156">
      <formula>ISTEXT($I$9)</formula>
    </cfRule>
  </conditionalFormatting>
  <conditionalFormatting sqref="I10">
    <cfRule type="expression" dxfId="169" priority="155">
      <formula>ISTEXT($I$10)</formula>
    </cfRule>
  </conditionalFormatting>
  <conditionalFormatting sqref="I11">
    <cfRule type="expression" dxfId="168" priority="154">
      <formula>ISTEXT($I$11)</formula>
    </cfRule>
  </conditionalFormatting>
  <conditionalFormatting sqref="I12">
    <cfRule type="expression" dxfId="167" priority="153">
      <formula>ISTEXT($I$12)</formula>
    </cfRule>
  </conditionalFormatting>
  <conditionalFormatting sqref="I13">
    <cfRule type="expression" dxfId="166" priority="152">
      <formula>ISTEXT($I$13)</formula>
    </cfRule>
  </conditionalFormatting>
  <conditionalFormatting sqref="I14">
    <cfRule type="expression" dxfId="165" priority="151">
      <formula>ISTEXT($I$14)</formula>
    </cfRule>
  </conditionalFormatting>
  <conditionalFormatting sqref="I15">
    <cfRule type="expression" dxfId="164" priority="150">
      <formula>ISTEXT($I$15)</formula>
    </cfRule>
  </conditionalFormatting>
  <conditionalFormatting sqref="I16">
    <cfRule type="expression" dxfId="163" priority="149">
      <formula>ISTEXT($I$16)</formula>
    </cfRule>
  </conditionalFormatting>
  <conditionalFormatting sqref="I17">
    <cfRule type="expression" dxfId="162" priority="148">
      <formula>ISTEXT($I$17)</formula>
    </cfRule>
  </conditionalFormatting>
  <conditionalFormatting sqref="I18">
    <cfRule type="expression" dxfId="161" priority="147">
      <formula>ISTEXT($I$18)</formula>
    </cfRule>
  </conditionalFormatting>
  <conditionalFormatting sqref="I19">
    <cfRule type="expression" dxfId="160" priority="146">
      <formula>ISTEXT($I$19)</formula>
    </cfRule>
  </conditionalFormatting>
  <conditionalFormatting sqref="I24">
    <cfRule type="expression" dxfId="159" priority="115">
      <formula>ISTEXT($I$24)</formula>
    </cfRule>
  </conditionalFormatting>
  <conditionalFormatting sqref="I25">
    <cfRule type="expression" dxfId="158" priority="114">
      <formula>ISTEXT($I$25)</formula>
    </cfRule>
  </conditionalFormatting>
  <conditionalFormatting sqref="I26">
    <cfRule type="expression" dxfId="157" priority="113">
      <formula>ISTEXT($I$26)</formula>
    </cfRule>
  </conditionalFormatting>
  <conditionalFormatting sqref="I27">
    <cfRule type="expression" dxfId="156" priority="112">
      <formula>ISTEXT($I$27)</formula>
    </cfRule>
  </conditionalFormatting>
  <conditionalFormatting sqref="I28">
    <cfRule type="expression" dxfId="155" priority="111">
      <formula>ISTEXT($I$28)</formula>
    </cfRule>
  </conditionalFormatting>
  <conditionalFormatting sqref="I29">
    <cfRule type="expression" dxfId="154" priority="110">
      <formula>ISTEXT($I$29)</formula>
    </cfRule>
  </conditionalFormatting>
  <conditionalFormatting sqref="I30">
    <cfRule type="expression" dxfId="153" priority="109">
      <formula>ISTEXT($I$30)</formula>
    </cfRule>
  </conditionalFormatting>
  <conditionalFormatting sqref="I31">
    <cfRule type="expression" dxfId="152" priority="108">
      <formula>ISTEXT($I$31)</formula>
    </cfRule>
  </conditionalFormatting>
  <conditionalFormatting sqref="I32">
    <cfRule type="expression" dxfId="151" priority="107">
      <formula>ISTEXT($I$32)</formula>
    </cfRule>
  </conditionalFormatting>
  <conditionalFormatting sqref="I33">
    <cfRule type="expression" dxfId="150" priority="106">
      <formula>ISTEXT($I$33)</formula>
    </cfRule>
  </conditionalFormatting>
  <conditionalFormatting sqref="I34">
    <cfRule type="expression" dxfId="149" priority="105">
      <formula>ISTEXT($I$34)</formula>
    </cfRule>
  </conditionalFormatting>
  <conditionalFormatting sqref="I35">
    <cfRule type="expression" dxfId="148" priority="104">
      <formula>ISTEXT($I$35)</formula>
    </cfRule>
  </conditionalFormatting>
  <conditionalFormatting sqref="I36">
    <cfRule type="expression" dxfId="147" priority="103">
      <formula>ISTEXT($I$36)</formula>
    </cfRule>
  </conditionalFormatting>
  <conditionalFormatting sqref="I37">
    <cfRule type="expression" dxfId="146" priority="102">
      <formula>ISTEXT($I$37)</formula>
    </cfRule>
  </conditionalFormatting>
  <conditionalFormatting sqref="I38">
    <cfRule type="expression" dxfId="145" priority="101">
      <formula>ISTEXT($I$38)</formula>
    </cfRule>
  </conditionalFormatting>
  <conditionalFormatting sqref="AA3">
    <cfRule type="expression" dxfId="144" priority="80">
      <formula>ISTEXT($AA$3)</formula>
    </cfRule>
  </conditionalFormatting>
  <conditionalFormatting sqref="AB3">
    <cfRule type="expression" dxfId="143" priority="79">
      <formula>ISTEXT($AB$3)</formula>
    </cfRule>
  </conditionalFormatting>
  <conditionalFormatting sqref="AC3">
    <cfRule type="expression" dxfId="142" priority="78">
      <formula>ISTEXT($AC$3)</formula>
    </cfRule>
  </conditionalFormatting>
  <conditionalFormatting sqref="AD3">
    <cfRule type="expression" dxfId="141" priority="77">
      <formula>ISTEXT($AD$3)</formula>
    </cfRule>
  </conditionalFormatting>
  <conditionalFormatting sqref="AA4">
    <cfRule type="expression" dxfId="140" priority="76">
      <formula>ISTEXT($AA$4)</formula>
    </cfRule>
  </conditionalFormatting>
  <conditionalFormatting sqref="AB4">
    <cfRule type="expression" dxfId="139" priority="75">
      <formula>ISTEXT($AB$4)</formula>
    </cfRule>
  </conditionalFormatting>
  <conditionalFormatting sqref="AC4">
    <cfRule type="expression" dxfId="138" priority="74">
      <formula>ISTEXT($AC$4)</formula>
    </cfRule>
  </conditionalFormatting>
  <conditionalFormatting sqref="AD4">
    <cfRule type="expression" dxfId="137" priority="73">
      <formula>ISTEXT($AD$4)</formula>
    </cfRule>
  </conditionalFormatting>
  <conditionalFormatting sqref="AA5">
    <cfRule type="expression" dxfId="136" priority="72">
      <formula>ISTEXT($AA$5)</formula>
    </cfRule>
  </conditionalFormatting>
  <conditionalFormatting sqref="AB5">
    <cfRule type="expression" dxfId="135" priority="71">
      <formula>ISTEXT($AB$5)</formula>
    </cfRule>
  </conditionalFormatting>
  <conditionalFormatting sqref="AC5">
    <cfRule type="expression" dxfId="134" priority="70">
      <formula>ISTEXT($AC$5)</formula>
    </cfRule>
  </conditionalFormatting>
  <conditionalFormatting sqref="AD5">
    <cfRule type="expression" dxfId="133" priority="69">
      <formula>ISTEXT($AD$5)</formula>
    </cfRule>
  </conditionalFormatting>
  <conditionalFormatting sqref="AA6">
    <cfRule type="expression" dxfId="132" priority="68">
      <formula>ISTEXT($AA$6)</formula>
    </cfRule>
  </conditionalFormatting>
  <conditionalFormatting sqref="AB6">
    <cfRule type="expression" dxfId="131" priority="67">
      <formula>ISTEXT($AB$6)</formula>
    </cfRule>
  </conditionalFormatting>
  <conditionalFormatting sqref="AC6">
    <cfRule type="expression" dxfId="130" priority="66">
      <formula>ISTEXT($AC$6)</formula>
    </cfRule>
  </conditionalFormatting>
  <conditionalFormatting sqref="AD6">
    <cfRule type="expression" dxfId="129" priority="65">
      <formula>ISTEXT($AD$6)</formula>
    </cfRule>
  </conditionalFormatting>
  <conditionalFormatting sqref="AA7">
    <cfRule type="expression" dxfId="128" priority="64">
      <formula>ISTEXT($AA$7)</formula>
    </cfRule>
  </conditionalFormatting>
  <conditionalFormatting sqref="AB7">
    <cfRule type="expression" dxfId="127" priority="63">
      <formula>ISTEXT($AB$7)</formula>
    </cfRule>
  </conditionalFormatting>
  <conditionalFormatting sqref="AC7">
    <cfRule type="expression" dxfId="126" priority="62">
      <formula>ISTEXT($AC$7)</formula>
    </cfRule>
  </conditionalFormatting>
  <conditionalFormatting sqref="AD7">
    <cfRule type="expression" dxfId="125" priority="61">
      <formula>ISTEXT($AD$7)</formula>
    </cfRule>
  </conditionalFormatting>
  <conditionalFormatting sqref="AA22">
    <cfRule type="expression" dxfId="124" priority="20">
      <formula>ISTEXT($AA$22)</formula>
    </cfRule>
  </conditionalFormatting>
  <conditionalFormatting sqref="AB22">
    <cfRule type="expression" dxfId="123" priority="19">
      <formula>ISTEXT($AB$22)</formula>
    </cfRule>
  </conditionalFormatting>
  <conditionalFormatting sqref="AC22">
    <cfRule type="expression" dxfId="122" priority="18">
      <formula>ISTEXT($AC$22)</formula>
    </cfRule>
  </conditionalFormatting>
  <conditionalFormatting sqref="AD22">
    <cfRule type="expression" dxfId="121" priority="17">
      <formula>ISTEXT($AD$22)</formula>
    </cfRule>
  </conditionalFormatting>
  <conditionalFormatting sqref="AA23">
    <cfRule type="expression" dxfId="120" priority="16">
      <formula>ISTEXT($AA$23)</formula>
    </cfRule>
  </conditionalFormatting>
  <conditionalFormatting sqref="AB23">
    <cfRule type="expression" dxfId="119" priority="15">
      <formula>ISTEXT($AB$23)</formula>
    </cfRule>
  </conditionalFormatting>
  <conditionalFormatting sqref="AC23">
    <cfRule type="expression" dxfId="118" priority="14">
      <formula>ISTEXT($AC$23)</formula>
    </cfRule>
  </conditionalFormatting>
  <conditionalFormatting sqref="AD23">
    <cfRule type="expression" dxfId="117" priority="13">
      <formula>ISTEXT($AD$23)</formula>
    </cfRule>
  </conditionalFormatting>
  <conditionalFormatting sqref="AA24">
    <cfRule type="expression" dxfId="116" priority="12">
      <formula>ISTEXT($AA$24)</formula>
    </cfRule>
  </conditionalFormatting>
  <conditionalFormatting sqref="AB24">
    <cfRule type="expression" dxfId="115" priority="11">
      <formula>ISTEXT($AB$24)</formula>
    </cfRule>
  </conditionalFormatting>
  <conditionalFormatting sqref="AC24">
    <cfRule type="expression" dxfId="114" priority="10">
      <formula>ISTEXT($AC$24)</formula>
    </cfRule>
  </conditionalFormatting>
  <conditionalFormatting sqref="AD24">
    <cfRule type="expression" dxfId="113" priority="9">
      <formula>ISTEXT($AD$24)</formula>
    </cfRule>
  </conditionalFormatting>
  <conditionalFormatting sqref="AA25">
    <cfRule type="expression" dxfId="112" priority="8">
      <formula>ISTEXT($AA$25)</formula>
    </cfRule>
  </conditionalFormatting>
  <conditionalFormatting sqref="AB25">
    <cfRule type="expression" dxfId="111" priority="7">
      <formula>ISTEXT($AB$25)</formula>
    </cfRule>
  </conditionalFormatting>
  <conditionalFormatting sqref="AC25">
    <cfRule type="expression" dxfId="110" priority="6">
      <formula>ISTEXT($AC$25)</formula>
    </cfRule>
  </conditionalFormatting>
  <conditionalFormatting sqref="AD25">
    <cfRule type="expression" dxfId="109" priority="5">
      <formula>ISTEXT($AD$25)</formula>
    </cfRule>
  </conditionalFormatting>
  <conditionalFormatting sqref="AA26">
    <cfRule type="expression" dxfId="108" priority="4">
      <formula>ISTEXT($AA$26)</formula>
    </cfRule>
  </conditionalFormatting>
  <conditionalFormatting sqref="AB26">
    <cfRule type="expression" dxfId="107" priority="3">
      <formula>ISTEXT($AB$26)</formula>
    </cfRule>
  </conditionalFormatting>
  <conditionalFormatting sqref="AC26">
    <cfRule type="expression" dxfId="106" priority="2">
      <formula>ISTEXT($AC$26)</formula>
    </cfRule>
  </conditionalFormatting>
  <conditionalFormatting sqref="AD26">
    <cfRule type="expression" dxfId="105" priority="1">
      <formula>ISTEXT($AD$26)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A3" workbookViewId="0">
      <selection activeCell="B33" sqref="B33"/>
    </sheetView>
  </sheetViews>
  <sheetFormatPr defaultRowHeight="15" x14ac:dyDescent="0.25"/>
  <cols>
    <col min="1" max="1" width="64.7109375" style="1" bestFit="1" customWidth="1"/>
    <col min="2" max="2" width="15.85546875" style="1" bestFit="1" customWidth="1"/>
    <col min="3" max="3" width="11.85546875" style="1" bestFit="1" customWidth="1"/>
    <col min="4" max="4" width="8" style="1" bestFit="1" customWidth="1"/>
    <col min="5" max="5" width="10.5703125" style="1" bestFit="1" customWidth="1"/>
    <col min="6" max="6" width="8.7109375" style="1" customWidth="1"/>
    <col min="7" max="7" width="12.42578125" style="1" bestFit="1" customWidth="1"/>
    <col min="8" max="8" width="11.5703125" style="1" bestFit="1" customWidth="1"/>
    <col min="9" max="9" width="14.7109375" style="1" bestFit="1" customWidth="1"/>
    <col min="10" max="10" width="8.7109375" style="8" customWidth="1"/>
    <col min="11" max="11" width="8.7109375" style="1" hidden="1" customWidth="1"/>
    <col min="12" max="17" width="8.7109375" style="1" customWidth="1"/>
    <col min="18" max="18" width="22.5703125" style="1" bestFit="1" customWidth="1"/>
    <col min="19" max="19" width="8.7109375" style="1" customWidth="1"/>
    <col min="20" max="25" width="8.7109375" style="1" hidden="1" customWidth="1"/>
    <col min="26" max="26" width="20.5703125" style="8" bestFit="1" customWidth="1"/>
    <col min="27" max="29" width="21" style="8" bestFit="1" customWidth="1"/>
    <col min="30" max="30" width="8.28515625" style="1" bestFit="1" customWidth="1"/>
    <col min="31" max="44" width="8.7109375" style="1" customWidth="1"/>
    <col min="45" max="16384" width="9.140625" style="1"/>
  </cols>
  <sheetData>
    <row r="1" spans="1:30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49</v>
      </c>
      <c r="H1" s="5" t="s">
        <v>50</v>
      </c>
      <c r="I1" s="5" t="s">
        <v>51</v>
      </c>
      <c r="J1" s="7"/>
      <c r="K1" s="5"/>
      <c r="R1" s="6" t="s">
        <v>53</v>
      </c>
      <c r="Z1" s="18" t="s">
        <v>52</v>
      </c>
    </row>
    <row r="2" spans="1:30" ht="16.5" thickTop="1" thickBot="1" x14ac:dyDescent="0.3">
      <c r="A2" s="28" t="s">
        <v>6</v>
      </c>
      <c r="B2" s="28" t="s">
        <v>9</v>
      </c>
      <c r="C2" s="28" t="s">
        <v>10</v>
      </c>
      <c r="D2" s="28">
        <v>619.1</v>
      </c>
      <c r="E2" s="28">
        <v>1321000</v>
      </c>
      <c r="F2" s="28">
        <v>4.685E-4</v>
      </c>
      <c r="G2" s="28"/>
      <c r="H2" s="28"/>
      <c r="I2" s="28"/>
      <c r="J2" s="30"/>
      <c r="K2" s="28"/>
      <c r="L2" s="28"/>
      <c r="M2" s="28"/>
      <c r="N2" s="28"/>
      <c r="O2" s="28"/>
      <c r="P2" s="28"/>
      <c r="Q2" s="28"/>
      <c r="R2" s="28" t="s">
        <v>67</v>
      </c>
      <c r="S2" s="28"/>
      <c r="T2" s="28">
        <v>2</v>
      </c>
      <c r="U2" s="28"/>
      <c r="V2" s="28"/>
      <c r="W2" s="28"/>
      <c r="X2" s="28"/>
      <c r="Y2" s="28"/>
      <c r="Z2" s="9" t="s">
        <v>54</v>
      </c>
      <c r="AA2" s="9" t="s">
        <v>56</v>
      </c>
      <c r="AB2" s="9" t="s">
        <v>57</v>
      </c>
      <c r="AC2" s="9" t="s">
        <v>58</v>
      </c>
      <c r="AD2" s="9" t="s">
        <v>59</v>
      </c>
    </row>
    <row r="3" spans="1:30" ht="15.75" thickTop="1" x14ac:dyDescent="0.25">
      <c r="A3" s="27" t="s">
        <v>7</v>
      </c>
      <c r="B3" s="27" t="s">
        <v>9</v>
      </c>
      <c r="C3" s="27" t="s">
        <v>10</v>
      </c>
      <c r="D3" s="27">
        <v>715.5</v>
      </c>
      <c r="E3" s="27">
        <v>1342000</v>
      </c>
      <c r="F3" s="27">
        <v>5.3300000000000005E-4</v>
      </c>
      <c r="G3" s="27"/>
      <c r="H3" s="27"/>
      <c r="I3" s="27"/>
      <c r="J3" s="29"/>
      <c r="K3" s="27"/>
      <c r="L3" s="27"/>
      <c r="M3" s="27"/>
      <c r="N3" s="27"/>
      <c r="O3" s="27"/>
      <c r="P3" s="27"/>
      <c r="Q3" s="27"/>
      <c r="R3" s="27" t="s">
        <v>54</v>
      </c>
      <c r="S3" s="27"/>
      <c r="T3" s="27">
        <v>24</v>
      </c>
      <c r="U3" s="27"/>
      <c r="V3" s="27"/>
      <c r="W3" s="27"/>
      <c r="X3" s="27"/>
      <c r="Y3" s="27"/>
      <c r="Z3" s="10">
        <f>$H$5</f>
        <v>120</v>
      </c>
      <c r="AA3" s="11">
        <f>IF(ISTEXT($I$5),TEXT($G$5/100,"0.00%"),$G$5 / 100)</f>
        <v>0.56584519757179519</v>
      </c>
      <c r="AB3" s="11">
        <f>IF(ISTEXT($I$6),TEXT($G$6/100,"0.00%"),$G$6 / 100)</f>
        <v>0.33537392285676726</v>
      </c>
      <c r="AC3" s="11">
        <f>IF(ISTEXT($I$7),TEXT($G$7/100,"0.00%"),$G$7 / 100)</f>
        <v>0.44625261620331907</v>
      </c>
      <c r="AD3" s="11">
        <f>IFERROR(AVERAGE($AA$3:$AC$3),"")</f>
        <v>0.44915724554396053</v>
      </c>
    </row>
    <row r="4" spans="1:30" x14ac:dyDescent="0.25">
      <c r="A4" s="28" t="s">
        <v>8</v>
      </c>
      <c r="B4" s="28" t="s">
        <v>9</v>
      </c>
      <c r="C4" s="28" t="s">
        <v>10</v>
      </c>
      <c r="D4" s="28">
        <v>548.5</v>
      </c>
      <c r="E4" s="28">
        <v>973500</v>
      </c>
      <c r="F4" s="28">
        <v>5.6340000000000003E-4</v>
      </c>
      <c r="G4" s="28"/>
      <c r="H4" s="28"/>
      <c r="I4" s="28"/>
      <c r="J4" s="30"/>
      <c r="K4" s="28"/>
      <c r="L4" s="28"/>
      <c r="M4" s="28"/>
      <c r="N4" s="28"/>
      <c r="O4" s="28"/>
      <c r="P4" s="28"/>
      <c r="Q4" s="28"/>
      <c r="R4" s="28" t="s">
        <v>55</v>
      </c>
      <c r="S4" s="28"/>
      <c r="T4" s="28">
        <v>38</v>
      </c>
      <c r="U4" s="28"/>
      <c r="V4" s="28"/>
      <c r="W4" s="28"/>
      <c r="X4" s="28"/>
      <c r="Y4" s="28"/>
      <c r="Z4" s="10">
        <f>$H$8</f>
        <v>60</v>
      </c>
      <c r="AA4" s="11">
        <f>IF(ISTEXT($I$8),TEXT($G$8/100,"0.00%"),$G$8 / 100)</f>
        <v>0.59282422449132999</v>
      </c>
      <c r="AB4" s="11">
        <f>IF(ISTEXT($I$9),TEXT($G$9/100,"0.00%"),$G$9 / 100)</f>
        <v>0.42243714249937303</v>
      </c>
      <c r="AC4" s="11">
        <f>IF(ISTEXT($I$10),TEXT($G$10/100,"0.00%"),$G$10 / 100)</f>
        <v>0.52086853402853583</v>
      </c>
      <c r="AD4" s="11">
        <f>IFERROR(AVERAGE($AA$4:$AC$4),"")</f>
        <v>0.51204330033974621</v>
      </c>
    </row>
    <row r="5" spans="1:30" x14ac:dyDescent="0.25">
      <c r="A5" s="27" t="s">
        <v>96</v>
      </c>
      <c r="B5" s="27" t="s">
        <v>9</v>
      </c>
      <c r="C5" s="27" t="s">
        <v>10</v>
      </c>
      <c r="D5" s="27">
        <v>59320</v>
      </c>
      <c r="E5" s="27">
        <v>1432000</v>
      </c>
      <c r="F5" s="27">
        <v>4.1419999999999998E-2</v>
      </c>
      <c r="G5" s="27">
        <f>($F$5 -  AVERAGE($F$2,$F$3,$F$4) ) / ($F$17 -  AVERAGE($F$2,$F$3,$F$4) ) * 100</f>
        <v>56.584519757179521</v>
      </c>
      <c r="H5" s="27">
        <v>120</v>
      </c>
      <c r="I5" s="32">
        <f>LN($G$5)</f>
        <v>4.0357354452771714</v>
      </c>
      <c r="J5" s="29"/>
      <c r="K5" s="27"/>
      <c r="L5" s="27"/>
      <c r="M5" s="27"/>
      <c r="N5" s="27"/>
      <c r="O5" s="27"/>
      <c r="P5" s="27"/>
      <c r="Q5" s="27"/>
      <c r="R5" s="27"/>
      <c r="S5" s="27"/>
      <c r="T5" s="27"/>
      <c r="U5" s="27">
        <f>IF(ISTEXT($I$5),"",1)</f>
        <v>1</v>
      </c>
      <c r="V5" s="27">
        <f>IFERROR(INDEX($H$5:$H$19,SMALL($U$5:$U$19,ROW(W1)),1),"")</f>
        <v>120</v>
      </c>
      <c r="W5" s="27">
        <f>IFERROR(INDEX($I$5:$I$19,SMALL($U$5:$U$19,ROW(I1)),1),"")</f>
        <v>4.0357354452771714</v>
      </c>
      <c r="X5" s="27"/>
      <c r="Y5" s="27"/>
      <c r="Z5" s="10">
        <f>$H$11</f>
        <v>30</v>
      </c>
      <c r="AA5" s="41">
        <f>IF(ISTEXT($I$11),TEXT($G$11/100,"0.00%"),$G$11 / 100)</f>
        <v>1.0289159826983729</v>
      </c>
      <c r="AB5" s="11">
        <f>IF(ISTEXT($I$12),TEXT($G$12/100,"0.00%"),$G$12 / 100)</f>
        <v>0.68194892353257908</v>
      </c>
      <c r="AC5" s="11">
        <f>IF(ISTEXT($I$13),TEXT($G$13/100,"0.00%"),$G$13 / 100)</f>
        <v>0.95421026346497029</v>
      </c>
      <c r="AD5" s="11">
        <f>IFERROR(AVERAGE($AA$5:$AC$5),"")</f>
        <v>0.88835838989864069</v>
      </c>
    </row>
    <row r="6" spans="1:30" x14ac:dyDescent="0.25">
      <c r="A6" s="28" t="s">
        <v>97</v>
      </c>
      <c r="B6" s="28" t="s">
        <v>9</v>
      </c>
      <c r="C6" s="28" t="s">
        <v>10</v>
      </c>
      <c r="D6" s="28">
        <v>63690</v>
      </c>
      <c r="E6" s="28">
        <v>1745000</v>
      </c>
      <c r="F6" s="28">
        <v>3.6499999999999998E-2</v>
      </c>
      <c r="G6" s="28">
        <f>($F$6 -  AVERAGE($F$2,$F$3,$F$4) ) / ($F$18 -  AVERAGE($F$2,$F$3,$F$4) ) * 100</f>
        <v>33.537392285676724</v>
      </c>
      <c r="H6" s="28">
        <v>120</v>
      </c>
      <c r="I6" s="31">
        <f>LN($G$6)</f>
        <v>3.5126610039889021</v>
      </c>
      <c r="J6" s="30"/>
      <c r="K6" s="28"/>
      <c r="L6" s="28"/>
      <c r="M6" s="28"/>
      <c r="N6" s="28"/>
      <c r="O6" s="28"/>
      <c r="P6" s="28"/>
      <c r="Q6" s="28"/>
      <c r="R6" s="28"/>
      <c r="S6" s="28"/>
      <c r="T6" s="28"/>
      <c r="U6" s="28">
        <f>IF(ISTEXT($I$6),"",2)</f>
        <v>2</v>
      </c>
      <c r="V6" s="28" t="str">
        <f>IFERROR(INDEX($H$5:$H$19,SMALL($U$5:$U$19,ROW(#REF!)),1),"")</f>
        <v/>
      </c>
      <c r="W6" s="28" t="str">
        <f>IFERROR(INDEX($I$5:$I$19,SMALL($U$5:$U$19,ROW(#REF!)),1),"")</f>
        <v/>
      </c>
      <c r="X6" s="28"/>
      <c r="Y6" s="28"/>
      <c r="Z6" s="10">
        <f>$H$14</f>
        <v>15</v>
      </c>
      <c r="AA6" s="11">
        <f>IF(ISTEXT($I$14),TEXT($G$14/100,"0.00%"),$G$14 / 100)</f>
        <v>0.95711026489715001</v>
      </c>
      <c r="AB6" s="11">
        <f>IF(ISTEXT($I$15),TEXT($G$15/100,"0.00%"),$G$15 / 100)</f>
        <v>0.65286570669265098</v>
      </c>
      <c r="AC6" s="11">
        <f>IF(ISTEXT($I$16),TEXT($G$16/100,"0.00%"),$G$16 / 100)</f>
        <v>0.7912177816019369</v>
      </c>
      <c r="AD6" s="11">
        <f>IFERROR(AVERAGE($AA$6:$AC$6),"")</f>
        <v>0.80039791773057933</v>
      </c>
    </row>
    <row r="7" spans="1:30" ht="15.75" thickBot="1" x14ac:dyDescent="0.3">
      <c r="A7" s="27" t="s">
        <v>98</v>
      </c>
      <c r="B7" s="27" t="s">
        <v>9</v>
      </c>
      <c r="C7" s="27" t="s">
        <v>10</v>
      </c>
      <c r="D7" s="27">
        <v>69220</v>
      </c>
      <c r="E7" s="27">
        <v>1815000</v>
      </c>
      <c r="F7" s="27">
        <v>3.814E-2</v>
      </c>
      <c r="G7" s="27">
        <f>($F$7 -  AVERAGE($F$2,$F$3,$F$4) ) / ($F$19 -  AVERAGE($F$2,$F$3,$F$4) ) * 100</f>
        <v>44.625261620331905</v>
      </c>
      <c r="H7" s="27">
        <v>120</v>
      </c>
      <c r="I7" s="32">
        <f>LN($G$7)</f>
        <v>3.7983001027231089</v>
      </c>
      <c r="J7" s="29"/>
      <c r="K7" s="27"/>
      <c r="L7" s="27"/>
      <c r="M7" s="27"/>
      <c r="N7" s="27"/>
      <c r="O7" s="27"/>
      <c r="P7" s="27"/>
      <c r="Q7" s="27"/>
      <c r="R7" s="27"/>
      <c r="S7" s="27"/>
      <c r="T7" s="27"/>
      <c r="U7" s="27">
        <f>IF(ISTEXT($I$7),"",3)</f>
        <v>3</v>
      </c>
      <c r="V7" s="27" t="str">
        <f>IFERROR(INDEX($H$5:$H$19,SMALL($U$5:$U$19,ROW(#REF!)),1),"")</f>
        <v/>
      </c>
      <c r="W7" s="27" t="str">
        <f>IFERROR(INDEX($I$5:$I$19,SMALL($U$5:$U$19,ROW(#REF!)),1),"")</f>
        <v/>
      </c>
      <c r="X7" s="27"/>
      <c r="Y7" s="27"/>
      <c r="Z7" s="13">
        <f>$H$17</f>
        <v>0</v>
      </c>
      <c r="AA7" s="14">
        <f>IF(ISTEXT($I$17),TEXT($G$17/100,"0.00%"),$G$17 / 100)</f>
        <v>1</v>
      </c>
      <c r="AB7" s="14">
        <f>IF(ISTEXT($I$18),TEXT($G$18/100,"0.00%"),$G$18 / 100)</f>
        <v>1</v>
      </c>
      <c r="AC7" s="14">
        <f>IF(ISTEXT($I$19),TEXT($G$19/100,"0.00%"),$G$19 / 100)</f>
        <v>1</v>
      </c>
      <c r="AD7" s="14">
        <f>IFERROR(AVERAGE($AA$7:$AC$7),"")</f>
        <v>1</v>
      </c>
    </row>
    <row r="8" spans="1:30" ht="16.5" thickTop="1" thickBot="1" x14ac:dyDescent="0.3">
      <c r="A8" s="28" t="s">
        <v>99</v>
      </c>
      <c r="B8" s="28" t="s">
        <v>9</v>
      </c>
      <c r="C8" s="28" t="s">
        <v>10</v>
      </c>
      <c r="D8" s="28">
        <v>56820</v>
      </c>
      <c r="E8" s="28">
        <v>1310000</v>
      </c>
      <c r="F8" s="28">
        <v>4.3369999999999999E-2</v>
      </c>
      <c r="G8" s="28">
        <f>($F$8 -  AVERAGE($F$2,$F$3,$F$4) ) / ($F$17 -  AVERAGE($F$2,$F$3,$F$4) ) * 100</f>
        <v>59.282422449133001</v>
      </c>
      <c r="H8" s="28">
        <v>60</v>
      </c>
      <c r="I8" s="31">
        <f>LN($G$8)</f>
        <v>4.0823128446794348</v>
      </c>
      <c r="J8" s="30"/>
      <c r="K8" s="28"/>
      <c r="L8" s="28"/>
      <c r="M8" s="28"/>
      <c r="N8" s="28"/>
      <c r="O8" s="28"/>
      <c r="P8" s="28"/>
      <c r="Q8" s="28"/>
      <c r="R8" s="28"/>
      <c r="S8" s="28"/>
      <c r="T8" s="28"/>
      <c r="U8" s="28">
        <f>IF(ISTEXT($I$8),"",4)</f>
        <v>4</v>
      </c>
      <c r="V8" s="28" t="str">
        <f>IFERROR(INDEX($H$5:$H$19,SMALL($U$5:$U$19,ROW(#REF!)),1),"")</f>
        <v/>
      </c>
      <c r="W8" s="28" t="str">
        <f>IFERROR(INDEX($I$5:$I$19,SMALL($U$5:$U$19,ROW(#REF!)),1),"")</f>
        <v/>
      </c>
      <c r="X8" s="28"/>
      <c r="Y8" s="28"/>
    </row>
    <row r="9" spans="1:30" x14ac:dyDescent="0.25">
      <c r="A9" s="27" t="s">
        <v>100</v>
      </c>
      <c r="B9" s="27" t="s">
        <v>9</v>
      </c>
      <c r="C9" s="27" t="s">
        <v>10</v>
      </c>
      <c r="D9" s="27">
        <v>70020</v>
      </c>
      <c r="E9" s="27">
        <v>1527000</v>
      </c>
      <c r="F9" s="27">
        <v>4.5839999999999999E-2</v>
      </c>
      <c r="G9" s="27">
        <f>($F$9 -  AVERAGE($F$2,$F$3,$F$4) ) / ($F$18 -  AVERAGE($F$2,$F$3,$F$4) ) * 100</f>
        <v>42.243714249937305</v>
      </c>
      <c r="H9" s="27">
        <v>60</v>
      </c>
      <c r="I9" s="32">
        <f>LN($G$9)</f>
        <v>3.7434555675856496</v>
      </c>
      <c r="J9" s="29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f>IF(ISTEXT($I$9),"",5)</f>
        <v>5</v>
      </c>
      <c r="V9" s="27" t="str">
        <f>IFERROR(INDEX($H$5:$H$19,SMALL($U$5:$U$19,ROW(#REF!)),1),"")</f>
        <v/>
      </c>
      <c r="W9" s="27" t="str">
        <f>IFERROR(INDEX($I$5:$I$19,SMALL($U$5:$U$19,ROW(#REF!)),1),"")</f>
        <v/>
      </c>
      <c r="X9" s="27"/>
      <c r="Y9" s="27"/>
      <c r="Z9" s="19" t="s">
        <v>60</v>
      </c>
      <c r="AA9" s="42" t="str">
        <f>IFERROR(SLOPE($W$5:$W$19,$V$5:$V$19),"")</f>
        <v/>
      </c>
    </row>
    <row r="10" spans="1:30" x14ac:dyDescent="0.25">
      <c r="A10" s="28" t="s">
        <v>101</v>
      </c>
      <c r="B10" s="28" t="s">
        <v>9</v>
      </c>
      <c r="C10" s="28" t="s">
        <v>10</v>
      </c>
      <c r="D10" s="28">
        <v>74580</v>
      </c>
      <c r="E10" s="28">
        <v>1679000</v>
      </c>
      <c r="F10" s="28">
        <v>4.4429999999999997E-2</v>
      </c>
      <c r="G10" s="28">
        <f>($F$10 -  AVERAGE($F$2,$F$3,$F$4) ) / ($F$19 -  AVERAGE($F$2,$F$3,$F$4) ) * 100</f>
        <v>52.086853402853585</v>
      </c>
      <c r="H10" s="28">
        <v>60</v>
      </c>
      <c r="I10" s="31">
        <f>LN($G$10)</f>
        <v>3.9529125829994043</v>
      </c>
      <c r="J10" s="30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>
        <f>IF(ISTEXT($I$10),"",6)</f>
        <v>6</v>
      </c>
      <c r="V10" s="28" t="str">
        <f>IFERROR(INDEX($H$5:$H$19,SMALL($U$5:$U$19,ROW(#REF!)),1),"")</f>
        <v/>
      </c>
      <c r="W10" s="28" t="str">
        <f>IFERROR(INDEX($I$5:$I$19,SMALL($U$5:$U$19,ROW(#REF!)),1),"")</f>
        <v/>
      </c>
      <c r="X10" s="28"/>
      <c r="Y10" s="28"/>
      <c r="Z10" s="21" t="s">
        <v>61</v>
      </c>
      <c r="AA10" s="22" t="str">
        <f>IFERROR(INTERCEPT($W$5:$W$19,$V$5:$V$19),"")</f>
        <v/>
      </c>
    </row>
    <row r="11" spans="1:30" ht="17.25" x14ac:dyDescent="0.25">
      <c r="A11" s="27" t="s">
        <v>102</v>
      </c>
      <c r="B11" s="27" t="s">
        <v>9</v>
      </c>
      <c r="C11" s="27" t="s">
        <v>10</v>
      </c>
      <c r="D11" s="27">
        <v>103500</v>
      </c>
      <c r="E11" s="27">
        <v>1382000</v>
      </c>
      <c r="F11" s="27">
        <v>7.4889999999999998E-2</v>
      </c>
      <c r="G11" s="27">
        <f>($F$11 -  AVERAGE($F$2,$F$3,$F$4) ) / ($F$17 -  AVERAGE($F$2,$F$3,$F$4) ) * 100</f>
        <v>102.89159826983729</v>
      </c>
      <c r="H11" s="27">
        <v>30</v>
      </c>
      <c r="I11" s="32">
        <f>LN($G$11)</f>
        <v>4.6336759900394231</v>
      </c>
      <c r="J11" s="29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>
        <f>IF(ISTEXT($I$11),"",7)</f>
        <v>7</v>
      </c>
      <c r="V11" s="27" t="str">
        <f>IFERROR(INDEX($H$5:$H$19,SMALL($U$5:$U$19,ROW(#REF!)),1),"")</f>
        <v/>
      </c>
      <c r="W11" s="27" t="str">
        <f>IFERROR(INDEX($I$5:$I$19,SMALL($U$5:$U$19,ROW(#REF!)),1),"")</f>
        <v/>
      </c>
      <c r="X11" s="27"/>
      <c r="Y11" s="27"/>
      <c r="Z11" s="21" t="s">
        <v>62</v>
      </c>
      <c r="AA11" s="23" t="str">
        <f>IFERROR(CORREL($W$5:$W$19,$V$5:$V$19)^2,"")</f>
        <v/>
      </c>
    </row>
    <row r="12" spans="1:30" ht="18" x14ac:dyDescent="0.35">
      <c r="A12" s="28" t="s">
        <v>103</v>
      </c>
      <c r="B12" s="28" t="s">
        <v>9</v>
      </c>
      <c r="C12" s="28" t="s">
        <v>10</v>
      </c>
      <c r="D12" s="28">
        <v>125700</v>
      </c>
      <c r="E12" s="28">
        <v>1706000</v>
      </c>
      <c r="F12" s="28">
        <v>7.3679999999999995E-2</v>
      </c>
      <c r="G12" s="28">
        <f>($F$12 -  AVERAGE($F$2,$F$3,$F$4) ) / ($F$18 -  AVERAGE($F$2,$F$3,$F$4) ) * 100</f>
        <v>68.194892353257913</v>
      </c>
      <c r="H12" s="28">
        <v>30</v>
      </c>
      <c r="I12" s="31">
        <f>LN($G$12)</f>
        <v>4.2223696698638884</v>
      </c>
      <c r="J12" s="30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>
        <f>IF(ISTEXT($I$12),"",8)</f>
        <v>8</v>
      </c>
      <c r="V12" s="28" t="str">
        <f>IFERROR(INDEX($H$5:$H$19,SMALL($U$5:$U$19,ROW(#REF!)),1),"")</f>
        <v/>
      </c>
      <c r="W12" s="28" t="str">
        <f>IFERROR(INDEX($I$5:$I$19,SMALL($U$5:$U$19,ROW(#REF!)),1),"")</f>
        <v/>
      </c>
      <c r="X12" s="28"/>
      <c r="Y12" s="28"/>
      <c r="Z12" s="21" t="s">
        <v>63</v>
      </c>
      <c r="AA12" s="24" t="str">
        <f>IF(AA9&gt;0,"",IFERROR(LN(2) /ABS(AA9),0))</f>
        <v/>
      </c>
    </row>
    <row r="13" spans="1:30" ht="18.75" x14ac:dyDescent="0.35">
      <c r="A13" s="27" t="s">
        <v>104</v>
      </c>
      <c r="B13" s="27" t="s">
        <v>9</v>
      </c>
      <c r="C13" s="27" t="s">
        <v>10</v>
      </c>
      <c r="D13" s="27">
        <v>111300</v>
      </c>
      <c r="E13" s="27">
        <v>1374000</v>
      </c>
      <c r="F13" s="27">
        <v>8.0960000000000004E-2</v>
      </c>
      <c r="G13" s="27">
        <f>($F$13 -  AVERAGE($F$2,$F$3,$F$4) ) / ($F$19 -  AVERAGE($F$2,$F$3,$F$4) ) * 100</f>
        <v>95.42102634649703</v>
      </c>
      <c r="H13" s="27">
        <v>30</v>
      </c>
      <c r="I13" s="32">
        <f>LN($G$13)</f>
        <v>4.5582989561241938</v>
      </c>
      <c r="J13" s="29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>
        <f>IF(ISTEXT($I$13),"",9)</f>
        <v>9</v>
      </c>
      <c r="V13" s="27" t="str">
        <f>IFERROR(INDEX($H$5:$H$19,SMALL($U$5:$U$19,ROW(#REF!)),1),"")</f>
        <v/>
      </c>
      <c r="W13" s="27" t="str">
        <f>IFERROR(INDEX($I$5:$I$19,SMALL($U$5:$U$19,ROW(#REF!)),1),"")</f>
        <v/>
      </c>
      <c r="X13" s="27"/>
      <c r="Y13" s="27"/>
      <c r="Z13" s="21" t="s">
        <v>64</v>
      </c>
      <c r="AA13" s="24">
        <f>IF(AA9&gt;0,0,IFERROR(ABS(AA9 * 1000 / 0.5),0))</f>
        <v>0</v>
      </c>
    </row>
    <row r="14" spans="1:30" ht="15.75" thickBot="1" x14ac:dyDescent="0.3">
      <c r="A14" s="28" t="s">
        <v>105</v>
      </c>
      <c r="B14" s="28" t="s">
        <v>9</v>
      </c>
      <c r="C14" s="28" t="s">
        <v>10</v>
      </c>
      <c r="D14" s="28">
        <v>118000</v>
      </c>
      <c r="E14" s="28">
        <v>1692000</v>
      </c>
      <c r="F14" s="28">
        <v>6.9699999999999998E-2</v>
      </c>
      <c r="G14" s="28">
        <f>($F$14 -  AVERAGE($F$2,$F$3,$F$4) ) / ($F$17 -  AVERAGE($F$2,$F$3,$F$4) ) * 100</f>
        <v>95.711026489714996</v>
      </c>
      <c r="H14" s="28">
        <v>15</v>
      </c>
      <c r="I14" s="31">
        <f>LN($G$14)</f>
        <v>4.5613335111499369</v>
      </c>
      <c r="J14" s="30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>
        <f>IF(ISTEXT($I$14),"",10)</f>
        <v>10</v>
      </c>
      <c r="V14" s="28" t="str">
        <f>IFERROR(INDEX($H$5:$H$19,SMALL($U$5:$U$19,ROW(#REF!)),1),"")</f>
        <v/>
      </c>
      <c r="W14" s="28" t="str">
        <f>IFERROR(INDEX($I$5:$I$19,SMALL($U$5:$U$19,ROW(#REF!)),1),"")</f>
        <v/>
      </c>
      <c r="X14" s="28"/>
      <c r="Y14" s="28"/>
      <c r="Z14" s="25" t="s">
        <v>48</v>
      </c>
      <c r="AA14" s="26" t="s">
        <v>65</v>
      </c>
    </row>
    <row r="15" spans="1:30" x14ac:dyDescent="0.25">
      <c r="A15" s="27" t="s">
        <v>106</v>
      </c>
      <c r="B15" s="27" t="s">
        <v>9</v>
      </c>
      <c r="C15" s="27" t="s">
        <v>10</v>
      </c>
      <c r="D15" s="27">
        <v>113500</v>
      </c>
      <c r="E15" s="27">
        <v>1609000</v>
      </c>
      <c r="F15" s="27">
        <v>7.0559999999999998E-2</v>
      </c>
      <c r="G15" s="27">
        <f>($F$15 -  AVERAGE($F$2,$F$3,$F$4) ) / ($F$18 -  AVERAGE($F$2,$F$3,$F$4) ) * 100</f>
        <v>65.286570669265103</v>
      </c>
      <c r="H15" s="27">
        <v>15</v>
      </c>
      <c r="I15" s="32">
        <f>LN($G$15)</f>
        <v>4.1787863592251897</v>
      </c>
      <c r="J15" s="29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f>IF(ISTEXT($I$15),"",11)</f>
        <v>11</v>
      </c>
      <c r="V15" s="27" t="str">
        <f>IFERROR(INDEX($H$5:$H$19,SMALL($U$5:$U$19,ROW(#REF!)),1),"")</f>
        <v/>
      </c>
      <c r="W15" s="27" t="str">
        <f>IFERROR(INDEX($I$5:$I$19,SMALL($U$5:$U$19,ROW(#REF!)),1),"")</f>
        <v/>
      </c>
      <c r="X15" s="27"/>
      <c r="Y15" s="27"/>
    </row>
    <row r="16" spans="1:30" x14ac:dyDescent="0.25">
      <c r="A16" s="28" t="s">
        <v>107</v>
      </c>
      <c r="B16" s="28" t="s">
        <v>9</v>
      </c>
      <c r="C16" s="28" t="s">
        <v>10</v>
      </c>
      <c r="D16" s="28">
        <v>124100</v>
      </c>
      <c r="E16" s="28">
        <v>1846000</v>
      </c>
      <c r="F16" s="28">
        <v>6.7220000000000002E-2</v>
      </c>
      <c r="G16" s="28">
        <f>($F$16 -  AVERAGE($F$2,$F$3,$F$4) ) / ($F$19 -  AVERAGE($F$2,$F$3,$F$4) ) * 100</f>
        <v>79.121778160193685</v>
      </c>
      <c r="H16" s="28">
        <v>15</v>
      </c>
      <c r="I16" s="31">
        <f>LN($G$16)</f>
        <v>4.3709881612807431</v>
      </c>
      <c r="J16" s="30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>
        <f>IF(ISTEXT($I$16),"",12)</f>
        <v>12</v>
      </c>
      <c r="V16" s="28" t="str">
        <f>IFERROR(INDEX($H$5:$H$19,SMALL($U$5:$U$19,ROW(#REF!)),1),"")</f>
        <v/>
      </c>
      <c r="W16" s="28" t="str">
        <f>IFERROR(INDEX($I$5:$I$19,SMALL($U$5:$U$19,ROW(#REF!)),1),"")</f>
        <v/>
      </c>
      <c r="X16" s="28"/>
      <c r="Y16" s="28"/>
    </row>
    <row r="17" spans="1:25" x14ac:dyDescent="0.25">
      <c r="A17" s="27" t="s">
        <v>108</v>
      </c>
      <c r="B17" s="27" t="s">
        <v>9</v>
      </c>
      <c r="C17" s="27" t="s">
        <v>10</v>
      </c>
      <c r="D17" s="27">
        <v>118000</v>
      </c>
      <c r="E17" s="27">
        <v>1620000</v>
      </c>
      <c r="F17" s="27">
        <v>7.2800000000000004E-2</v>
      </c>
      <c r="G17" s="27">
        <f>($F$17 -  AVERAGE($F$2,$F$3,$F$4) ) / ($F$17 -  AVERAGE($F$2,$F$3,$F$4) ) * 100</f>
        <v>100</v>
      </c>
      <c r="H17" s="27">
        <v>0</v>
      </c>
      <c r="I17" s="32">
        <f>LN($G$17)</f>
        <v>4.6051701859880918</v>
      </c>
      <c r="J17" s="29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f>IF(ISTEXT($I$17),"",13)</f>
        <v>13</v>
      </c>
      <c r="V17" s="27" t="str">
        <f>IFERROR(INDEX($H$5:$H$19,SMALL($U$5:$U$19,ROW(#REF!)),1),"")</f>
        <v/>
      </c>
      <c r="W17" s="27" t="str">
        <f>IFERROR(INDEX($I$5:$I$19,SMALL($U$5:$U$19,ROW(#REF!)),1),"")</f>
        <v/>
      </c>
      <c r="X17" s="27"/>
      <c r="Y17" s="27"/>
    </row>
    <row r="18" spans="1:25" x14ac:dyDescent="0.25">
      <c r="A18" s="28" t="s">
        <v>109</v>
      </c>
      <c r="B18" s="28" t="s">
        <v>9</v>
      </c>
      <c r="C18" s="28" t="s">
        <v>10</v>
      </c>
      <c r="D18" s="28">
        <v>150100</v>
      </c>
      <c r="E18" s="28">
        <v>1393000</v>
      </c>
      <c r="F18" s="28">
        <v>0.10780000000000001</v>
      </c>
      <c r="G18" s="28">
        <f>($F$18 -  AVERAGE($F$2,$F$3,$F$4) ) / ($F$18 -  AVERAGE($F$2,$F$3,$F$4) ) * 100</f>
        <v>100</v>
      </c>
      <c r="H18" s="28">
        <v>0</v>
      </c>
      <c r="I18" s="31">
        <f>LN($G$18)</f>
        <v>4.6051701859880918</v>
      </c>
      <c r="J18" s="30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>
        <f>IF(ISTEXT($I$18),"",14)</f>
        <v>14</v>
      </c>
      <c r="V18" s="28" t="str">
        <f>IFERROR(INDEX($H$5:$H$19,SMALL($U$5:$U$19,ROW(#REF!)),1),"")</f>
        <v/>
      </c>
      <c r="W18" s="28" t="str">
        <f>IFERROR(INDEX($I$5:$I$19,SMALL($U$5:$U$19,ROW(#REF!)),1),"")</f>
        <v/>
      </c>
      <c r="X18" s="28"/>
      <c r="Y18" s="28"/>
    </row>
    <row r="19" spans="1:25" x14ac:dyDescent="0.25">
      <c r="A19" s="27" t="s">
        <v>110</v>
      </c>
      <c r="B19" s="27" t="s">
        <v>9</v>
      </c>
      <c r="C19" s="27" t="s">
        <v>10</v>
      </c>
      <c r="D19" s="27">
        <v>145300</v>
      </c>
      <c r="E19" s="27">
        <v>1712000</v>
      </c>
      <c r="F19" s="27">
        <v>8.4820000000000007E-2</v>
      </c>
      <c r="G19" s="27">
        <f>($F$19 -  AVERAGE($F$2,$F$3,$F$4) ) / ($F$19 -  AVERAGE($F$2,$F$3,$F$4) ) * 100</f>
        <v>100</v>
      </c>
      <c r="H19" s="27">
        <v>0</v>
      </c>
      <c r="I19" s="32">
        <f>LN($G$19)</f>
        <v>4.6051701859880918</v>
      </c>
      <c r="J19" s="29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f>IF(ISTEXT($I$19),"",15)</f>
        <v>15</v>
      </c>
      <c r="V19" s="27" t="str">
        <f>IFERROR(INDEX($H$5:$H$19,SMALL($U$5:$U$19,ROW(#REF!)),1),"")</f>
        <v/>
      </c>
      <c r="W19" s="27" t="str">
        <f>IFERROR(INDEX($I$5:$I$19,SMALL($U$5:$U$19,ROW(#REF!)),1),"")</f>
        <v/>
      </c>
      <c r="X19" s="27"/>
      <c r="Y19" s="27"/>
    </row>
    <row r="20" spans="1:25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30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</sheetData>
  <conditionalFormatting sqref="I5">
    <cfRule type="expression" dxfId="104" priority="160">
      <formula>ISTEXT($I$5)</formula>
    </cfRule>
  </conditionalFormatting>
  <conditionalFormatting sqref="I6">
    <cfRule type="expression" dxfId="103" priority="159">
      <formula>ISTEXT($I$6)</formula>
    </cfRule>
  </conditionalFormatting>
  <conditionalFormatting sqref="I7">
    <cfRule type="expression" dxfId="102" priority="158">
      <formula>ISTEXT($I$7)</formula>
    </cfRule>
  </conditionalFormatting>
  <conditionalFormatting sqref="I8">
    <cfRule type="expression" dxfId="101" priority="157">
      <formula>ISTEXT($I$8)</formula>
    </cfRule>
  </conditionalFormatting>
  <conditionalFormatting sqref="I9">
    <cfRule type="expression" dxfId="100" priority="156">
      <formula>ISTEXT($I$9)</formula>
    </cfRule>
  </conditionalFormatting>
  <conditionalFormatting sqref="I10">
    <cfRule type="expression" dxfId="99" priority="155">
      <formula>ISTEXT($I$10)</formula>
    </cfRule>
  </conditionalFormatting>
  <conditionalFormatting sqref="I11">
    <cfRule type="expression" dxfId="98" priority="154">
      <formula>ISTEXT($I$11)</formula>
    </cfRule>
  </conditionalFormatting>
  <conditionalFormatting sqref="I12">
    <cfRule type="expression" dxfId="97" priority="153">
      <formula>ISTEXT($I$12)</formula>
    </cfRule>
  </conditionalFormatting>
  <conditionalFormatting sqref="I13">
    <cfRule type="expression" dxfId="96" priority="152">
      <formula>ISTEXT($I$13)</formula>
    </cfRule>
  </conditionalFormatting>
  <conditionalFormatting sqref="I14">
    <cfRule type="expression" dxfId="95" priority="151">
      <formula>ISTEXT($I$14)</formula>
    </cfRule>
  </conditionalFormatting>
  <conditionalFormatting sqref="I15">
    <cfRule type="expression" dxfId="94" priority="150">
      <formula>ISTEXT($I$15)</formula>
    </cfRule>
  </conditionalFormatting>
  <conditionalFormatting sqref="I16">
    <cfRule type="expression" dxfId="93" priority="149">
      <formula>ISTEXT($I$16)</formula>
    </cfRule>
  </conditionalFormatting>
  <conditionalFormatting sqref="I17">
    <cfRule type="expression" dxfId="92" priority="148">
      <formula>ISTEXT($I$17)</formula>
    </cfRule>
  </conditionalFormatting>
  <conditionalFormatting sqref="I18">
    <cfRule type="expression" dxfId="91" priority="147">
      <formula>ISTEXT($I$18)</formula>
    </cfRule>
  </conditionalFormatting>
  <conditionalFormatting sqref="I19">
    <cfRule type="expression" dxfId="90" priority="146">
      <formula>ISTEXT($I$19)</formula>
    </cfRule>
  </conditionalFormatting>
  <conditionalFormatting sqref="AA3">
    <cfRule type="expression" dxfId="89" priority="80">
      <formula>ISTEXT($AA$3)</formula>
    </cfRule>
  </conditionalFormatting>
  <conditionalFormatting sqref="AB3">
    <cfRule type="expression" dxfId="88" priority="79">
      <formula>ISTEXT($AB$3)</formula>
    </cfRule>
  </conditionalFormatting>
  <conditionalFormatting sqref="AC3">
    <cfRule type="expression" dxfId="87" priority="78">
      <formula>ISTEXT($AC$3)</formula>
    </cfRule>
  </conditionalFormatting>
  <conditionalFormatting sqref="AD3">
    <cfRule type="expression" dxfId="86" priority="77">
      <formula>ISTEXT($AD$3)</formula>
    </cfRule>
  </conditionalFormatting>
  <conditionalFormatting sqref="AA4">
    <cfRule type="expression" dxfId="85" priority="76">
      <formula>ISTEXT($AA$4)</formula>
    </cfRule>
  </conditionalFormatting>
  <conditionalFormatting sqref="AB4">
    <cfRule type="expression" dxfId="84" priority="75">
      <formula>ISTEXT($AB$4)</formula>
    </cfRule>
  </conditionalFormatting>
  <conditionalFormatting sqref="AC4">
    <cfRule type="expression" dxfId="83" priority="74">
      <formula>ISTEXT($AC$4)</formula>
    </cfRule>
  </conditionalFormatting>
  <conditionalFormatting sqref="AD4">
    <cfRule type="expression" dxfId="82" priority="73">
      <formula>ISTEXT($AD$4)</formula>
    </cfRule>
  </conditionalFormatting>
  <conditionalFormatting sqref="AA5">
    <cfRule type="expression" dxfId="81" priority="72">
      <formula>ISTEXT($AA$5)</formula>
    </cfRule>
  </conditionalFormatting>
  <conditionalFormatting sqref="AB5">
    <cfRule type="expression" dxfId="80" priority="71">
      <formula>ISTEXT($AB$5)</formula>
    </cfRule>
  </conditionalFormatting>
  <conditionalFormatting sqref="AC5">
    <cfRule type="expression" dxfId="79" priority="70">
      <formula>ISTEXT($AC$5)</formula>
    </cfRule>
  </conditionalFormatting>
  <conditionalFormatting sqref="AD5">
    <cfRule type="expression" dxfId="78" priority="69">
      <formula>ISTEXT($AD$5)</formula>
    </cfRule>
  </conditionalFormatting>
  <conditionalFormatting sqref="AA6">
    <cfRule type="expression" dxfId="77" priority="68">
      <formula>ISTEXT($AA$6)</formula>
    </cfRule>
  </conditionalFormatting>
  <conditionalFormatting sqref="AB6">
    <cfRule type="expression" dxfId="76" priority="67">
      <formula>ISTEXT($AB$6)</formula>
    </cfRule>
  </conditionalFormatting>
  <conditionalFormatting sqref="AC6">
    <cfRule type="expression" dxfId="75" priority="66">
      <formula>ISTEXT($AC$6)</formula>
    </cfRule>
  </conditionalFormatting>
  <conditionalFormatting sqref="AD6">
    <cfRule type="expression" dxfId="74" priority="65">
      <formula>ISTEXT($AD$6)</formula>
    </cfRule>
  </conditionalFormatting>
  <conditionalFormatting sqref="AA7">
    <cfRule type="expression" dxfId="73" priority="64">
      <formula>ISTEXT($AA$7)</formula>
    </cfRule>
  </conditionalFormatting>
  <conditionalFormatting sqref="AB7">
    <cfRule type="expression" dxfId="72" priority="63">
      <formula>ISTEXT($AB$7)</formula>
    </cfRule>
  </conditionalFormatting>
  <conditionalFormatting sqref="AC7">
    <cfRule type="expression" dxfId="71" priority="62">
      <formula>ISTEXT($AC$7)</formula>
    </cfRule>
  </conditionalFormatting>
  <conditionalFormatting sqref="AD7">
    <cfRule type="expression" dxfId="70" priority="61">
      <formula>ISTEXT($AD$7)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A20" sqref="A2:XFD20"/>
    </sheetView>
  </sheetViews>
  <sheetFormatPr defaultRowHeight="15" x14ac:dyDescent="0.25"/>
  <cols>
    <col min="1" max="1" width="63.5703125" style="1" bestFit="1" customWidth="1"/>
    <col min="2" max="2" width="15.85546875" style="1" bestFit="1" customWidth="1"/>
    <col min="3" max="3" width="15.5703125" style="1" bestFit="1" customWidth="1"/>
    <col min="4" max="4" width="10" style="1" bestFit="1" customWidth="1"/>
    <col min="5" max="5" width="10.5703125" style="1" bestFit="1" customWidth="1"/>
    <col min="6" max="6" width="8.7109375" style="1" customWidth="1"/>
    <col min="7" max="7" width="12.42578125" style="1" bestFit="1" customWidth="1"/>
    <col min="8" max="8" width="11.5703125" style="1" bestFit="1" customWidth="1"/>
    <col min="9" max="9" width="14.7109375" style="1" bestFit="1" customWidth="1"/>
    <col min="10" max="10" width="8.7109375" style="8" customWidth="1"/>
    <col min="11" max="11" width="8.7109375" style="1" hidden="1" customWidth="1"/>
    <col min="12" max="17" width="8.7109375" style="1" customWidth="1"/>
    <col min="18" max="18" width="22.5703125" style="1" bestFit="1" customWidth="1"/>
    <col min="19" max="19" width="8.7109375" style="1" customWidth="1"/>
    <col min="20" max="25" width="8.7109375" style="1" hidden="1" customWidth="1"/>
    <col min="26" max="26" width="20.5703125" style="8" bestFit="1" customWidth="1"/>
    <col min="27" max="29" width="21" style="8" bestFit="1" customWidth="1"/>
    <col min="30" max="30" width="8.28515625" style="1" bestFit="1" customWidth="1"/>
    <col min="31" max="44" width="8.7109375" style="1" customWidth="1"/>
    <col min="45" max="16384" width="9.140625" style="1"/>
  </cols>
  <sheetData>
    <row r="1" spans="1:30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49</v>
      </c>
      <c r="H1" s="5" t="s">
        <v>50</v>
      </c>
      <c r="I1" s="5" t="s">
        <v>51</v>
      </c>
      <c r="J1" s="7"/>
      <c r="K1" s="5"/>
      <c r="R1" s="6" t="s">
        <v>53</v>
      </c>
      <c r="Z1" s="18" t="s">
        <v>52</v>
      </c>
    </row>
    <row r="2" spans="1:30" ht="16.5" thickTop="1" thickBot="1" x14ac:dyDescent="0.3">
      <c r="A2" s="28" t="s">
        <v>74</v>
      </c>
      <c r="B2" s="28" t="s">
        <v>77</v>
      </c>
      <c r="C2" s="28" t="s">
        <v>78</v>
      </c>
      <c r="D2" s="28">
        <v>426.75799999999998</v>
      </c>
      <c r="E2" s="28">
        <v>77608.710999999996</v>
      </c>
      <c r="F2" s="28">
        <v>5.4988420000000003E-3</v>
      </c>
      <c r="G2" s="28"/>
      <c r="H2" s="28"/>
      <c r="I2" s="28"/>
      <c r="J2" s="30"/>
      <c r="K2" s="28"/>
      <c r="L2" s="28"/>
      <c r="M2" s="28"/>
      <c r="N2" s="28"/>
      <c r="O2" s="28"/>
      <c r="P2" s="28"/>
      <c r="Q2" s="28"/>
      <c r="R2" s="28" t="s">
        <v>79</v>
      </c>
      <c r="S2" s="28"/>
      <c r="T2" s="28">
        <v>2</v>
      </c>
      <c r="U2" s="28"/>
      <c r="V2" s="28"/>
      <c r="W2" s="28"/>
      <c r="X2" s="28"/>
      <c r="Y2" s="28"/>
      <c r="Z2" s="9" t="s">
        <v>54</v>
      </c>
      <c r="AA2" s="9" t="s">
        <v>56</v>
      </c>
      <c r="AB2" s="9" t="s">
        <v>57</v>
      </c>
      <c r="AC2" s="9" t="s">
        <v>58</v>
      </c>
      <c r="AD2" s="9" t="s">
        <v>59</v>
      </c>
    </row>
    <row r="3" spans="1:30" ht="15.75" thickTop="1" x14ac:dyDescent="0.25">
      <c r="A3" s="27" t="s">
        <v>75</v>
      </c>
      <c r="B3" s="27" t="s">
        <v>77</v>
      </c>
      <c r="C3" s="27" t="s">
        <v>78</v>
      </c>
      <c r="D3" s="27">
        <v>109.444</v>
      </c>
      <c r="E3" s="27">
        <v>259.22199999999998</v>
      </c>
      <c r="F3" s="27">
        <v>0.42220181899999998</v>
      </c>
      <c r="G3" s="27"/>
      <c r="H3" s="27"/>
      <c r="I3" s="27"/>
      <c r="J3" s="29"/>
      <c r="K3" s="27"/>
      <c r="L3" s="27"/>
      <c r="M3" s="27"/>
      <c r="N3" s="27"/>
      <c r="O3" s="27"/>
      <c r="P3" s="27"/>
      <c r="Q3" s="27"/>
      <c r="R3" s="27" t="s">
        <v>54</v>
      </c>
      <c r="S3" s="27"/>
      <c r="T3" s="27">
        <v>24</v>
      </c>
      <c r="U3" s="27"/>
      <c r="V3" s="27"/>
      <c r="W3" s="27"/>
      <c r="X3" s="27"/>
      <c r="Y3" s="27"/>
      <c r="Z3" s="10">
        <f>$H$5</f>
        <v>120</v>
      </c>
      <c r="AA3" s="15" t="str">
        <f>IF(ISTEXT($I$5),TEXT($G$5/100,"0.00%"),$G$5 / 100)</f>
        <v>-89.02%</v>
      </c>
      <c r="AB3" s="15" t="str">
        <f>IF(ISTEXT($I$6),TEXT($G$6/100,"0.00%"),$G$6 / 100)</f>
        <v>-78.87%</v>
      </c>
      <c r="AC3" s="15" t="str">
        <f>IF(ISTEXT($I$7),TEXT($G$7/100,"0.00%"),$G$7 / 100)</f>
        <v>-86.83%</v>
      </c>
      <c r="AD3" s="15" t="str">
        <f>IFERROR(AVERAGE($AA$3:$AC$3),"")</f>
        <v/>
      </c>
    </row>
    <row r="4" spans="1:30" x14ac:dyDescent="0.25">
      <c r="A4" s="28" t="s">
        <v>76</v>
      </c>
      <c r="B4" s="28" t="s">
        <v>77</v>
      </c>
      <c r="C4" s="28" t="s">
        <v>78</v>
      </c>
      <c r="D4" s="28">
        <v>102.04600000000001</v>
      </c>
      <c r="E4" s="28">
        <v>282.71699999999998</v>
      </c>
      <c r="F4" s="28">
        <v>0.36094752000000002</v>
      </c>
      <c r="G4" s="28"/>
      <c r="H4" s="28"/>
      <c r="I4" s="28"/>
      <c r="J4" s="30"/>
      <c r="K4" s="28"/>
      <c r="L4" s="28"/>
      <c r="M4" s="28"/>
      <c r="N4" s="28"/>
      <c r="O4" s="28"/>
      <c r="P4" s="28"/>
      <c r="Q4" s="28"/>
      <c r="R4" s="28" t="s">
        <v>55</v>
      </c>
      <c r="S4" s="28"/>
      <c r="T4" s="28">
        <v>38</v>
      </c>
      <c r="U4" s="28"/>
      <c r="V4" s="28"/>
      <c r="W4" s="28"/>
      <c r="X4" s="28"/>
      <c r="Y4" s="28"/>
      <c r="Z4" s="10">
        <f>$H$8</f>
        <v>60</v>
      </c>
      <c r="AA4" s="15" t="str">
        <f>IF(ISTEXT($I$8),TEXT($G$8/100,"0.00%"),$G$8 / 100)</f>
        <v>-88.55%</v>
      </c>
      <c r="AB4" s="15" t="str">
        <f>IF(ISTEXT($I$9),TEXT($G$9/100,"0.00%"),$G$9 / 100)</f>
        <v>-78.42%</v>
      </c>
      <c r="AC4" s="15" t="str">
        <f>IF(ISTEXT($I$10),TEXT($G$10/100,"0.00%"),$G$10 / 100)</f>
        <v>-86.67%</v>
      </c>
      <c r="AD4" s="15" t="str">
        <f>IFERROR(AVERAGE($AA$4:$AC$4),"")</f>
        <v/>
      </c>
    </row>
    <row r="5" spans="1:30" x14ac:dyDescent="0.25">
      <c r="A5" s="27" t="s">
        <v>80</v>
      </c>
      <c r="B5" s="27" t="s">
        <v>77</v>
      </c>
      <c r="C5" s="27" t="s">
        <v>78</v>
      </c>
      <c r="D5" s="27">
        <v>31.960999999999999</v>
      </c>
      <c r="E5" s="27">
        <v>37539.059000000001</v>
      </c>
      <c r="F5" s="27">
        <v>8.5140699999999999E-4</v>
      </c>
      <c r="G5" s="27">
        <f>($F$5 -  AVERAGE($F$2,$F$3,$F$4) ) / ($F$17 -  AVERAGE($F$2,$F$3,$F$4) ) * 100</f>
        <v>-89.016583655375172</v>
      </c>
      <c r="H5" s="27">
        <v>120</v>
      </c>
      <c r="I5" s="27" t="str">
        <f t="shared" ref="I5:I16" si="0">TEXT("","0.00")</f>
        <v/>
      </c>
      <c r="J5" s="29"/>
      <c r="K5" s="27"/>
      <c r="L5" s="27"/>
      <c r="M5" s="27"/>
      <c r="N5" s="27"/>
      <c r="O5" s="27"/>
      <c r="P5" s="27"/>
      <c r="Q5" s="27"/>
      <c r="R5" s="27"/>
      <c r="S5" s="27"/>
      <c r="T5" s="27"/>
      <c r="U5" s="27" t="str">
        <f>IF(ISTEXT($I$5),"",1)</f>
        <v/>
      </c>
      <c r="V5" s="27">
        <f>IFERROR(INDEX($H$5:$H$19,SMALL($U$5:$U$19,ROW(W1)),1),"")</f>
        <v>0</v>
      </c>
      <c r="W5" s="27">
        <f>IFERROR(INDEX($I$5:$I$19,SMALL($U$5:$U$19,ROW(I1)),1),"")</f>
        <v>4.6051701859880918</v>
      </c>
      <c r="X5" s="27"/>
      <c r="Y5" s="27"/>
      <c r="Z5" s="10">
        <f>$H$11</f>
        <v>30</v>
      </c>
      <c r="AA5" s="15" t="str">
        <f>IF(ISTEXT($I$11),TEXT($G$11/100,"0.00%"),$G$11 / 100)</f>
        <v>-88.61%</v>
      </c>
      <c r="AB5" s="15" t="str">
        <f>IF(ISTEXT($I$12),TEXT($G$12/100,"0.00%"),$G$12 / 100)</f>
        <v>-78.72%</v>
      </c>
      <c r="AC5" s="15" t="str">
        <f>IF(ISTEXT($I$13),TEXT($G$13/100,"0.00%"),$G$13 / 100)</f>
        <v>-86.35%</v>
      </c>
      <c r="AD5" s="15" t="str">
        <f>IFERROR(AVERAGE($AA$5:$AC$5),"")</f>
        <v/>
      </c>
    </row>
    <row r="6" spans="1:30" x14ac:dyDescent="0.25">
      <c r="A6" s="28" t="s">
        <v>81</v>
      </c>
      <c r="B6" s="28" t="s">
        <v>77</v>
      </c>
      <c r="C6" s="28" t="s">
        <v>78</v>
      </c>
      <c r="D6" s="28">
        <v>14.962</v>
      </c>
      <c r="E6" s="28">
        <v>43359.214999999997</v>
      </c>
      <c r="F6" s="28">
        <v>3.4507100000000002E-4</v>
      </c>
      <c r="G6" s="28">
        <f>($F$6 -  AVERAGE($F$2,$F$3,$F$4) ) / ($F$18 -  AVERAGE($F$2,$F$3,$F$4) ) * 100</f>
        <v>-78.868759428158825</v>
      </c>
      <c r="H6" s="28">
        <v>120</v>
      </c>
      <c r="I6" s="28" t="str">
        <f t="shared" si="0"/>
        <v/>
      </c>
      <c r="J6" s="30"/>
      <c r="K6" s="28"/>
      <c r="L6" s="28"/>
      <c r="M6" s="28"/>
      <c r="N6" s="28"/>
      <c r="O6" s="28"/>
      <c r="P6" s="28"/>
      <c r="Q6" s="28"/>
      <c r="R6" s="28"/>
      <c r="S6" s="28"/>
      <c r="T6" s="28"/>
      <c r="U6" s="28" t="str">
        <f>IF(ISTEXT($I$6),"",2)</f>
        <v/>
      </c>
      <c r="V6" s="28" t="str">
        <f>IFERROR(INDEX($H$5:$H$19,SMALL($U$5:$U$19,ROW(#REF!)),1),"")</f>
        <v/>
      </c>
      <c r="W6" s="28" t="str">
        <f>IFERROR(INDEX($I$5:$I$19,SMALL($U$5:$U$19,ROW(#REF!)),1),"")</f>
        <v/>
      </c>
      <c r="X6" s="28"/>
      <c r="Y6" s="28"/>
      <c r="Z6" s="10">
        <f>$H$14</f>
        <v>15</v>
      </c>
      <c r="AA6" s="15" t="str">
        <f>IF(ISTEXT($I$14),TEXT($G$14/100,"0.00%"),$G$14 / 100)</f>
        <v>-86.28%</v>
      </c>
      <c r="AB6" s="15" t="str">
        <f>IF(ISTEXT($I$15),TEXT($G$15/100,"0.00%"),$G$15 / 100)</f>
        <v>-77.96%</v>
      </c>
      <c r="AC6" s="15" t="str">
        <f>IF(ISTEXT($I$16),TEXT($G$16/100,"0.00%"),$G$16 / 100)</f>
        <v>-85.31%</v>
      </c>
      <c r="AD6" s="15" t="str">
        <f>IFERROR(AVERAGE($AA$6:$AC$6),"")</f>
        <v/>
      </c>
    </row>
    <row r="7" spans="1:30" ht="15.75" thickBot="1" x14ac:dyDescent="0.3">
      <c r="A7" s="27" t="s">
        <v>82</v>
      </c>
      <c r="B7" s="27" t="s">
        <v>77</v>
      </c>
      <c r="C7" s="27" t="s">
        <v>78</v>
      </c>
      <c r="D7" s="27">
        <v>21.129000000000001</v>
      </c>
      <c r="E7" s="27">
        <v>42372.375</v>
      </c>
      <c r="F7" s="27">
        <v>4.9865E-4</v>
      </c>
      <c r="G7" s="27">
        <f>($F$7 -  AVERAGE($F$2,$F$3,$F$4) ) / ($F$19 -  AVERAGE($F$2,$F$3,$F$4) ) * 100</f>
        <v>-86.829989492503472</v>
      </c>
      <c r="H7" s="27">
        <v>120</v>
      </c>
      <c r="I7" s="27" t="str">
        <f t="shared" si="0"/>
        <v/>
      </c>
      <c r="J7" s="29"/>
      <c r="K7" s="27"/>
      <c r="L7" s="27"/>
      <c r="M7" s="27"/>
      <c r="N7" s="27"/>
      <c r="O7" s="27"/>
      <c r="P7" s="27"/>
      <c r="Q7" s="27"/>
      <c r="R7" s="27"/>
      <c r="S7" s="27"/>
      <c r="T7" s="27"/>
      <c r="U7" s="27" t="str">
        <f>IF(ISTEXT($I$7),"",3)</f>
        <v/>
      </c>
      <c r="V7" s="27" t="str">
        <f>IFERROR(INDEX($H$5:$H$19,SMALL($U$5:$U$19,ROW(#REF!)),1),"")</f>
        <v/>
      </c>
      <c r="W7" s="27" t="str">
        <f>IFERROR(INDEX($I$5:$I$19,SMALL($U$5:$U$19,ROW(#REF!)),1),"")</f>
        <v/>
      </c>
      <c r="X7" s="27"/>
      <c r="Y7" s="27"/>
      <c r="Z7" s="13">
        <f>$H$17</f>
        <v>0</v>
      </c>
      <c r="AA7" s="14">
        <f>IF(ISTEXT($I$17),TEXT($G$17/100,"0.00%"),$G$17 / 100)</f>
        <v>1</v>
      </c>
      <c r="AB7" s="14">
        <f>IF(ISTEXT($I$18),TEXT($G$18/100,"0.00%"),$G$18 / 100)</f>
        <v>1</v>
      </c>
      <c r="AC7" s="14">
        <f>IF(ISTEXT($I$19),TEXT($G$19/100,"0.00%"),$G$19 / 100)</f>
        <v>1</v>
      </c>
      <c r="AD7" s="14">
        <f>IFERROR(AVERAGE($AA$7:$AC$7),"")</f>
        <v>1</v>
      </c>
    </row>
    <row r="8" spans="1:30" ht="16.5" thickTop="1" thickBot="1" x14ac:dyDescent="0.3">
      <c r="A8" s="28" t="s">
        <v>83</v>
      </c>
      <c r="B8" s="28" t="s">
        <v>77</v>
      </c>
      <c r="C8" s="28" t="s">
        <v>78</v>
      </c>
      <c r="D8" s="28">
        <v>86.173000000000002</v>
      </c>
      <c r="E8" s="28">
        <v>38849.269999999997</v>
      </c>
      <c r="F8" s="28">
        <v>2.2181369999999998E-3</v>
      </c>
      <c r="G8" s="28">
        <f>($F$8 -  AVERAGE($F$2,$F$3,$F$4) ) / ($F$17 -  AVERAGE($F$2,$F$3,$F$4) ) * 100</f>
        <v>-88.552281771999901</v>
      </c>
      <c r="H8" s="28">
        <v>60</v>
      </c>
      <c r="I8" s="28" t="str">
        <f t="shared" si="0"/>
        <v/>
      </c>
      <c r="J8" s="30"/>
      <c r="K8" s="28"/>
      <c r="L8" s="28"/>
      <c r="M8" s="28"/>
      <c r="N8" s="28"/>
      <c r="O8" s="28"/>
      <c r="P8" s="28"/>
      <c r="Q8" s="28"/>
      <c r="R8" s="28"/>
      <c r="S8" s="28"/>
      <c r="T8" s="28"/>
      <c r="U8" s="28" t="str">
        <f>IF(ISTEXT($I$8),"",4)</f>
        <v/>
      </c>
      <c r="V8" s="28" t="str">
        <f>IFERROR(INDEX($H$5:$H$19,SMALL($U$5:$U$19,ROW(#REF!)),1),"")</f>
        <v/>
      </c>
      <c r="W8" s="28" t="str">
        <f>IFERROR(INDEX($I$5:$I$19,SMALL($U$5:$U$19,ROW(#REF!)),1),"")</f>
        <v/>
      </c>
      <c r="X8" s="28"/>
      <c r="Y8" s="28"/>
    </row>
    <row r="9" spans="1:30" x14ac:dyDescent="0.25">
      <c r="A9" s="27" t="s">
        <v>84</v>
      </c>
      <c r="B9" s="27" t="s">
        <v>77</v>
      </c>
      <c r="C9" s="27" t="s">
        <v>78</v>
      </c>
      <c r="D9" s="27">
        <v>78.716999999999999</v>
      </c>
      <c r="E9" s="27">
        <v>42607.055</v>
      </c>
      <c r="F9" s="27">
        <v>1.847511E-3</v>
      </c>
      <c r="G9" s="27">
        <f>($F$9 -  AVERAGE($F$2,$F$3,$F$4) ) / ($F$18 -  AVERAGE($F$2,$F$3,$F$4) ) * 100</f>
        <v>-78.417412445327344</v>
      </c>
      <c r="H9" s="27">
        <v>60</v>
      </c>
      <c r="I9" s="27" t="str">
        <f t="shared" si="0"/>
        <v/>
      </c>
      <c r="J9" s="29"/>
      <c r="K9" s="27"/>
      <c r="L9" s="27"/>
      <c r="M9" s="27"/>
      <c r="N9" s="27"/>
      <c r="O9" s="27"/>
      <c r="P9" s="27"/>
      <c r="Q9" s="27"/>
      <c r="R9" s="27"/>
      <c r="S9" s="27"/>
      <c r="T9" s="27"/>
      <c r="U9" s="27" t="str">
        <f>IF(ISTEXT($I$9),"",5)</f>
        <v/>
      </c>
      <c r="V9" s="27" t="str">
        <f>IFERROR(INDEX($H$5:$H$19,SMALL($U$5:$U$19,ROW(#REF!)),1),"")</f>
        <v/>
      </c>
      <c r="W9" s="27" t="str">
        <f>IFERROR(INDEX($I$5:$I$19,SMALL($U$5:$U$19,ROW(#REF!)),1),"")</f>
        <v/>
      </c>
      <c r="X9" s="27"/>
      <c r="Y9" s="27"/>
      <c r="Z9" s="19" t="s">
        <v>60</v>
      </c>
      <c r="AA9" s="45" t="str">
        <f>IFERROR(SLOPE($W$5:$W$19,$V$5:$V$19),"")</f>
        <v/>
      </c>
    </row>
    <row r="10" spans="1:30" x14ac:dyDescent="0.25">
      <c r="A10" s="28" t="s">
        <v>85</v>
      </c>
      <c r="B10" s="28" t="s">
        <v>77</v>
      </c>
      <c r="C10" s="28" t="s">
        <v>78</v>
      </c>
      <c r="D10" s="28">
        <v>39.262</v>
      </c>
      <c r="E10" s="28">
        <v>40345.203000000001</v>
      </c>
      <c r="F10" s="28">
        <v>9.7315200000000002E-4</v>
      </c>
      <c r="G10" s="28">
        <f>($F$10 -  AVERAGE($F$2,$F$3,$F$4) ) / ($F$19 -  AVERAGE($F$2,$F$3,$F$4) ) * 100</f>
        <v>-86.67296394375353</v>
      </c>
      <c r="H10" s="28">
        <v>60</v>
      </c>
      <c r="I10" s="28" t="str">
        <f t="shared" si="0"/>
        <v/>
      </c>
      <c r="J10" s="30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 t="str">
        <f>IF(ISTEXT($I$10),"",6)</f>
        <v/>
      </c>
      <c r="V10" s="28" t="str">
        <f>IFERROR(INDEX($H$5:$H$19,SMALL($U$5:$U$19,ROW(#REF!)),1),"")</f>
        <v/>
      </c>
      <c r="W10" s="28" t="str">
        <f>IFERROR(INDEX($I$5:$I$19,SMALL($U$5:$U$19,ROW(#REF!)),1),"")</f>
        <v/>
      </c>
      <c r="X10" s="28"/>
      <c r="Y10" s="28"/>
      <c r="Z10" s="21" t="s">
        <v>61</v>
      </c>
      <c r="AA10" s="43" t="str">
        <f>IFERROR(INTERCEPT($W$5:$W$19,$V$5:$V$19),"")</f>
        <v/>
      </c>
    </row>
    <row r="11" spans="1:30" ht="17.25" x14ac:dyDescent="0.25">
      <c r="A11" s="27" t="s">
        <v>86</v>
      </c>
      <c r="B11" s="27" t="s">
        <v>77</v>
      </c>
      <c r="C11" s="27" t="s">
        <v>78</v>
      </c>
      <c r="D11" s="27">
        <v>86.171999999999997</v>
      </c>
      <c r="E11" s="27">
        <v>42036.324000000001</v>
      </c>
      <c r="F11" s="27">
        <v>2.049941E-3</v>
      </c>
      <c r="G11" s="27">
        <f>($F$11 -  AVERAGE($F$2,$F$3,$F$4) ) / ($F$17 -  AVERAGE($F$2,$F$3,$F$4) ) * 100</f>
        <v>-88.609420870121838</v>
      </c>
      <c r="H11" s="27">
        <v>30</v>
      </c>
      <c r="I11" s="27" t="str">
        <f t="shared" si="0"/>
        <v/>
      </c>
      <c r="J11" s="29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 t="str">
        <f>IF(ISTEXT($I$11),"",7)</f>
        <v/>
      </c>
      <c r="V11" s="27" t="str">
        <f>IFERROR(INDEX($H$5:$H$19,SMALL($U$5:$U$19,ROW(#REF!)),1),"")</f>
        <v/>
      </c>
      <c r="W11" s="27" t="str">
        <f>IFERROR(INDEX($I$5:$I$19,SMALL($U$5:$U$19,ROW(#REF!)),1),"")</f>
        <v/>
      </c>
      <c r="X11" s="27"/>
      <c r="Y11" s="27"/>
      <c r="Z11" s="21" t="s">
        <v>62</v>
      </c>
      <c r="AA11" s="43" t="str">
        <f>IFERROR(CORREL($W$5:$W$19,$V$5:$V$19)^2,"")</f>
        <v/>
      </c>
    </row>
    <row r="12" spans="1:30" ht="18" x14ac:dyDescent="0.35">
      <c r="A12" s="28" t="s">
        <v>87</v>
      </c>
      <c r="B12" s="28" t="s">
        <v>77</v>
      </c>
      <c r="C12" s="28" t="s">
        <v>78</v>
      </c>
      <c r="D12" s="28">
        <v>34.831000000000003</v>
      </c>
      <c r="E12" s="28">
        <v>42007.324000000001</v>
      </c>
      <c r="F12" s="28">
        <v>8.2916499999999998E-4</v>
      </c>
      <c r="G12" s="28">
        <f>($F$12 -  AVERAGE($F$2,$F$3,$F$4) ) / ($F$18 -  AVERAGE($F$2,$F$3,$F$4) ) * 100</f>
        <v>-78.723333077484696</v>
      </c>
      <c r="H12" s="28">
        <v>30</v>
      </c>
      <c r="I12" s="28" t="str">
        <f t="shared" si="0"/>
        <v/>
      </c>
      <c r="J12" s="30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 t="str">
        <f>IF(ISTEXT($I$12),"",8)</f>
        <v/>
      </c>
      <c r="V12" s="28" t="str">
        <f>IFERROR(INDEX($H$5:$H$19,SMALL($U$5:$U$19,ROW(#REF!)),1),"")</f>
        <v/>
      </c>
      <c r="W12" s="28" t="str">
        <f>IFERROR(INDEX($I$5:$I$19,SMALL($U$5:$U$19,ROW(#REF!)),1),"")</f>
        <v/>
      </c>
      <c r="X12" s="28"/>
      <c r="Y12" s="28"/>
      <c r="Z12" s="21" t="s">
        <v>63</v>
      </c>
      <c r="AA12" s="43" t="str">
        <f>IF(AA9&gt;0," &gt;0",IFERROR(LN(2) /ABS(AA9),0))</f>
        <v xml:space="preserve"> &gt;0</v>
      </c>
    </row>
    <row r="13" spans="1:30" ht="18.75" x14ac:dyDescent="0.35">
      <c r="A13" s="27" t="s">
        <v>88</v>
      </c>
      <c r="B13" s="27" t="s">
        <v>77</v>
      </c>
      <c r="C13" s="27" t="s">
        <v>78</v>
      </c>
      <c r="D13" s="27">
        <v>74.224999999999994</v>
      </c>
      <c r="E13" s="27">
        <v>37952.457000000002</v>
      </c>
      <c r="F13" s="27">
        <v>1.955736E-3</v>
      </c>
      <c r="G13" s="27">
        <f>($F$13 -  AVERAGE($F$2,$F$3,$F$4) ) / ($F$19 -  AVERAGE($F$2,$F$3,$F$4) ) * 100</f>
        <v>-86.347800315796391</v>
      </c>
      <c r="H13" s="27">
        <v>30</v>
      </c>
      <c r="I13" s="27" t="str">
        <f t="shared" si="0"/>
        <v/>
      </c>
      <c r="J13" s="29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 t="str">
        <f>IF(ISTEXT($I$13),"",9)</f>
        <v/>
      </c>
      <c r="V13" s="27" t="str">
        <f>IFERROR(INDEX($H$5:$H$19,SMALL($U$5:$U$19,ROW(#REF!)),1),"")</f>
        <v/>
      </c>
      <c r="W13" s="27" t="str">
        <f>IFERROR(INDEX($I$5:$I$19,SMALL($U$5:$U$19,ROW(#REF!)),1),"")</f>
        <v/>
      </c>
      <c r="X13" s="27"/>
      <c r="Y13" s="27"/>
      <c r="Z13" s="21" t="s">
        <v>64</v>
      </c>
      <c r="AA13" s="24">
        <f>IF(AA9&gt;0,0,IFERROR(ABS(AA9 * 1000 / 0.5),0))</f>
        <v>0</v>
      </c>
    </row>
    <row r="14" spans="1:30" ht="15.75" thickBot="1" x14ac:dyDescent="0.3">
      <c r="A14" s="28" t="s">
        <v>89</v>
      </c>
      <c r="B14" s="28" t="s">
        <v>77</v>
      </c>
      <c r="C14" s="28" t="s">
        <v>78</v>
      </c>
      <c r="D14" s="28">
        <v>381.24299999999999</v>
      </c>
      <c r="E14" s="28">
        <v>42862.379000000001</v>
      </c>
      <c r="F14" s="28">
        <v>8.8945829999999993E-3</v>
      </c>
      <c r="G14" s="28">
        <f>($F$14 -  AVERAGE($F$2,$F$3,$F$4) ) / ($F$17 -  AVERAGE($F$2,$F$3,$F$4) ) * 100</f>
        <v>-86.28417728021779</v>
      </c>
      <c r="H14" s="28">
        <v>15</v>
      </c>
      <c r="I14" s="28" t="str">
        <f t="shared" si="0"/>
        <v/>
      </c>
      <c r="J14" s="30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 t="str">
        <f>IF(ISTEXT($I$14),"",10)</f>
        <v/>
      </c>
      <c r="V14" s="28" t="str">
        <f>IFERROR(INDEX($H$5:$H$19,SMALL($U$5:$U$19,ROW(#REF!)),1),"")</f>
        <v/>
      </c>
      <c r="W14" s="28" t="str">
        <f>IFERROR(INDEX($I$5:$I$19,SMALL($U$5:$U$19,ROW(#REF!)),1),"")</f>
        <v/>
      </c>
      <c r="X14" s="28"/>
      <c r="Y14" s="28"/>
      <c r="Z14" s="25" t="s">
        <v>48</v>
      </c>
      <c r="AA14" s="26" t="s">
        <v>65</v>
      </c>
    </row>
    <row r="15" spans="1:30" x14ac:dyDescent="0.25">
      <c r="A15" s="27" t="s">
        <v>90</v>
      </c>
      <c r="B15" s="27" t="s">
        <v>77</v>
      </c>
      <c r="C15" s="27" t="s">
        <v>78</v>
      </c>
      <c r="D15" s="27">
        <v>146.30199999999999</v>
      </c>
      <c r="E15" s="27">
        <v>43214.559000000001</v>
      </c>
      <c r="F15" s="27">
        <v>3.3854789999999998E-3</v>
      </c>
      <c r="G15" s="27">
        <f>($F$15 -  AVERAGE($F$2,$F$3,$F$4) ) / ($F$18 -  AVERAGE($F$2,$F$3,$F$4) ) * 100</f>
        <v>-77.955392520078206</v>
      </c>
      <c r="H15" s="27">
        <v>15</v>
      </c>
      <c r="I15" s="27" t="str">
        <f t="shared" si="0"/>
        <v/>
      </c>
      <c r="J15" s="29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 t="str">
        <f>IF(ISTEXT($I$15),"",11)</f>
        <v/>
      </c>
      <c r="V15" s="27" t="str">
        <f>IFERROR(INDEX($H$5:$H$19,SMALL($U$5:$U$19,ROW(#REF!)),1),"")</f>
        <v/>
      </c>
      <c r="W15" s="27" t="str">
        <f>IFERROR(INDEX($I$5:$I$19,SMALL($U$5:$U$19,ROW(#REF!)),1),"")</f>
        <v/>
      </c>
      <c r="X15" s="27"/>
      <c r="Y15" s="27"/>
    </row>
    <row r="16" spans="1:30" x14ac:dyDescent="0.25">
      <c r="A16" s="28" t="s">
        <v>91</v>
      </c>
      <c r="B16" s="28" t="s">
        <v>77</v>
      </c>
      <c r="C16" s="28" t="s">
        <v>78</v>
      </c>
      <c r="D16" s="28">
        <v>189.50700000000001</v>
      </c>
      <c r="E16" s="28">
        <v>37176.898000000001</v>
      </c>
      <c r="F16" s="28">
        <v>5.09744E-3</v>
      </c>
      <c r="G16" s="28">
        <f>($F$16 -  AVERAGE($F$2,$F$3,$F$4) ) / ($F$19 -  AVERAGE($F$2,$F$3,$F$4) ) * 100</f>
        <v>-85.308125468040458</v>
      </c>
      <c r="H16" s="28">
        <v>15</v>
      </c>
      <c r="I16" s="28" t="str">
        <f t="shared" si="0"/>
        <v/>
      </c>
      <c r="J16" s="30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 t="str">
        <f>IF(ISTEXT($I$16),"",12)</f>
        <v/>
      </c>
      <c r="V16" s="28" t="str">
        <f>IFERROR(INDEX($H$5:$H$19,SMALL($U$5:$U$19,ROW(#REF!)),1),"")</f>
        <v/>
      </c>
      <c r="W16" s="28" t="str">
        <f>IFERROR(INDEX($I$5:$I$19,SMALL($U$5:$U$19,ROW(#REF!)),1),"")</f>
        <v/>
      </c>
      <c r="X16" s="28"/>
      <c r="Y16" s="28"/>
    </row>
    <row r="17" spans="1:25" x14ac:dyDescent="0.25">
      <c r="A17" s="27" t="s">
        <v>92</v>
      </c>
      <c r="B17" s="27" t="s">
        <v>77</v>
      </c>
      <c r="C17" s="27" t="s">
        <v>78</v>
      </c>
      <c r="D17" s="27">
        <v>23790.603999999999</v>
      </c>
      <c r="E17" s="27">
        <v>42693.25</v>
      </c>
      <c r="F17" s="27">
        <v>0.55724509099999997</v>
      </c>
      <c r="G17" s="27">
        <f>($F$17 -  AVERAGE($F$2,$F$3,$F$4) ) / ($F$17 -  AVERAGE($F$2,$F$3,$F$4) ) * 100</f>
        <v>100</v>
      </c>
      <c r="H17" s="27">
        <v>0</v>
      </c>
      <c r="I17" s="32">
        <f>LN($G$17)</f>
        <v>4.6051701859880918</v>
      </c>
      <c r="J17" s="29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f>IF(ISTEXT($I$17),"",13)</f>
        <v>13</v>
      </c>
      <c r="V17" s="27" t="str">
        <f>IFERROR(INDEX($H$5:$H$19,SMALL($U$5:$U$19,ROW(#REF!)),1),"")</f>
        <v/>
      </c>
      <c r="W17" s="27" t="str">
        <f>IFERROR(INDEX($I$5:$I$19,SMALL($U$5:$U$19,ROW(#REF!)),1),"")</f>
        <v/>
      </c>
      <c r="X17" s="27"/>
      <c r="Y17" s="27"/>
    </row>
    <row r="18" spans="1:25" x14ac:dyDescent="0.25">
      <c r="A18" s="28" t="s">
        <v>93</v>
      </c>
      <c r="B18" s="28" t="s">
        <v>77</v>
      </c>
      <c r="C18" s="28" t="s">
        <v>78</v>
      </c>
      <c r="D18" s="28">
        <v>25077.363000000001</v>
      </c>
      <c r="E18" s="28">
        <v>42092.93</v>
      </c>
      <c r="F18" s="28">
        <v>0.59576187700000005</v>
      </c>
      <c r="G18" s="28">
        <f>($F$18 -  AVERAGE($F$2,$F$3,$F$4) ) / ($F$18 -  AVERAGE($F$2,$F$3,$F$4) ) * 100</f>
        <v>100</v>
      </c>
      <c r="H18" s="28">
        <v>0</v>
      </c>
      <c r="I18" s="31">
        <f>LN($G$18)</f>
        <v>4.6051701859880918</v>
      </c>
      <c r="J18" s="30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>
        <f>IF(ISTEXT($I$18),"",14)</f>
        <v>14</v>
      </c>
      <c r="V18" s="28" t="str">
        <f>IFERROR(INDEX($H$5:$H$19,SMALL($U$5:$U$19,ROW(#REF!)),1),"")</f>
        <v/>
      </c>
      <c r="W18" s="28" t="str">
        <f>IFERROR(INDEX($I$5:$I$19,SMALL($U$5:$U$19,ROW(#REF!)),1),"")</f>
        <v/>
      </c>
      <c r="X18" s="28"/>
      <c r="Y18" s="28"/>
    </row>
    <row r="19" spans="1:25" x14ac:dyDescent="0.25">
      <c r="A19" s="27" t="s">
        <v>94</v>
      </c>
      <c r="B19" s="27" t="s">
        <v>77</v>
      </c>
      <c r="C19" s="27" t="s">
        <v>78</v>
      </c>
      <c r="D19" s="27">
        <v>18780.585999999999</v>
      </c>
      <c r="E19" s="27">
        <v>33236.203000000001</v>
      </c>
      <c r="F19" s="27">
        <v>0.565064126</v>
      </c>
      <c r="G19" s="27">
        <f>($F$19 -  AVERAGE($F$2,$F$3,$F$4) ) / ($F$19 -  AVERAGE($F$2,$F$3,$F$4) ) * 100</f>
        <v>100</v>
      </c>
      <c r="H19" s="27">
        <v>0</v>
      </c>
      <c r="I19" s="32">
        <f>LN($G$19)</f>
        <v>4.6051701859880918</v>
      </c>
      <c r="J19" s="29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f>IF(ISTEXT($I$19),"",15)</f>
        <v>15</v>
      </c>
      <c r="V19" s="27" t="str">
        <f>IFERROR(INDEX($H$5:$H$19,SMALL($U$5:$U$19,ROW(#REF!)),1),"")</f>
        <v/>
      </c>
      <c r="W19" s="27" t="str">
        <f>IFERROR(INDEX($I$5:$I$19,SMALL($U$5:$U$19,ROW(#REF!)),1),"")</f>
        <v/>
      </c>
      <c r="X19" s="27"/>
      <c r="Y19" s="27"/>
    </row>
  </sheetData>
  <conditionalFormatting sqref="I5">
    <cfRule type="expression" dxfId="69" priority="55">
      <formula>ISTEXT($I$5)</formula>
    </cfRule>
  </conditionalFormatting>
  <conditionalFormatting sqref="I6">
    <cfRule type="expression" dxfId="68" priority="54">
      <formula>ISTEXT($I$6)</formula>
    </cfRule>
  </conditionalFormatting>
  <conditionalFormatting sqref="I7">
    <cfRule type="expression" dxfId="67" priority="53">
      <formula>ISTEXT($I$7)</formula>
    </cfRule>
  </conditionalFormatting>
  <conditionalFormatting sqref="I8">
    <cfRule type="expression" dxfId="66" priority="52">
      <formula>ISTEXT($I$8)</formula>
    </cfRule>
  </conditionalFormatting>
  <conditionalFormatting sqref="I9">
    <cfRule type="expression" dxfId="65" priority="51">
      <formula>ISTEXT($I$9)</formula>
    </cfRule>
  </conditionalFormatting>
  <conditionalFormatting sqref="I10">
    <cfRule type="expression" dxfId="64" priority="50">
      <formula>ISTEXT($I$10)</formula>
    </cfRule>
  </conditionalFormatting>
  <conditionalFormatting sqref="I11">
    <cfRule type="expression" dxfId="63" priority="49">
      <formula>ISTEXT($I$11)</formula>
    </cfRule>
  </conditionalFormatting>
  <conditionalFormatting sqref="I12">
    <cfRule type="expression" dxfId="62" priority="48">
      <formula>ISTEXT($I$12)</formula>
    </cfRule>
  </conditionalFormatting>
  <conditionalFormatting sqref="I13">
    <cfRule type="expression" dxfId="61" priority="47">
      <formula>ISTEXT($I$13)</formula>
    </cfRule>
  </conditionalFormatting>
  <conditionalFormatting sqref="I14">
    <cfRule type="expression" dxfId="60" priority="46">
      <formula>ISTEXT($I$14)</formula>
    </cfRule>
  </conditionalFormatting>
  <conditionalFormatting sqref="I15">
    <cfRule type="expression" dxfId="59" priority="45">
      <formula>ISTEXT($I$15)</formula>
    </cfRule>
  </conditionalFormatting>
  <conditionalFormatting sqref="I16">
    <cfRule type="expression" dxfId="58" priority="44">
      <formula>ISTEXT($I$16)</formula>
    </cfRule>
  </conditionalFormatting>
  <conditionalFormatting sqref="I17">
    <cfRule type="expression" dxfId="57" priority="43">
      <formula>ISTEXT($I$17)</formula>
    </cfRule>
  </conditionalFormatting>
  <conditionalFormatting sqref="I18">
    <cfRule type="expression" dxfId="56" priority="42">
      <formula>ISTEXT($I$18)</formula>
    </cfRule>
  </conditionalFormatting>
  <conditionalFormatting sqref="I19">
    <cfRule type="expression" dxfId="55" priority="41">
      <formula>ISTEXT($I$19)</formula>
    </cfRule>
  </conditionalFormatting>
  <conditionalFormatting sqref="AA3">
    <cfRule type="expression" dxfId="54" priority="20">
      <formula>ISTEXT($AA$3)</formula>
    </cfRule>
  </conditionalFormatting>
  <conditionalFormatting sqref="AB3">
    <cfRule type="expression" dxfId="53" priority="19">
      <formula>ISTEXT($AB$3)</formula>
    </cfRule>
  </conditionalFormatting>
  <conditionalFormatting sqref="AC3">
    <cfRule type="expression" dxfId="52" priority="18">
      <formula>ISTEXT($AC$3)</formula>
    </cfRule>
  </conditionalFormatting>
  <conditionalFormatting sqref="AD3">
    <cfRule type="expression" dxfId="51" priority="17">
      <formula>ISTEXT($AD$3)</formula>
    </cfRule>
  </conditionalFormatting>
  <conditionalFormatting sqref="AA4">
    <cfRule type="expression" dxfId="50" priority="16">
      <formula>ISTEXT($AA$4)</formula>
    </cfRule>
  </conditionalFormatting>
  <conditionalFormatting sqref="AB4">
    <cfRule type="expression" dxfId="49" priority="15">
      <formula>ISTEXT($AB$4)</formula>
    </cfRule>
  </conditionalFormatting>
  <conditionalFormatting sqref="AC4">
    <cfRule type="expression" dxfId="48" priority="14">
      <formula>ISTEXT($AC$4)</formula>
    </cfRule>
  </conditionalFormatting>
  <conditionalFormatting sqref="AD4">
    <cfRule type="expression" dxfId="47" priority="13">
      <formula>ISTEXT($AD$4)</formula>
    </cfRule>
  </conditionalFormatting>
  <conditionalFormatting sqref="AA5">
    <cfRule type="expression" dxfId="46" priority="12">
      <formula>ISTEXT($AA$5)</formula>
    </cfRule>
  </conditionalFormatting>
  <conditionalFormatting sqref="AB5">
    <cfRule type="expression" dxfId="45" priority="11">
      <formula>ISTEXT($AB$5)</formula>
    </cfRule>
  </conditionalFormatting>
  <conditionalFormatting sqref="AC5">
    <cfRule type="expression" dxfId="44" priority="10">
      <formula>ISTEXT($AC$5)</formula>
    </cfRule>
  </conditionalFormatting>
  <conditionalFormatting sqref="AD5">
    <cfRule type="expression" dxfId="43" priority="9">
      <formula>ISTEXT($AD$5)</formula>
    </cfRule>
  </conditionalFormatting>
  <conditionalFormatting sqref="AA6">
    <cfRule type="expression" dxfId="42" priority="8">
      <formula>ISTEXT($AA$6)</formula>
    </cfRule>
  </conditionalFormatting>
  <conditionalFormatting sqref="AB6">
    <cfRule type="expression" dxfId="41" priority="7">
      <formula>ISTEXT($AB$6)</formula>
    </cfRule>
  </conditionalFormatting>
  <conditionalFormatting sqref="AC6">
    <cfRule type="expression" dxfId="40" priority="6">
      <formula>ISTEXT($AC$6)</formula>
    </cfRule>
  </conditionalFormatting>
  <conditionalFormatting sqref="AD6">
    <cfRule type="expression" dxfId="39" priority="5">
      <formula>ISTEXT($AD$6)</formula>
    </cfRule>
  </conditionalFormatting>
  <conditionalFormatting sqref="AA7">
    <cfRule type="expression" dxfId="38" priority="4">
      <formula>ISTEXT($AA$7)</formula>
    </cfRule>
  </conditionalFormatting>
  <conditionalFormatting sqref="AB7">
    <cfRule type="expression" dxfId="37" priority="3">
      <formula>ISTEXT($AB$7)</formula>
    </cfRule>
  </conditionalFormatting>
  <conditionalFormatting sqref="AC7">
    <cfRule type="expression" dxfId="36" priority="2">
      <formula>ISTEXT($AC$7)</formula>
    </cfRule>
  </conditionalFormatting>
  <conditionalFormatting sqref="AD7">
    <cfRule type="expression" dxfId="35" priority="1">
      <formula>ISTEXT($AD$7)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opLeftCell="E1" workbookViewId="0">
      <selection activeCell="O28" sqref="O28"/>
    </sheetView>
  </sheetViews>
  <sheetFormatPr defaultRowHeight="15" x14ac:dyDescent="0.25"/>
  <cols>
    <col min="1" max="1" width="63.5703125" style="1" bestFit="1" customWidth="1"/>
    <col min="2" max="2" width="15.85546875" style="1" bestFit="1" customWidth="1"/>
    <col min="3" max="3" width="15.5703125" style="1" bestFit="1" customWidth="1"/>
    <col min="4" max="4" width="11" style="1" bestFit="1" customWidth="1"/>
    <col min="5" max="5" width="10.5703125" style="1" bestFit="1" customWidth="1"/>
    <col min="6" max="6" width="8.7109375" style="1" customWidth="1"/>
    <col min="7" max="7" width="12.42578125" style="1" bestFit="1" customWidth="1"/>
    <col min="8" max="8" width="11.5703125" style="1" bestFit="1" customWidth="1"/>
    <col min="9" max="9" width="14.7109375" style="1" bestFit="1" customWidth="1"/>
    <col min="10" max="10" width="8.7109375" style="8" customWidth="1"/>
    <col min="11" max="11" width="8.7109375" style="1" hidden="1" customWidth="1"/>
    <col min="12" max="17" width="8.7109375" style="1" customWidth="1"/>
    <col min="18" max="18" width="22.5703125" style="1" bestFit="1" customWidth="1"/>
    <col min="19" max="19" width="8.7109375" style="1" customWidth="1"/>
    <col min="20" max="25" width="8.7109375" style="1" hidden="1" customWidth="1"/>
    <col min="26" max="26" width="20.5703125" style="8" bestFit="1" customWidth="1"/>
    <col min="27" max="29" width="21" style="8" bestFit="1" customWidth="1"/>
    <col min="30" max="30" width="8.28515625" style="1" bestFit="1" customWidth="1"/>
    <col min="31" max="44" width="8.7109375" style="1" customWidth="1"/>
    <col min="45" max="16384" width="9.140625" style="1"/>
  </cols>
  <sheetData>
    <row r="1" spans="1:30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49</v>
      </c>
      <c r="H1" s="5" t="s">
        <v>50</v>
      </c>
      <c r="I1" s="5" t="s">
        <v>51</v>
      </c>
      <c r="J1" s="7"/>
      <c r="K1" s="5"/>
      <c r="R1" s="6" t="s">
        <v>53</v>
      </c>
      <c r="Z1" s="18" t="s">
        <v>52</v>
      </c>
    </row>
    <row r="2" spans="1:30" ht="16.5" thickTop="1" thickBot="1" x14ac:dyDescent="0.3">
      <c r="A2" s="28" t="s">
        <v>74</v>
      </c>
      <c r="B2" s="28" t="s">
        <v>77</v>
      </c>
      <c r="C2" s="28" t="s">
        <v>78</v>
      </c>
      <c r="D2" s="28">
        <v>426.75799999999998</v>
      </c>
      <c r="E2" s="28">
        <v>77608.710999999996</v>
      </c>
      <c r="F2" s="28">
        <v>5.4988414895848483E-3</v>
      </c>
      <c r="G2" s="28"/>
      <c r="H2" s="28"/>
      <c r="I2" s="28"/>
      <c r="J2" s="30"/>
      <c r="K2" s="28"/>
      <c r="L2" s="28"/>
      <c r="M2" s="28"/>
      <c r="N2" s="28"/>
      <c r="O2" s="28"/>
      <c r="P2" s="28"/>
      <c r="Q2" s="28"/>
      <c r="R2" s="28" t="s">
        <v>79</v>
      </c>
      <c r="S2" s="28"/>
      <c r="T2" s="28">
        <v>2</v>
      </c>
      <c r="U2" s="28"/>
      <c r="V2" s="28"/>
      <c r="W2" s="28"/>
      <c r="X2" s="28"/>
      <c r="Y2" s="28"/>
      <c r="Z2" s="9" t="s">
        <v>54</v>
      </c>
      <c r="AA2" s="9" t="s">
        <v>56</v>
      </c>
      <c r="AB2" s="9" t="s">
        <v>57</v>
      </c>
      <c r="AC2" s="9" t="s">
        <v>58</v>
      </c>
      <c r="AD2" s="9" t="s">
        <v>59</v>
      </c>
    </row>
    <row r="3" spans="1:30" ht="15.75" thickTop="1" x14ac:dyDescent="0.25">
      <c r="A3" s="27" t="s">
        <v>75</v>
      </c>
      <c r="B3" s="27" t="s">
        <v>77</v>
      </c>
      <c r="C3" s="27" t="s">
        <v>78</v>
      </c>
      <c r="D3" s="27">
        <v>109.444</v>
      </c>
      <c r="E3" s="27">
        <v>77608.710999999996</v>
      </c>
      <c r="F3" s="28">
        <v>1.4102025222400615E-3</v>
      </c>
      <c r="G3" s="27"/>
      <c r="H3" s="27"/>
      <c r="I3" s="27"/>
      <c r="J3" s="29"/>
      <c r="K3" s="27"/>
      <c r="L3" s="27"/>
      <c r="M3" s="27"/>
      <c r="N3" s="27"/>
      <c r="O3" s="27"/>
      <c r="P3" s="27"/>
      <c r="Q3" s="27"/>
      <c r="R3" s="27" t="s">
        <v>54</v>
      </c>
      <c r="S3" s="27"/>
      <c r="T3" s="27">
        <v>24</v>
      </c>
      <c r="U3" s="27"/>
      <c r="V3" s="27"/>
      <c r="W3" s="27"/>
      <c r="X3" s="27"/>
      <c r="Y3" s="27"/>
      <c r="Z3" s="10">
        <v>120</v>
      </c>
      <c r="AA3" s="15" t="s">
        <v>136</v>
      </c>
      <c r="AB3" s="15" t="s">
        <v>137</v>
      </c>
      <c r="AC3" s="15" t="s">
        <v>137</v>
      </c>
      <c r="AD3" s="15" t="s">
        <v>95</v>
      </c>
    </row>
    <row r="4" spans="1:30" x14ac:dyDescent="0.25">
      <c r="A4" s="28" t="s">
        <v>76</v>
      </c>
      <c r="B4" s="28" t="s">
        <v>77</v>
      </c>
      <c r="C4" s="28" t="s">
        <v>78</v>
      </c>
      <c r="D4" s="28">
        <v>102.04600000000001</v>
      </c>
      <c r="E4" s="28">
        <v>77608.710999999996</v>
      </c>
      <c r="F4" s="28">
        <v>1.3148781713434206E-3</v>
      </c>
      <c r="G4" s="28"/>
      <c r="H4" s="28"/>
      <c r="I4" s="28"/>
      <c r="J4" s="30"/>
      <c r="K4" s="28"/>
      <c r="L4" s="28"/>
      <c r="M4" s="28"/>
      <c r="N4" s="28"/>
      <c r="O4" s="28"/>
      <c r="P4" s="28"/>
      <c r="Q4" s="28"/>
      <c r="R4" s="28" t="s">
        <v>55</v>
      </c>
      <c r="S4" s="28"/>
      <c r="T4" s="28">
        <v>38</v>
      </c>
      <c r="U4" s="28"/>
      <c r="V4" s="28"/>
      <c r="W4" s="28"/>
      <c r="X4" s="28"/>
      <c r="Y4" s="28"/>
      <c r="Z4" s="10">
        <v>60</v>
      </c>
      <c r="AA4" s="15" t="s">
        <v>138</v>
      </c>
      <c r="AB4" s="15" t="s">
        <v>139</v>
      </c>
      <c r="AC4" s="15" t="s">
        <v>139</v>
      </c>
      <c r="AD4" s="15" t="s">
        <v>95</v>
      </c>
    </row>
    <row r="5" spans="1:30" x14ac:dyDescent="0.25">
      <c r="A5" s="27" t="s">
        <v>111</v>
      </c>
      <c r="B5" s="27" t="s">
        <v>77</v>
      </c>
      <c r="C5" s="27" t="s">
        <v>78</v>
      </c>
      <c r="D5" s="27">
        <v>41.741</v>
      </c>
      <c r="E5" s="27">
        <v>40491.120999999999</v>
      </c>
      <c r="F5" s="27">
        <v>1.0308680000000001E-3</v>
      </c>
      <c r="G5" s="27">
        <v>-3.3173267409934065E-2</v>
      </c>
      <c r="H5" s="27">
        <v>120</v>
      </c>
      <c r="I5" s="27" t="s">
        <v>95</v>
      </c>
      <c r="J5" s="29"/>
      <c r="K5" s="27"/>
      <c r="L5" s="27"/>
      <c r="M5" s="27"/>
      <c r="N5" s="27"/>
      <c r="O5" s="27"/>
      <c r="P5" s="27"/>
      <c r="Q5" s="27"/>
      <c r="R5" s="27"/>
      <c r="S5" s="27"/>
      <c r="T5" s="27"/>
      <c r="U5" s="27" t="s">
        <v>95</v>
      </c>
      <c r="V5" s="27">
        <v>15</v>
      </c>
      <c r="W5" s="27">
        <v>1.580386713760503</v>
      </c>
      <c r="X5" s="27"/>
      <c r="Y5" s="27"/>
      <c r="Z5" s="10">
        <v>30</v>
      </c>
      <c r="AA5" s="15" t="s">
        <v>140</v>
      </c>
      <c r="AB5" s="15" t="s">
        <v>141</v>
      </c>
      <c r="AC5" s="15" t="s">
        <v>142</v>
      </c>
      <c r="AD5" s="15" t="s">
        <v>95</v>
      </c>
    </row>
    <row r="6" spans="1:30" x14ac:dyDescent="0.25">
      <c r="A6" s="28" t="s">
        <v>112</v>
      </c>
      <c r="B6" s="28" t="s">
        <v>77</v>
      </c>
      <c r="C6" s="28" t="s">
        <v>78</v>
      </c>
      <c r="D6" s="28">
        <v>21.225000000000001</v>
      </c>
      <c r="E6" s="28">
        <v>41257.910000000003</v>
      </c>
      <c r="F6" s="28">
        <v>5.1444700000000002E-4</v>
      </c>
      <c r="G6" s="28">
        <v>-3.9013024825959274E-2</v>
      </c>
      <c r="H6" s="28">
        <v>120</v>
      </c>
      <c r="I6" s="28" t="s">
        <v>95</v>
      </c>
      <c r="J6" s="30"/>
      <c r="K6" s="28"/>
      <c r="L6" s="28"/>
      <c r="M6" s="28"/>
      <c r="N6" s="28"/>
      <c r="O6" s="28"/>
      <c r="P6" s="28"/>
      <c r="Q6" s="28"/>
      <c r="R6" s="28"/>
      <c r="S6" s="28"/>
      <c r="T6" s="28"/>
      <c r="U6" s="28" t="s">
        <v>95</v>
      </c>
      <c r="V6" s="28">
        <v>15</v>
      </c>
      <c r="W6" s="28">
        <v>1.672763529429184</v>
      </c>
      <c r="X6" s="28"/>
      <c r="Y6" s="28"/>
      <c r="Z6" s="10">
        <v>15</v>
      </c>
      <c r="AA6" s="15" t="s">
        <v>143</v>
      </c>
      <c r="AB6" s="16">
        <v>4.8568336525264037E-2</v>
      </c>
      <c r="AC6" s="16">
        <v>5.3268684326850176E-2</v>
      </c>
      <c r="AD6" s="16">
        <v>5.0918510426057106E-2</v>
      </c>
    </row>
    <row r="7" spans="1:30" ht="15.75" thickBot="1" x14ac:dyDescent="0.3">
      <c r="A7" s="27" t="s">
        <v>113</v>
      </c>
      <c r="B7" s="27" t="s">
        <v>77</v>
      </c>
      <c r="C7" s="27" t="s">
        <v>78</v>
      </c>
      <c r="D7" s="27">
        <v>30.888000000000002</v>
      </c>
      <c r="E7" s="27">
        <v>36152.233999999997</v>
      </c>
      <c r="F7" s="27">
        <v>8.5438699999999996E-4</v>
      </c>
      <c r="G7" s="27">
        <v>-3.5896902267791173E-2</v>
      </c>
      <c r="H7" s="27">
        <v>120</v>
      </c>
      <c r="I7" s="27" t="s">
        <v>95</v>
      </c>
      <c r="J7" s="29"/>
      <c r="K7" s="27"/>
      <c r="L7" s="27"/>
      <c r="M7" s="27"/>
      <c r="N7" s="27"/>
      <c r="O7" s="27"/>
      <c r="P7" s="27"/>
      <c r="Q7" s="27"/>
      <c r="R7" s="27"/>
      <c r="S7" s="27"/>
      <c r="T7" s="27"/>
      <c r="U7" s="27" t="s">
        <v>95</v>
      </c>
      <c r="V7" s="27">
        <v>0</v>
      </c>
      <c r="W7" s="27">
        <v>4.6051701859880918</v>
      </c>
      <c r="X7" s="27"/>
      <c r="Y7" s="27"/>
      <c r="Z7" s="13">
        <v>0</v>
      </c>
      <c r="AA7" s="14">
        <v>1</v>
      </c>
      <c r="AB7" s="14">
        <v>1</v>
      </c>
      <c r="AC7" s="14">
        <v>1</v>
      </c>
      <c r="AD7" s="14">
        <v>1</v>
      </c>
    </row>
    <row r="8" spans="1:30" ht="16.5" thickTop="1" thickBot="1" x14ac:dyDescent="0.3">
      <c r="A8" s="28" t="s">
        <v>114</v>
      </c>
      <c r="B8" s="28" t="s">
        <v>77</v>
      </c>
      <c r="C8" s="28" t="s">
        <v>78</v>
      </c>
      <c r="D8" s="28">
        <v>77.688000000000002</v>
      </c>
      <c r="E8" s="28">
        <v>38990.836000000003</v>
      </c>
      <c r="F8" s="28">
        <v>1.9924679999999998E-3</v>
      </c>
      <c r="G8" s="28">
        <v>-1.4523431557211919E-2</v>
      </c>
      <c r="H8" s="28">
        <v>60</v>
      </c>
      <c r="I8" s="28" t="s">
        <v>95</v>
      </c>
      <c r="J8" s="30"/>
      <c r="K8" s="28"/>
      <c r="L8" s="28"/>
      <c r="M8" s="28"/>
      <c r="N8" s="28"/>
      <c r="O8" s="28"/>
      <c r="P8" s="28"/>
      <c r="Q8" s="28"/>
      <c r="R8" s="28"/>
      <c r="S8" s="28"/>
      <c r="T8" s="28"/>
      <c r="U8" s="28" t="s">
        <v>95</v>
      </c>
      <c r="V8" s="28">
        <v>0</v>
      </c>
      <c r="W8" s="28">
        <v>4.6051701859880918</v>
      </c>
      <c r="X8" s="28"/>
      <c r="Y8" s="28"/>
    </row>
    <row r="9" spans="1:30" x14ac:dyDescent="0.25">
      <c r="A9" s="27" t="s">
        <v>115</v>
      </c>
      <c r="B9" s="27" t="s">
        <v>77</v>
      </c>
      <c r="C9" s="27" t="s">
        <v>78</v>
      </c>
      <c r="D9" s="27">
        <v>78.081000000000003</v>
      </c>
      <c r="E9" s="27">
        <v>46056.991999999998</v>
      </c>
      <c r="F9" s="27">
        <v>1.6953129999999999E-3</v>
      </c>
      <c r="G9" s="27">
        <v>-1.8325084670302416E-2</v>
      </c>
      <c r="H9" s="27">
        <v>60</v>
      </c>
      <c r="I9" s="27" t="s">
        <v>95</v>
      </c>
      <c r="J9" s="29"/>
      <c r="K9" s="27"/>
      <c r="L9" s="27"/>
      <c r="M9" s="27"/>
      <c r="N9" s="27"/>
      <c r="O9" s="27"/>
      <c r="P9" s="27"/>
      <c r="Q9" s="27"/>
      <c r="R9" s="27"/>
      <c r="S9" s="27"/>
      <c r="T9" s="27"/>
      <c r="U9" s="27" t="s">
        <v>95</v>
      </c>
      <c r="V9" s="27">
        <v>0</v>
      </c>
      <c r="W9" s="27">
        <v>4.6051701859880918</v>
      </c>
      <c r="X9" s="27"/>
      <c r="Y9" s="27"/>
      <c r="Z9" s="19" t="s">
        <v>60</v>
      </c>
      <c r="AA9" s="46">
        <v>-0.19857300429288327</v>
      </c>
    </row>
    <row r="10" spans="1:30" x14ac:dyDescent="0.25">
      <c r="A10" s="28" t="s">
        <v>116</v>
      </c>
      <c r="B10" s="28" t="s">
        <v>77</v>
      </c>
      <c r="C10" s="28" t="s">
        <v>78</v>
      </c>
      <c r="D10" s="28">
        <v>70.13</v>
      </c>
      <c r="E10" s="28">
        <v>36064.059000000001</v>
      </c>
      <c r="F10" s="28">
        <v>1.9445949999999999E-3</v>
      </c>
      <c r="G10" s="28">
        <v>-1.5156710925364593E-2</v>
      </c>
      <c r="H10" s="28">
        <v>60</v>
      </c>
      <c r="I10" s="28" t="s">
        <v>95</v>
      </c>
      <c r="J10" s="30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 t="s">
        <v>95</v>
      </c>
      <c r="V10" s="28" t="s">
        <v>95</v>
      </c>
      <c r="W10" s="28" t="s">
        <v>95</v>
      </c>
      <c r="X10" s="28"/>
      <c r="Y10" s="28"/>
      <c r="Z10" s="21" t="s">
        <v>61</v>
      </c>
      <c r="AA10" s="22">
        <v>4.6051701859880918</v>
      </c>
    </row>
    <row r="11" spans="1:30" ht="17.25" x14ac:dyDescent="0.25">
      <c r="A11" s="27" t="s">
        <v>117</v>
      </c>
      <c r="B11" s="27" t="s">
        <v>77</v>
      </c>
      <c r="C11" s="27" t="s">
        <v>78</v>
      </c>
      <c r="D11" s="27">
        <v>220.255</v>
      </c>
      <c r="E11" s="27">
        <v>41989.315999999999</v>
      </c>
      <c r="F11" s="27">
        <v>5.2455009999999996E-3</v>
      </c>
      <c r="G11" s="27">
        <v>4.8567803336182727E-2</v>
      </c>
      <c r="H11" s="27">
        <v>30</v>
      </c>
      <c r="I11" s="27" t="s">
        <v>95</v>
      </c>
      <c r="J11" s="29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 t="s">
        <v>95</v>
      </c>
      <c r="V11" s="27" t="s">
        <v>95</v>
      </c>
      <c r="W11" s="27" t="s">
        <v>95</v>
      </c>
      <c r="X11" s="27"/>
      <c r="Y11" s="27"/>
      <c r="Z11" s="21" t="s">
        <v>62</v>
      </c>
      <c r="AA11" s="23">
        <v>0.99959939368933015</v>
      </c>
    </row>
    <row r="12" spans="1:30" ht="18" x14ac:dyDescent="0.35">
      <c r="A12" s="28" t="s">
        <v>118</v>
      </c>
      <c r="B12" s="28" t="s">
        <v>77</v>
      </c>
      <c r="C12" s="28" t="s">
        <v>78</v>
      </c>
      <c r="D12" s="28">
        <v>442.51499999999999</v>
      </c>
      <c r="E12" s="28">
        <v>44113.805</v>
      </c>
      <c r="F12" s="28">
        <v>1.0031214E-2</v>
      </c>
      <c r="G12" s="28">
        <v>0.12771402648327482</v>
      </c>
      <c r="H12" s="28">
        <v>30</v>
      </c>
      <c r="I12" s="28" t="s">
        <v>95</v>
      </c>
      <c r="J12" s="30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 t="s">
        <v>95</v>
      </c>
      <c r="V12" s="28" t="s">
        <v>95</v>
      </c>
      <c r="W12" s="28" t="s">
        <v>95</v>
      </c>
      <c r="X12" s="28"/>
      <c r="Y12" s="28"/>
      <c r="Z12" s="21" t="s">
        <v>63</v>
      </c>
      <c r="AA12" s="22">
        <v>3.490641555372727</v>
      </c>
    </row>
    <row r="13" spans="1:30" ht="18.75" x14ac:dyDescent="0.35">
      <c r="A13" s="27" t="s">
        <v>119</v>
      </c>
      <c r="B13" s="27" t="s">
        <v>77</v>
      </c>
      <c r="C13" s="27" t="s">
        <v>78</v>
      </c>
      <c r="D13" s="27">
        <v>819.077</v>
      </c>
      <c r="E13" s="27">
        <v>37578.597999999998</v>
      </c>
      <c r="F13" s="27">
        <v>2.1796368999999999E-2</v>
      </c>
      <c r="G13" s="27">
        <v>0.36250479150959192</v>
      </c>
      <c r="H13" s="27">
        <v>30</v>
      </c>
      <c r="I13" s="27" t="s">
        <v>95</v>
      </c>
      <c r="J13" s="29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 t="s">
        <v>95</v>
      </c>
      <c r="V13" s="27" t="s">
        <v>95</v>
      </c>
      <c r="W13" s="27" t="s">
        <v>95</v>
      </c>
      <c r="X13" s="27"/>
      <c r="Y13" s="27"/>
      <c r="Z13" s="21" t="s">
        <v>64</v>
      </c>
      <c r="AA13" s="44">
        <v>397.14600858576654</v>
      </c>
    </row>
    <row r="14" spans="1:30" ht="15.75" thickBot="1" x14ac:dyDescent="0.3">
      <c r="A14" s="28" t="s">
        <v>120</v>
      </c>
      <c r="B14" s="28" t="s">
        <v>77</v>
      </c>
      <c r="C14" s="28" t="s">
        <v>78</v>
      </c>
      <c r="D14" s="28">
        <v>8575.3459999999995</v>
      </c>
      <c r="E14" s="28">
        <v>42192.898000000001</v>
      </c>
      <c r="F14" s="28">
        <v>0.20324145599999999</v>
      </c>
      <c r="G14" s="28">
        <v>3.8886177828005768</v>
      </c>
      <c r="H14" s="28">
        <v>15</v>
      </c>
      <c r="I14" s="28" t="s">
        <v>95</v>
      </c>
      <c r="J14" s="30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 t="s">
        <v>95</v>
      </c>
      <c r="V14" s="28" t="s">
        <v>95</v>
      </c>
      <c r="W14" s="28" t="s">
        <v>95</v>
      </c>
      <c r="X14" s="28"/>
      <c r="Y14" s="28"/>
      <c r="Z14" s="25" t="s">
        <v>48</v>
      </c>
      <c r="AA14" s="26" t="s">
        <v>65</v>
      </c>
    </row>
    <row r="15" spans="1:30" x14ac:dyDescent="0.25">
      <c r="A15" s="27" t="s">
        <v>121</v>
      </c>
      <c r="B15" s="27" t="s">
        <v>77</v>
      </c>
      <c r="C15" s="27" t="s">
        <v>78</v>
      </c>
      <c r="D15" s="27">
        <v>11913.619000000001</v>
      </c>
      <c r="E15" s="27">
        <v>42553.351999999999</v>
      </c>
      <c r="F15" s="27">
        <v>0.279968991</v>
      </c>
      <c r="G15" s="27">
        <v>4.8568336525264035</v>
      </c>
      <c r="H15" s="27">
        <v>15</v>
      </c>
      <c r="I15" s="32">
        <v>1.580386713760503</v>
      </c>
      <c r="J15" s="29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11</v>
      </c>
      <c r="V15" s="27" t="s">
        <v>95</v>
      </c>
      <c r="W15" s="27" t="s">
        <v>95</v>
      </c>
      <c r="X15" s="27"/>
      <c r="Y15" s="27"/>
    </row>
    <row r="16" spans="1:30" x14ac:dyDescent="0.25">
      <c r="A16" s="28" t="s">
        <v>122</v>
      </c>
      <c r="B16" s="28" t="s">
        <v>77</v>
      </c>
      <c r="C16" s="28" t="s">
        <v>78</v>
      </c>
      <c r="D16" s="28">
        <v>10984.468999999999</v>
      </c>
      <c r="E16" s="28">
        <v>38848.957000000002</v>
      </c>
      <c r="F16" s="28">
        <v>0.282748106</v>
      </c>
      <c r="G16" s="28">
        <v>5.3268684326850178</v>
      </c>
      <c r="H16" s="28">
        <v>15</v>
      </c>
      <c r="I16" s="31">
        <v>1.672763529429184</v>
      </c>
      <c r="J16" s="30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>
        <v>12</v>
      </c>
      <c r="V16" s="28" t="s">
        <v>95</v>
      </c>
      <c r="W16" s="28" t="s">
        <v>95</v>
      </c>
      <c r="X16" s="28"/>
      <c r="Y16" s="28"/>
    </row>
    <row r="17" spans="1:25" x14ac:dyDescent="0.25">
      <c r="A17" s="27" t="s">
        <v>123</v>
      </c>
      <c r="B17" s="27" t="s">
        <v>77</v>
      </c>
      <c r="C17" s="27" t="s">
        <v>78</v>
      </c>
      <c r="D17" s="27">
        <v>228243.57800000001</v>
      </c>
      <c r="E17" s="27">
        <v>44243.379000000001</v>
      </c>
      <c r="F17" s="27">
        <v>5.1588188600000002</v>
      </c>
      <c r="G17" s="27">
        <v>100</v>
      </c>
      <c r="H17" s="27">
        <v>0</v>
      </c>
      <c r="I17" s="32">
        <v>4.6051701859880918</v>
      </c>
      <c r="J17" s="29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13</v>
      </c>
      <c r="V17" s="27" t="s">
        <v>95</v>
      </c>
      <c r="W17" s="27" t="s">
        <v>95</v>
      </c>
      <c r="X17" s="27"/>
      <c r="Y17" s="27"/>
    </row>
    <row r="18" spans="1:25" x14ac:dyDescent="0.25">
      <c r="A18" s="28" t="s">
        <v>124</v>
      </c>
      <c r="B18" s="28" t="s">
        <v>77</v>
      </c>
      <c r="C18" s="28" t="s">
        <v>78</v>
      </c>
      <c r="D18" s="28">
        <v>253654.516</v>
      </c>
      <c r="E18" s="28">
        <v>44417.152000000002</v>
      </c>
      <c r="F18" s="28">
        <v>5.7107334569999999</v>
      </c>
      <c r="G18" s="28">
        <v>100</v>
      </c>
      <c r="H18" s="28">
        <v>0</v>
      </c>
      <c r="I18" s="31">
        <v>4.6051701859880918</v>
      </c>
      <c r="J18" s="30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>
        <v>14</v>
      </c>
      <c r="V18" s="28" t="s">
        <v>95</v>
      </c>
      <c r="W18" s="28" t="s">
        <v>95</v>
      </c>
      <c r="X18" s="28"/>
      <c r="Y18" s="28"/>
    </row>
    <row r="19" spans="1:25" x14ac:dyDescent="0.25">
      <c r="A19" s="27" t="s">
        <v>125</v>
      </c>
      <c r="B19" s="27" t="s">
        <v>77</v>
      </c>
      <c r="C19" s="27" t="s">
        <v>78</v>
      </c>
      <c r="D19" s="27">
        <v>219267.06299999999</v>
      </c>
      <c r="E19" s="27">
        <v>41691.773000000001</v>
      </c>
      <c r="F19" s="27">
        <v>5.259240546</v>
      </c>
      <c r="G19" s="27">
        <v>100</v>
      </c>
      <c r="H19" s="27">
        <v>0</v>
      </c>
      <c r="I19" s="32">
        <v>4.6051701859880918</v>
      </c>
      <c r="J19" s="29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15</v>
      </c>
      <c r="V19" s="27" t="s">
        <v>95</v>
      </c>
      <c r="W19" s="27" t="s">
        <v>95</v>
      </c>
      <c r="X19" s="27"/>
      <c r="Y19" s="27"/>
    </row>
  </sheetData>
  <conditionalFormatting sqref="I5">
    <cfRule type="expression" dxfId="34" priority="55">
      <formula>ISTEXT($I$5)</formula>
    </cfRule>
  </conditionalFormatting>
  <conditionalFormatting sqref="I6">
    <cfRule type="expression" dxfId="33" priority="54">
      <formula>ISTEXT($I$6)</formula>
    </cfRule>
  </conditionalFormatting>
  <conditionalFormatting sqref="I7">
    <cfRule type="expression" dxfId="32" priority="53">
      <formula>ISTEXT($I$7)</formula>
    </cfRule>
  </conditionalFormatting>
  <conditionalFormatting sqref="I8">
    <cfRule type="expression" dxfId="31" priority="52">
      <formula>ISTEXT($I$8)</formula>
    </cfRule>
  </conditionalFormatting>
  <conditionalFormatting sqref="I9">
    <cfRule type="expression" dxfId="30" priority="51">
      <formula>ISTEXT($I$9)</formula>
    </cfRule>
  </conditionalFormatting>
  <conditionalFormatting sqref="I10">
    <cfRule type="expression" dxfId="29" priority="50">
      <formula>ISTEXT($I$10)</formula>
    </cfRule>
  </conditionalFormatting>
  <conditionalFormatting sqref="I11">
    <cfRule type="expression" dxfId="28" priority="49">
      <formula>ISTEXT($I$11)</formula>
    </cfRule>
  </conditionalFormatting>
  <conditionalFormatting sqref="I12">
    <cfRule type="expression" dxfId="27" priority="48">
      <formula>ISTEXT($I$12)</formula>
    </cfRule>
  </conditionalFormatting>
  <conditionalFormatting sqref="I13">
    <cfRule type="expression" dxfId="26" priority="47">
      <formula>ISTEXT($I$13)</formula>
    </cfRule>
  </conditionalFormatting>
  <conditionalFormatting sqref="I14">
    <cfRule type="expression" dxfId="25" priority="46">
      <formula>ISTEXT($I$14)</formula>
    </cfRule>
  </conditionalFormatting>
  <conditionalFormatting sqref="I15">
    <cfRule type="expression" dxfId="24" priority="45">
      <formula>ISTEXT($I$15)</formula>
    </cfRule>
  </conditionalFormatting>
  <conditionalFormatting sqref="I16">
    <cfRule type="expression" dxfId="23" priority="44">
      <formula>ISTEXT($I$16)</formula>
    </cfRule>
  </conditionalFormatting>
  <conditionalFormatting sqref="I17">
    <cfRule type="expression" dxfId="22" priority="43">
      <formula>ISTEXT($I$17)</formula>
    </cfRule>
  </conditionalFormatting>
  <conditionalFormatting sqref="I18">
    <cfRule type="expression" dxfId="21" priority="42">
      <formula>ISTEXT($I$18)</formula>
    </cfRule>
  </conditionalFormatting>
  <conditionalFormatting sqref="I19">
    <cfRule type="expression" dxfId="20" priority="41">
      <formula>ISTEXT($I$19)</formula>
    </cfRule>
  </conditionalFormatting>
  <conditionalFormatting sqref="AA3">
    <cfRule type="expression" dxfId="19" priority="20">
      <formula>ISTEXT($AA$3)</formula>
    </cfRule>
  </conditionalFormatting>
  <conditionalFormatting sqref="AB3">
    <cfRule type="expression" dxfId="18" priority="19">
      <formula>ISTEXT($AB$3)</formula>
    </cfRule>
  </conditionalFormatting>
  <conditionalFormatting sqref="AC3">
    <cfRule type="expression" dxfId="17" priority="18">
      <formula>ISTEXT($AC$3)</formula>
    </cfRule>
  </conditionalFormatting>
  <conditionalFormatting sqref="AD3">
    <cfRule type="expression" dxfId="16" priority="17">
      <formula>ISTEXT($AD$3)</formula>
    </cfRule>
  </conditionalFormatting>
  <conditionalFormatting sqref="AA4">
    <cfRule type="expression" dxfId="15" priority="16">
      <formula>ISTEXT($AA$4)</formula>
    </cfRule>
  </conditionalFormatting>
  <conditionalFormatting sqref="AB4">
    <cfRule type="expression" dxfId="14" priority="15">
      <formula>ISTEXT($AB$4)</formula>
    </cfRule>
  </conditionalFormatting>
  <conditionalFormatting sqref="AC4">
    <cfRule type="expression" dxfId="13" priority="14">
      <formula>ISTEXT($AC$4)</formula>
    </cfRule>
  </conditionalFormatting>
  <conditionalFormatting sqref="AD4">
    <cfRule type="expression" dxfId="12" priority="13">
      <formula>ISTEXT($AD$4)</formula>
    </cfRule>
  </conditionalFormatting>
  <conditionalFormatting sqref="AA5">
    <cfRule type="expression" dxfId="11" priority="12">
      <formula>ISTEXT($AA$5)</formula>
    </cfRule>
  </conditionalFormatting>
  <conditionalFormatting sqref="AB5">
    <cfRule type="expression" dxfId="10" priority="11">
      <formula>ISTEXT($AB$5)</formula>
    </cfRule>
  </conditionalFormatting>
  <conditionalFormatting sqref="AC5">
    <cfRule type="expression" dxfId="9" priority="10">
      <formula>ISTEXT($AC$5)</formula>
    </cfRule>
  </conditionalFormatting>
  <conditionalFormatting sqref="AD5">
    <cfRule type="expression" dxfId="8" priority="9">
      <formula>ISTEXT($AD$5)</formula>
    </cfRule>
  </conditionalFormatting>
  <conditionalFormatting sqref="AA6">
    <cfRule type="expression" dxfId="7" priority="8">
      <formula>ISTEXT($AA$6)</formula>
    </cfRule>
  </conditionalFormatting>
  <conditionalFormatting sqref="AB6">
    <cfRule type="expression" dxfId="6" priority="7">
      <formula>ISTEXT($AB$6)</formula>
    </cfRule>
  </conditionalFormatting>
  <conditionalFormatting sqref="AC6">
    <cfRule type="expression" dxfId="5" priority="6">
      <formula>ISTEXT($AC$6)</formula>
    </cfRule>
  </conditionalFormatting>
  <conditionalFormatting sqref="AD6">
    <cfRule type="expression" dxfId="4" priority="5">
      <formula>ISTEXT($AD$6)</formula>
    </cfRule>
  </conditionalFormatting>
  <conditionalFormatting sqref="AA7">
    <cfRule type="expression" dxfId="3" priority="4">
      <formula>ISTEXT($AA$7)</formula>
    </cfRule>
  </conditionalFormatting>
  <conditionalFormatting sqref="AB7">
    <cfRule type="expression" dxfId="2" priority="3">
      <formula>ISTEXT($AB$7)</formula>
    </cfRule>
  </conditionalFormatting>
  <conditionalFormatting sqref="AC7">
    <cfRule type="expression" dxfId="1" priority="2">
      <formula>ISTEXT($AC$7)</formula>
    </cfRule>
  </conditionalFormatting>
  <conditionalFormatting sqref="AD7">
    <cfRule type="expression" dxfId="0" priority="1">
      <formula>ISTEXT($AD$7)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Data 1uM 5500</vt:lpstr>
      <vt:lpstr>Data 10uM 5500</vt:lpstr>
      <vt:lpstr>Data 1uM Xevo</vt:lpstr>
      <vt:lpstr>Data 10uM Xevo</vt:lpstr>
      <vt:lpstr>Summary!Print_Area</vt:lpstr>
      <vt:lpstr>Table2</vt:lpstr>
      <vt:lpstr>Table5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David Ayres</cp:lastModifiedBy>
  <cp:lastPrinted>2020-07-13T14:09:46Z</cp:lastPrinted>
  <dcterms:created xsi:type="dcterms:W3CDTF">2020-07-10T17:43:22Z</dcterms:created>
  <dcterms:modified xsi:type="dcterms:W3CDTF">2020-07-31T21:36:30Z</dcterms:modified>
</cp:coreProperties>
</file>