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June 2020\"/>
    </mc:Choice>
  </mc:AlternateContent>
  <bookViews>
    <workbookView xWindow="0" yWindow="0" windowWidth="28800" windowHeight="12300" activeTab="1"/>
  </bookViews>
  <sheets>
    <sheet name="Summary" sheetId="1" r:id="rId1"/>
    <sheet name="Data" sheetId="2" r:id="rId2"/>
  </sheets>
  <definedNames>
    <definedName name="Individual1">Summary!$J$2:$Q$32</definedName>
    <definedName name="Summary1">Summary!$A$6:$G$12</definedName>
    <definedName name="Summary2G1">Summary!$A$15:$H$33</definedName>
    <definedName name="Summary3">Summary!$A$36:$H$41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P31" i="1"/>
  <c r="O31" i="1"/>
  <c r="N31" i="1"/>
  <c r="Q30" i="1"/>
  <c r="P30" i="1"/>
  <c r="O30" i="1"/>
  <c r="N30" i="1"/>
  <c r="Q28" i="1"/>
  <c r="P28" i="1"/>
  <c r="O28" i="1"/>
  <c r="N28" i="1"/>
  <c r="P29" i="1"/>
  <c r="O29" i="1"/>
  <c r="N29" i="1"/>
  <c r="P27" i="1"/>
  <c r="O27" i="1"/>
  <c r="N27" i="1"/>
  <c r="K27" i="1"/>
  <c r="P26" i="1"/>
  <c r="O26" i="1"/>
  <c r="N26" i="1"/>
  <c r="Q25" i="1"/>
  <c r="P25" i="1"/>
  <c r="O25" i="1"/>
  <c r="N25" i="1"/>
  <c r="Q23" i="1"/>
  <c r="P23" i="1"/>
  <c r="O23" i="1"/>
  <c r="N23" i="1"/>
  <c r="P24" i="1"/>
  <c r="O24" i="1"/>
  <c r="N24" i="1"/>
  <c r="P22" i="1"/>
  <c r="O22" i="1"/>
  <c r="N22" i="1"/>
  <c r="K22" i="1"/>
  <c r="P21" i="1"/>
  <c r="O21" i="1"/>
  <c r="N21" i="1"/>
  <c r="Q20" i="1"/>
  <c r="P20" i="1"/>
  <c r="O20" i="1"/>
  <c r="N20" i="1"/>
  <c r="Q18" i="1"/>
  <c r="P18" i="1"/>
  <c r="O18" i="1"/>
  <c r="N18" i="1"/>
  <c r="P19" i="1"/>
  <c r="O19" i="1"/>
  <c r="N19" i="1"/>
  <c r="P17" i="1"/>
  <c r="O17" i="1"/>
  <c r="N17" i="1"/>
  <c r="K17" i="1"/>
  <c r="P16" i="1"/>
  <c r="O16" i="1"/>
  <c r="N16" i="1"/>
  <c r="Q15" i="1"/>
  <c r="P15" i="1"/>
  <c r="O15" i="1"/>
  <c r="N15" i="1"/>
  <c r="Q13" i="1"/>
  <c r="P13" i="1"/>
  <c r="O13" i="1"/>
  <c r="N13" i="1"/>
  <c r="P14" i="1"/>
  <c r="O14" i="1"/>
  <c r="N14" i="1"/>
  <c r="P12" i="1"/>
  <c r="O12" i="1"/>
  <c r="N12" i="1"/>
  <c r="K12" i="1"/>
  <c r="P11" i="1"/>
  <c r="O11" i="1"/>
  <c r="N11" i="1"/>
  <c r="Q10" i="1"/>
  <c r="P10" i="1"/>
  <c r="O10" i="1"/>
  <c r="N10" i="1"/>
  <c r="Q8" i="1"/>
  <c r="P8" i="1"/>
  <c r="O8" i="1"/>
  <c r="N8" i="1"/>
  <c r="P9" i="1"/>
  <c r="O9" i="1"/>
  <c r="N9" i="1"/>
  <c r="P7" i="1"/>
  <c r="O7" i="1"/>
  <c r="N7" i="1"/>
  <c r="K7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V124" i="2"/>
  <c r="V123" i="2"/>
  <c r="U125" i="2"/>
  <c r="U124" i="2"/>
  <c r="U123" i="2"/>
  <c r="T125" i="2"/>
  <c r="T124" i="2"/>
  <c r="T123" i="2"/>
  <c r="S125" i="2"/>
  <c r="S124" i="2"/>
  <c r="S123" i="2"/>
  <c r="Q124" i="2"/>
  <c r="P124" i="2"/>
  <c r="R107" i="2"/>
  <c r="Q10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M117" i="2"/>
  <c r="L126" i="2"/>
  <c r="L125" i="2"/>
  <c r="L124" i="2"/>
  <c r="K122" i="2"/>
  <c r="K125" i="2" s="1"/>
  <c r="K126" i="2" s="1"/>
  <c r="J122" i="2"/>
  <c r="J125" i="2" s="1"/>
  <c r="J126" i="2" s="1"/>
  <c r="R106" i="2"/>
  <c r="Q106" i="2"/>
  <c r="N114" i="2"/>
  <c r="M114" i="2"/>
  <c r="N113" i="2"/>
  <c r="M113" i="2"/>
  <c r="N112" i="2"/>
  <c r="M112" i="2"/>
  <c r="N111" i="2"/>
  <c r="M111" i="2"/>
  <c r="N110" i="2"/>
  <c r="M110" i="2"/>
  <c r="N106" i="2"/>
  <c r="L114" i="2"/>
  <c r="L113" i="2"/>
  <c r="K117" i="2"/>
  <c r="K124" i="2" s="1"/>
  <c r="J117" i="2"/>
  <c r="K119" i="2"/>
  <c r="K123" i="2" s="1"/>
  <c r="J119" i="2"/>
  <c r="N119" i="2" s="1"/>
  <c r="K118" i="2"/>
  <c r="J118" i="2"/>
  <c r="M118" i="2" s="1"/>
  <c r="K106" i="2"/>
  <c r="M106" i="2" s="1"/>
  <c r="J106" i="2"/>
  <c r="K108" i="2"/>
  <c r="K112" i="2" s="1"/>
  <c r="J108" i="2"/>
  <c r="N108" i="2" s="1"/>
  <c r="K107" i="2"/>
  <c r="K111" i="2" s="1"/>
  <c r="K114" i="2" s="1"/>
  <c r="J107" i="2"/>
  <c r="M107" i="2" s="1"/>
  <c r="K121" i="2"/>
  <c r="J121" i="2"/>
  <c r="K110" i="2"/>
  <c r="J110" i="2"/>
  <c r="U99" i="2"/>
  <c r="U98" i="2"/>
  <c r="U97" i="2"/>
  <c r="Q98" i="2"/>
  <c r="P98" i="2"/>
  <c r="N95" i="2"/>
  <c r="M95" i="2"/>
  <c r="K91" i="2" s="1"/>
  <c r="L100" i="2"/>
  <c r="L99" i="2"/>
  <c r="L98" i="2"/>
  <c r="N84" i="2"/>
  <c r="M84" i="2"/>
  <c r="K80" i="2" s="1"/>
  <c r="L88" i="2"/>
  <c r="L87" i="2"/>
  <c r="J93" i="2"/>
  <c r="J80" i="2"/>
  <c r="J81" i="2"/>
  <c r="K95" i="2"/>
  <c r="J95" i="2"/>
  <c r="K84" i="2"/>
  <c r="J84" i="2"/>
  <c r="U73" i="2"/>
  <c r="U72" i="2"/>
  <c r="U71" i="2"/>
  <c r="Q72" i="2"/>
  <c r="P72" i="2"/>
  <c r="N69" i="2"/>
  <c r="M69" i="2"/>
  <c r="J67" i="2" s="1"/>
  <c r="N67" i="2" s="1"/>
  <c r="L74" i="2"/>
  <c r="L73" i="2"/>
  <c r="L72" i="2"/>
  <c r="N58" i="2"/>
  <c r="M58" i="2"/>
  <c r="J56" i="2" s="1"/>
  <c r="L62" i="2"/>
  <c r="L61" i="2"/>
  <c r="K65" i="2"/>
  <c r="J65" i="2"/>
  <c r="K67" i="2"/>
  <c r="K71" i="2" s="1"/>
  <c r="K66" i="2"/>
  <c r="K70" i="2" s="1"/>
  <c r="J66" i="2"/>
  <c r="J54" i="2"/>
  <c r="K69" i="2"/>
  <c r="J69" i="2"/>
  <c r="K58" i="2"/>
  <c r="J58" i="2"/>
  <c r="U47" i="2"/>
  <c r="U46" i="2"/>
  <c r="U45" i="2"/>
  <c r="Q46" i="2"/>
  <c r="P46" i="2"/>
  <c r="N43" i="2"/>
  <c r="M43" i="2"/>
  <c r="J41" i="2" s="1"/>
  <c r="J45" i="2" s="1"/>
  <c r="L48" i="2"/>
  <c r="L47" i="2"/>
  <c r="L46" i="2"/>
  <c r="N32" i="2"/>
  <c r="M32" i="2"/>
  <c r="J28" i="2" s="1"/>
  <c r="L36" i="2"/>
  <c r="L35" i="2"/>
  <c r="K39" i="2"/>
  <c r="J39" i="2"/>
  <c r="K41" i="2"/>
  <c r="K45" i="2" s="1"/>
  <c r="K40" i="2"/>
  <c r="K44" i="2" s="1"/>
  <c r="J40" i="2"/>
  <c r="K28" i="2"/>
  <c r="J30" i="2"/>
  <c r="K29" i="2"/>
  <c r="K33" i="2" s="1"/>
  <c r="K43" i="2"/>
  <c r="J43" i="2"/>
  <c r="K32" i="2"/>
  <c r="J32" i="2"/>
  <c r="U21" i="2"/>
  <c r="U20" i="2"/>
  <c r="U19" i="2"/>
  <c r="Q20" i="2"/>
  <c r="P20" i="2"/>
  <c r="N17" i="2"/>
  <c r="M17" i="2"/>
  <c r="K13" i="2" s="1"/>
  <c r="L22" i="2"/>
  <c r="L21" i="2"/>
  <c r="L20" i="2"/>
  <c r="N6" i="2"/>
  <c r="M6" i="2"/>
  <c r="J2" i="2" s="1"/>
  <c r="L10" i="2"/>
  <c r="L9" i="2"/>
  <c r="K15" i="2"/>
  <c r="K19" i="2" s="1"/>
  <c r="K3" i="2"/>
  <c r="K7" i="2" s="1"/>
  <c r="K17" i="2"/>
  <c r="J17" i="2"/>
  <c r="K6" i="2"/>
  <c r="J6" i="2"/>
  <c r="Q14" i="1" l="1"/>
  <c r="Q16" i="1"/>
  <c r="Q24" i="1"/>
  <c r="Q26" i="1"/>
  <c r="F38" i="1"/>
  <c r="Q11" i="1"/>
  <c r="Q21" i="1"/>
  <c r="F40" i="1"/>
  <c r="G40" i="1" s="1"/>
  <c r="Q31" i="1"/>
  <c r="Q9" i="1"/>
  <c r="Q12" i="1"/>
  <c r="Q19" i="1"/>
  <c r="Q27" i="1"/>
  <c r="Q17" i="1"/>
  <c r="Q22" i="1"/>
  <c r="Q29" i="1"/>
  <c r="F37" i="1"/>
  <c r="G37" i="1" s="1"/>
  <c r="F39" i="1"/>
  <c r="G39" i="1" s="1"/>
  <c r="F41" i="1"/>
  <c r="G41" i="1" s="1"/>
  <c r="Q7" i="1"/>
  <c r="G38" i="1"/>
  <c r="M119" i="2"/>
  <c r="N118" i="2"/>
  <c r="J123" i="2"/>
  <c r="J124" i="2"/>
  <c r="N117" i="2"/>
  <c r="J112" i="2"/>
  <c r="N107" i="2"/>
  <c r="J113" i="2"/>
  <c r="K113" i="2"/>
  <c r="M108" i="2"/>
  <c r="J111" i="2"/>
  <c r="J114" i="2" s="1"/>
  <c r="J4" i="2"/>
  <c r="J55" i="2"/>
  <c r="M55" i="2" s="1"/>
  <c r="K73" i="2"/>
  <c r="T72" i="2" s="1"/>
  <c r="J82" i="2"/>
  <c r="J86" i="2" s="1"/>
  <c r="K93" i="2"/>
  <c r="K97" i="2" s="1"/>
  <c r="K2" i="2"/>
  <c r="M93" i="2"/>
  <c r="K4" i="2"/>
  <c r="K8" i="2" s="1"/>
  <c r="J3" i="2"/>
  <c r="M3" i="2" s="1"/>
  <c r="K56" i="2"/>
  <c r="K60" i="2" s="1"/>
  <c r="K82" i="2"/>
  <c r="K86" i="2" s="1"/>
  <c r="N93" i="2"/>
  <c r="J92" i="2"/>
  <c r="J91" i="2"/>
  <c r="K92" i="2"/>
  <c r="K96" i="2" s="1"/>
  <c r="K99" i="2" s="1"/>
  <c r="J97" i="2"/>
  <c r="N80" i="2"/>
  <c r="M80" i="2"/>
  <c r="J87" i="2"/>
  <c r="J85" i="2"/>
  <c r="K81" i="2"/>
  <c r="K85" i="2" s="1"/>
  <c r="K88" i="2" s="1"/>
  <c r="T97" i="2" s="1"/>
  <c r="M54" i="2"/>
  <c r="K30" i="2"/>
  <c r="K34" i="2" s="1"/>
  <c r="K55" i="2"/>
  <c r="K59" i="2" s="1"/>
  <c r="K62" i="2" s="1"/>
  <c r="T71" i="2" s="1"/>
  <c r="K54" i="2"/>
  <c r="J29" i="2"/>
  <c r="N29" i="2" s="1"/>
  <c r="M66" i="2"/>
  <c r="N65" i="2"/>
  <c r="N54" i="2"/>
  <c r="K72" i="2"/>
  <c r="K36" i="2"/>
  <c r="T45" i="2" s="1"/>
  <c r="J70" i="2"/>
  <c r="N66" i="2"/>
  <c r="J71" i="2"/>
  <c r="M65" i="2"/>
  <c r="M67" i="2"/>
  <c r="J72" i="2"/>
  <c r="J60" i="2"/>
  <c r="J61" i="2"/>
  <c r="M56" i="2"/>
  <c r="J59" i="2"/>
  <c r="N45" i="2"/>
  <c r="M45" i="2"/>
  <c r="N2" i="2"/>
  <c r="N30" i="2"/>
  <c r="M40" i="2"/>
  <c r="N39" i="2"/>
  <c r="K47" i="2"/>
  <c r="K46" i="2"/>
  <c r="J15" i="2"/>
  <c r="M15" i="2" s="1"/>
  <c r="M29" i="2"/>
  <c r="N28" i="2"/>
  <c r="N41" i="2"/>
  <c r="M39" i="2"/>
  <c r="M41" i="2"/>
  <c r="J44" i="2"/>
  <c r="J46" i="2"/>
  <c r="N40" i="2"/>
  <c r="J34" i="2"/>
  <c r="M28" i="2"/>
  <c r="M30" i="2"/>
  <c r="K10" i="2"/>
  <c r="T19" i="2" s="1"/>
  <c r="K9" i="2"/>
  <c r="N4" i="2"/>
  <c r="J14" i="2"/>
  <c r="J13" i="2"/>
  <c r="K14" i="2"/>
  <c r="K18" i="2" s="1"/>
  <c r="K21" i="2" s="1"/>
  <c r="J8" i="2"/>
  <c r="N3" i="2"/>
  <c r="M2" i="2"/>
  <c r="M4" i="2"/>
  <c r="J7" i="2"/>
  <c r="J88" i="2" l="1"/>
  <c r="M85" i="2"/>
  <c r="N85" i="2"/>
  <c r="N56" i="2"/>
  <c r="K100" i="2"/>
  <c r="T99" i="2" s="1"/>
  <c r="T98" i="2"/>
  <c r="M86" i="2"/>
  <c r="N86" i="2"/>
  <c r="K74" i="2"/>
  <c r="T73" i="2" s="1"/>
  <c r="N82" i="2"/>
  <c r="J9" i="2"/>
  <c r="N55" i="2"/>
  <c r="K61" i="2"/>
  <c r="N61" i="2" s="1"/>
  <c r="K35" i="2"/>
  <c r="M35" i="2" s="1"/>
  <c r="V45" i="2" s="1"/>
  <c r="M82" i="2"/>
  <c r="N97" i="2"/>
  <c r="M97" i="2"/>
  <c r="K98" i="2"/>
  <c r="M91" i="2"/>
  <c r="N91" i="2"/>
  <c r="J98" i="2"/>
  <c r="M92" i="2"/>
  <c r="N92" i="2"/>
  <c r="J96" i="2"/>
  <c r="M81" i="2"/>
  <c r="N81" i="2"/>
  <c r="K87" i="2"/>
  <c r="M87" i="2" s="1"/>
  <c r="V97" i="2" s="1"/>
  <c r="M61" i="2"/>
  <c r="V71" i="2" s="1"/>
  <c r="J73" i="2"/>
  <c r="M70" i="2"/>
  <c r="N70" i="2"/>
  <c r="J19" i="2"/>
  <c r="N19" i="2" s="1"/>
  <c r="N15" i="2"/>
  <c r="J35" i="2"/>
  <c r="J62" i="2"/>
  <c r="N59" i="2"/>
  <c r="M59" i="2"/>
  <c r="N60" i="2"/>
  <c r="M60" i="2"/>
  <c r="N71" i="2"/>
  <c r="M71" i="2"/>
  <c r="J33" i="2"/>
  <c r="N33" i="2" s="1"/>
  <c r="M72" i="2"/>
  <c r="V72" i="2" s="1"/>
  <c r="N72" i="2"/>
  <c r="M46" i="2"/>
  <c r="V46" i="2" s="1"/>
  <c r="N46" i="2"/>
  <c r="J36" i="2"/>
  <c r="M33" i="2"/>
  <c r="J47" i="2"/>
  <c r="M44" i="2"/>
  <c r="N44" i="2"/>
  <c r="K48" i="2"/>
  <c r="T47" i="2" s="1"/>
  <c r="T46" i="2"/>
  <c r="N34" i="2"/>
  <c r="M34" i="2"/>
  <c r="M8" i="2"/>
  <c r="N8" i="2"/>
  <c r="N9" i="2"/>
  <c r="M9" i="2"/>
  <c r="V19" i="2" s="1"/>
  <c r="K22" i="2"/>
  <c r="T21" i="2" s="1"/>
  <c r="T20" i="2"/>
  <c r="J10" i="2"/>
  <c r="N7" i="2"/>
  <c r="M7" i="2"/>
  <c r="M13" i="2"/>
  <c r="N13" i="2"/>
  <c r="J20" i="2"/>
  <c r="N14" i="2"/>
  <c r="J18" i="2"/>
  <c r="M14" i="2"/>
  <c r="K20" i="2"/>
  <c r="M98" i="2" l="1"/>
  <c r="V98" i="2" s="1"/>
  <c r="N98" i="2"/>
  <c r="N35" i="2"/>
  <c r="J99" i="2"/>
  <c r="M96" i="2"/>
  <c r="N96" i="2"/>
  <c r="N87" i="2"/>
  <c r="N88" i="2"/>
  <c r="R80" i="2" s="1"/>
  <c r="S97" i="2"/>
  <c r="M88" i="2"/>
  <c r="Q80" i="2" s="1"/>
  <c r="N62" i="2"/>
  <c r="R54" i="2" s="1"/>
  <c r="M62" i="2"/>
  <c r="Q54" i="2" s="1"/>
  <c r="S71" i="2"/>
  <c r="M19" i="2"/>
  <c r="J74" i="2"/>
  <c r="S72" i="2"/>
  <c r="N73" i="2"/>
  <c r="R55" i="2" s="1"/>
  <c r="M73" i="2"/>
  <c r="Q55" i="2" s="1"/>
  <c r="N36" i="2"/>
  <c r="R28" i="2" s="1"/>
  <c r="S45" i="2"/>
  <c r="M36" i="2"/>
  <c r="Q28" i="2" s="1"/>
  <c r="J48" i="2"/>
  <c r="S46" i="2"/>
  <c r="N47" i="2"/>
  <c r="R29" i="2" s="1"/>
  <c r="M47" i="2"/>
  <c r="Q29" i="2" s="1"/>
  <c r="N20" i="2"/>
  <c r="M20" i="2"/>
  <c r="V20" i="2" s="1"/>
  <c r="N10" i="2"/>
  <c r="R2" i="2" s="1"/>
  <c r="S19" i="2"/>
  <c r="M10" i="2"/>
  <c r="Q2" i="2" s="1"/>
  <c r="J21" i="2"/>
  <c r="N18" i="2"/>
  <c r="M18" i="2"/>
  <c r="J100" i="2" l="1"/>
  <c r="M99" i="2"/>
  <c r="Q81" i="2" s="1"/>
  <c r="S98" i="2"/>
  <c r="N99" i="2"/>
  <c r="R81" i="2" s="1"/>
  <c r="S73" i="2"/>
  <c r="M74" i="2"/>
  <c r="N74" i="2"/>
  <c r="S47" i="2"/>
  <c r="M48" i="2"/>
  <c r="N48" i="2"/>
  <c r="J22" i="2"/>
  <c r="M21" i="2"/>
  <c r="Q3" i="2" s="1"/>
  <c r="S20" i="2"/>
  <c r="N21" i="2"/>
  <c r="R3" i="2" s="1"/>
  <c r="S99" i="2" l="1"/>
  <c r="M100" i="2"/>
  <c r="N100" i="2"/>
  <c r="N22" i="2"/>
  <c r="S21" i="2"/>
  <c r="M22" i="2"/>
</calcChain>
</file>

<file path=xl/sharedStrings.xml><?xml version="1.0" encoding="utf-8"?>
<sst xmlns="http://schemas.openxmlformats.org/spreadsheetml/2006/main" count="532" uniqueCount="132">
  <si>
    <t>SampleName</t>
  </si>
  <si>
    <t>CompoundName</t>
  </si>
  <si>
    <t>Transition</t>
  </si>
  <si>
    <t>Area</t>
  </si>
  <si>
    <t>Dilution</t>
  </si>
  <si>
    <t>ISTD Area</t>
  </si>
  <si>
    <t>ISTDResponseRatio</t>
  </si>
  <si>
    <t>DTXSID2020268</t>
  </si>
  <si>
    <t>384.8 / 276.9</t>
  </si>
  <si>
    <t>Blank 1_A_B__1______Inj CYP2178-R2_Caco2_2020Jun25_Set2_Inj003</t>
  </si>
  <si>
    <t>Blank 1_A_B__2______Inj CYP2178-R2_Caco2_2020Jun25_Set2_Inj004</t>
  </si>
  <si>
    <t>Blank 1_B_A__3______Inj CYP2178-R2_Caco2_2020Jun25_Set2_Inj005</t>
  </si>
  <si>
    <t>Blank 1_B_A__4______Inj CYP2178-R2_Caco2_2020Jun25_Set2_Inj006</t>
  </si>
  <si>
    <t>DTXSID7034250_A_B_rec_1______Inj CYP2178-R2_Caco2_2020Jun25_Set2_Inj011</t>
  </si>
  <si>
    <t>DTXSID7034250_A_B_rec_2______Inj CYP2178-R2_Caco2_2020Jun25_Set2_Inj012</t>
  </si>
  <si>
    <t>DTXSID7022120_A_B_rec_1______Inj CYP2178-R2_Caco2_2020Jun25_Set2_Inj017</t>
  </si>
  <si>
    <t>DTXSID7022120_A_B_rec_2______Inj CYP2178-R2_Caco2_2020Jun25_Set2_Inj018</t>
  </si>
  <si>
    <t>DTXSID1032648_A_B_rec_1______Inj CYP2178-R2_Caco2_2020Jun25_Set2_Inj023</t>
  </si>
  <si>
    <t>DTXSID1032648_A_B_rec_2______Inj CYP2178-R2_Caco2_2020Jun25_Set2_Inj024</t>
  </si>
  <si>
    <t>DTXSID2020268_A_B_rec_1______Inj CYP2178-R2_Caco2_2020Jun25_Set2_Inj027</t>
  </si>
  <si>
    <t>DTXSID2020268_A_B_rec_2______Inj CYP2178-R2_Caco2_2020Jun25_Set2_Inj028</t>
  </si>
  <si>
    <t>DTXSID7025429_A_B_rec_1______Inj CYP2178-R2_Caco2_2020Jun25_Set2_Inj029</t>
  </si>
  <si>
    <t>DTXSID7025429_A_B_rec_2______Inj CYP2178-R2_Caco2_2020Jun25_Set2_Inj030</t>
  </si>
  <si>
    <t>DTXSID7034250_B_A_rec_1______Inj CYP2178-R2_Caco2_2020Jun25_Set2_Inj037</t>
  </si>
  <si>
    <t>DTXSID7034250_B_A_rec_2______Inj CYP2178-R2_Caco2_2020Jun25_Set2_Inj038</t>
  </si>
  <si>
    <t>DTXSID7022120_B_A_rec_1______Inj CYP2178-R2_Caco2_2020Jun25_Set2_Inj043</t>
  </si>
  <si>
    <t>DTXSID7022120_B_A_rec_2______Inj CYP2178-R2_Caco2_2020Jun25_Set2_Inj044</t>
  </si>
  <si>
    <t>DTXSID1032648_B_A_rec_1______Inj CYP2178-R2_Caco2_2020Jun25_Set2_Inj049</t>
  </si>
  <si>
    <t>DTXSID1032648_B_A_rec_2______Inj CYP2178-R2_Caco2_2020Jun25_Set2_Inj050</t>
  </si>
  <si>
    <t>DTXSID2020268_B_A_rec_1______Inj CYP2178-R2_Caco2_2020Jun25_Set2_Inj053</t>
  </si>
  <si>
    <t>DTXSID2020268_B_A_rec_2______Inj CYP2178-R2_Caco2_2020Jun25_Set2_Inj054</t>
  </si>
  <si>
    <t>DTXSID7025429_B_A_rec_1______Inj CYP2178-R2_Caco2_2020Jun25_Set2_Inj055</t>
  </si>
  <si>
    <t>DTXSID7025429_B_A_rec_2______Inj CYP2178-R2_Caco2_2020Jun25_Set2_Inj056</t>
  </si>
  <si>
    <t>DTXSID7034250_A_B_don_1______Inj CYP2178-R2_Caco2_2020Jun25_Set2_Inj063</t>
  </si>
  <si>
    <t>DTXSID7034250_A_B_don_2______Inj CYP2178-R2_Caco2_2020Jun25_Set2_Inj064</t>
  </si>
  <si>
    <t>DTXSID7022120_A_B_don_1______Inj CYP2178-R2_Caco2_2020Jun25_Set2_Inj069</t>
  </si>
  <si>
    <t>DTXSID7022120_A_B_don_2______Inj CYP2178-R2_Caco2_2020Jun25_Set2_Inj070</t>
  </si>
  <si>
    <t>DTXSID1032648_A_B_don_1______Inj CYP2178-R2_Caco2_2020Jun25_Set2_Inj075</t>
  </si>
  <si>
    <t>DTXSID1032648_A_B_don_2______Inj CYP2178-R2_Caco2_2020Jun25_Set2_Inj076</t>
  </si>
  <si>
    <t>DTXSID2020268_A_B_don_1______Inj CYP2178-R2_Caco2_2020Jun25_Set2_Inj079</t>
  </si>
  <si>
    <t>DTXSID2020268_A_B_don_2______Inj CYP2178-R2_Caco2_2020Jun25_Set2_Inj080</t>
  </si>
  <si>
    <t>DTXSID7025429_A_B_don_1______Inj CYP2178-R2_Caco2_2020Jun25_Set2_Inj081</t>
  </si>
  <si>
    <t>DTXSID7025429_A_B_don_2______Inj CYP2178-R2_Caco2_2020Jun25_Set2_Inj082</t>
  </si>
  <si>
    <t>DTXSID7034250_B_A_don_1______Inj CYP2178-R2_Caco2_2020Jun25_Set2_Inj089</t>
  </si>
  <si>
    <t>DTXSID7034250_B_A_don_2______Inj CYP2178-R2_Caco2_2020Jun25_Set2_Inj090</t>
  </si>
  <si>
    <t>DTXSID7022120_B_A_don_1______Inj CYP2178-R2_Caco2_2020Jun25_Set2_Inj095</t>
  </si>
  <si>
    <t>DTXSID7022120_B_A_don_2______Inj CYP2178-R2_Caco2_2020Jun25_Set2_Inj096</t>
  </si>
  <si>
    <t>DTXSID1032648_B_A_don_1______Inj CYP2178-R2_Caco2_2020Jun25_Set2_Inj101</t>
  </si>
  <si>
    <t>DTXSID1032648_B_A_don_2______Inj CYP2178-R2_Caco2_2020Jun25_Set2_Inj102</t>
  </si>
  <si>
    <t>DTXSID2020268_B_A_don_1______Inj CYP2178-R2_Caco2_2020Jun25_Set2_Inj105</t>
  </si>
  <si>
    <t>DTXSID2020268_B_A_don_2______Inj CYP2178-R2_Caco2_2020Jun25_Set2_Inj106</t>
  </si>
  <si>
    <t>DTXSID7025429_B_A_don_1______Inj CYP2178-R2_Caco2_2020Jun25_Set2_Inj107</t>
  </si>
  <si>
    <t>DTXSID7025429_B_A_don_2______Inj CYP2178-R2_Caco2_2020Jun25_Set2_Inj108</t>
  </si>
  <si>
    <t>DTXSID7034250_A_B_dos_1______Inj CYP2178-R2_Caco2_2020Jun25_Set2_Inj115</t>
  </si>
  <si>
    <t>DTXSID7034250_A_B_dos_2______Inj CYP2178-R2_Caco2_2020Jun25_Set2_Inj116</t>
  </si>
  <si>
    <t>DTXSID7022120_A_B_dos_1______Inj CYP2178-R2_Caco2_2020Jun25_Set2_Inj121</t>
  </si>
  <si>
    <t>DTXSID7022120_A_B_dos_2______Inj CYP2178-R2_Caco2_2020Jun25_Set2_Inj122</t>
  </si>
  <si>
    <t>DTXSID1032648_A_B_dos_1______Inj CYP2178-R2_Caco2_2020Jun25_Set2_Inj127</t>
  </si>
  <si>
    <t>DTXSID1032648_A_B_dos_2______Inj CYP2178-R2_Caco2_2020Jun25_Set2_Inj128</t>
  </si>
  <si>
    <t>DTXSID2020268_A_B_dos_1______Inj CYP2178-R2_Caco2_2020Jun25_Set2_Inj131</t>
  </si>
  <si>
    <t>DTXSID2020268_A_B_dos_2______Inj CYP2178-R2_Caco2_2020Jun25_Set2_Inj132</t>
  </si>
  <si>
    <t>DTXSID7025429_A_B_dos_1______Inj CYP2178-R2_Caco2_2020Jun25_Set2_Inj133</t>
  </si>
  <si>
    <t>DTXSID7025429_A_B_dos_2______Inj CYP2178-R2_Caco2_2020Jun25_Set2_Inj134</t>
  </si>
  <si>
    <t>DTXSID7034250_B_A_dos_1______Inj CYP2178-R2_Caco2_2020Jun25_Set2_Inj141</t>
  </si>
  <si>
    <t>DTXSID7034250_B_A_dos_2______Inj CYP2178-R2_Caco2_2020Jun25_Set2_Inj142</t>
  </si>
  <si>
    <t>DTXSID7022120_B_A_dos_1______Inj CYP2178-R2_Caco2_2020Jun25_Set2_Inj147</t>
  </si>
  <si>
    <t>DTXSID7022120_B_A_dos_2______Inj CYP2178-R2_Caco2_2020Jun25_Set2_Inj148</t>
  </si>
  <si>
    <t>DTXSID1032648_B_A_dos_1______Inj CYP2178-R2_Caco2_2020Jun25_Set2_Inj153</t>
  </si>
  <si>
    <t>DTXSID1032648_B_A_dos_2______Inj CYP2178-R2_Caco2_2020Jun25_Set2_Inj154</t>
  </si>
  <si>
    <t>DTXSID2020268_B_A_dos_1______Inj CYP2178-R2_Caco2_2020Jun25_Set2_Inj157</t>
  </si>
  <si>
    <t>DTXSID2020268_B_A_dos_2______Inj CYP2178-R2_Caco2_2020Jun25_Set2_Inj158</t>
  </si>
  <si>
    <t>DTXSID7025429_B_A_dos_1______Inj CYP2178-R2_Caco2_2020Jun25_Set2_Inj159</t>
  </si>
  <si>
    <t>DTXSID7025429_B_A_dos_2______Inj CYP2178-R2_Caco2_2020Jun25_Set2_Inj160</t>
  </si>
  <si>
    <t>DTXSID7025429</t>
  </si>
  <si>
    <t>349.0 / 174.1</t>
  </si>
  <si>
    <t>DTXSID7034250</t>
  </si>
  <si>
    <t>358.9 / 170.0</t>
  </si>
  <si>
    <t>DTXSID1032648</t>
  </si>
  <si>
    <t>364.8 / 127.0</t>
  </si>
  <si>
    <t>DTXSID7022120</t>
  </si>
  <si>
    <t>342.9 / 157.1</t>
  </si>
  <si>
    <t>CYP2178-R2</t>
  </si>
  <si>
    <t>Client ID</t>
  </si>
  <si>
    <t>Test Conc_x000D_
(µM)</t>
  </si>
  <si>
    <t>Assay_x000D_
Duration_x000D_
(hr)</t>
  </si>
  <si>
    <r>
      <t>Mean_x000D_
A → B_x000D_
Papp_x000D_
10</t>
    </r>
    <r>
      <rPr>
        <b/>
        <vertAlign val="superscript"/>
        <sz val="11"/>
        <color theme="1"/>
        <rFont val="Times New Roman"/>
        <family val="1"/>
      </rPr>
      <t>-6</t>
    </r>
    <r>
      <rPr>
        <b/>
        <sz val="11"/>
        <color theme="1"/>
        <rFont val="Times New Roman"/>
        <family val="1"/>
      </rPr>
      <t xml:space="preserve"> cm/s</t>
    </r>
  </si>
  <si>
    <r>
      <t>Mean_x000D_
B → A_x000D_
Papp_x000D_
10</t>
    </r>
    <r>
      <rPr>
        <b/>
        <vertAlign val="superscript"/>
        <sz val="11"/>
        <color theme="1"/>
        <rFont val="Times New Roman"/>
        <family val="1"/>
      </rPr>
      <t>-6</t>
    </r>
    <r>
      <rPr>
        <b/>
        <sz val="11"/>
        <color theme="1"/>
        <rFont val="Times New Roman"/>
        <family val="1"/>
      </rPr>
      <t xml:space="preserve"> cm/s</t>
    </r>
  </si>
  <si>
    <t>Efflux Ratio</t>
  </si>
  <si>
    <t>Comments</t>
  </si>
  <si>
    <t>Test_x000D_
Concentration_x000D_
_x000D_
(µM)</t>
  </si>
  <si>
    <t>Direction</t>
  </si>
  <si>
    <t>Parameter</t>
  </si>
  <si>
    <t>First</t>
  </si>
  <si>
    <t>Second</t>
  </si>
  <si>
    <t>Third</t>
  </si>
  <si>
    <t>Mean</t>
  </si>
  <si>
    <t>Volume</t>
  </si>
  <si>
    <t>RR1</t>
  </si>
  <si>
    <t>RR2</t>
  </si>
  <si>
    <t>RR3</t>
  </si>
  <si>
    <t>RR Mean</t>
  </si>
  <si>
    <t>RR SD</t>
  </si>
  <si>
    <t>Chamber Surface Area</t>
  </si>
  <si>
    <t>Sampling Period (hrs)</t>
  </si>
  <si>
    <t>Test Concentration (µM)</t>
  </si>
  <si>
    <t>A → B</t>
  </si>
  <si>
    <t>Donor</t>
  </si>
  <si>
    <t>Receiver</t>
  </si>
  <si>
    <t>Dosing</t>
  </si>
  <si>
    <t>Standard</t>
  </si>
  <si>
    <t>Blank</t>
  </si>
  <si>
    <t>dq/dt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</si>
  <si>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o</t>
    </r>
  </si>
  <si>
    <t>Recovery</t>
  </si>
  <si>
    <t>Papp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</si>
  <si>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app</t>
    </r>
  </si>
  <si>
    <t>B → A</t>
  </si>
  <si>
    <t>Test Article</t>
  </si>
  <si>
    <t>Test Conc (µM)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</si>
  <si>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app</t>
    </r>
    <r>
      <rPr>
        <b/>
        <sz val="11"/>
        <color theme="1"/>
        <rFont val="Calibri"/>
        <family val="2"/>
        <scheme val="minor"/>
      </rPr>
      <t>_x000D_
(10</t>
    </r>
    <r>
      <rPr>
        <b/>
        <vertAlign val="superscript"/>
        <sz val="11"/>
        <color theme="1"/>
        <rFont val="Calibri"/>
        <family val="2"/>
        <scheme val="minor"/>
      </rPr>
      <t>-6</t>
    </r>
    <r>
      <rPr>
        <b/>
        <sz val="11"/>
        <color theme="1"/>
        <rFont val="Calibri"/>
        <family val="2"/>
        <scheme val="minor"/>
      </rPr>
      <t xml:space="preserve"> cm/s)_x000D_
Rep-1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</si>
  <si>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app</t>
    </r>
    <r>
      <rPr>
        <b/>
        <sz val="11"/>
        <color theme="1"/>
        <rFont val="Calibri"/>
        <family val="2"/>
        <scheme val="minor"/>
      </rPr>
      <t>_x000D_
(10</t>
    </r>
    <r>
      <rPr>
        <b/>
        <vertAlign val="superscript"/>
        <sz val="11"/>
        <color theme="1"/>
        <rFont val="Calibri"/>
        <family val="2"/>
        <scheme val="minor"/>
      </rPr>
      <t>-6</t>
    </r>
    <r>
      <rPr>
        <b/>
        <sz val="11"/>
        <color theme="1"/>
        <rFont val="Calibri"/>
        <family val="2"/>
        <scheme val="minor"/>
      </rPr>
      <t xml:space="preserve"> cm/s)_x000D_
Rep-2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</si>
  <si>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app</t>
    </r>
    <r>
      <rPr>
        <b/>
        <sz val="11"/>
        <color theme="1"/>
        <rFont val="Calibri"/>
        <family val="2"/>
        <scheme val="minor"/>
      </rPr>
      <t>_x000D_
(10</t>
    </r>
    <r>
      <rPr>
        <b/>
        <vertAlign val="superscript"/>
        <sz val="11"/>
        <color theme="1"/>
        <rFont val="Calibri"/>
        <family val="2"/>
        <scheme val="minor"/>
      </rPr>
      <t>-6</t>
    </r>
    <r>
      <rPr>
        <b/>
        <sz val="11"/>
        <color theme="1"/>
        <rFont val="Calibri"/>
        <family val="2"/>
        <scheme val="minor"/>
      </rPr>
      <t xml:space="preserve"> cm/s)_x000D_
Rep-3</t>
    </r>
  </si>
  <si>
    <t>Low Recovery A → B</t>
  </si>
  <si>
    <t>Low Recovery A → B and B → A</t>
  </si>
  <si>
    <t>Low Recovery B → A</t>
  </si>
  <si>
    <t>Low recovery may be due to poor aqueous solubility, poor stability, and/or non-specific binding (high lipophilicity) of the_x000D_
Compound. Permeability rates for compounds with low/poor post assay recovery may be underestimated.</t>
  </si>
  <si>
    <t>(B → A)/(A → B)</t>
  </si>
  <si>
    <t>Compounds</t>
  </si>
  <si>
    <t>Stdev</t>
  </si>
  <si>
    <t>Ratio</t>
  </si>
  <si>
    <t>EPA</t>
  </si>
  <si>
    <t>Caco-2 Permeability Data Summary: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</si>
</sst>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dd\ mmm\ yyyy"/>
    <numFmt numFmtId="165" formatCode="0.000"/>
    <numFmt numFmtId="166" formatCode="0.0"/>
    <numFmt numFmtId="167" formatCode="0.0000"/>
    <numFmt numFmtId="168" formatCode="0.0%"/>
    <numFmt numFmtId="169" formatCode="0.00000"/>
    <numFmt numFmtId="170" formatCode="0.000000"/>
    <numFmt numFmtId="171" formatCode="0.000%"/>
  </numFmts>
  <fonts count="10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Dashed">
        <color rgb="FF5B9BD5"/>
      </top>
      <bottom/>
      <diagonal/>
    </border>
    <border>
      <left/>
      <right/>
      <top/>
      <bottom style="mediumDashed">
        <color rgb="FF5B9BD5"/>
      </bottom>
      <diagonal/>
    </border>
    <border>
      <left style="thick">
        <color rgb="FF5B9BD5"/>
      </left>
      <right/>
      <top style="thick">
        <color rgb="FF5B9BD5"/>
      </top>
      <bottom/>
      <diagonal/>
    </border>
    <border>
      <left/>
      <right/>
      <top style="thick">
        <color rgb="FF5B9BD5"/>
      </top>
      <bottom/>
      <diagonal/>
    </border>
    <border>
      <left/>
      <right style="thick">
        <color rgb="FF5B9BD5"/>
      </right>
      <top style="thick">
        <color rgb="FF5B9BD5"/>
      </top>
      <bottom/>
      <diagonal/>
    </border>
    <border>
      <left style="thick">
        <color rgb="FF5B9BD5"/>
      </left>
      <right/>
      <top/>
      <bottom/>
      <diagonal/>
    </border>
    <border>
      <left/>
      <right style="thick">
        <color rgb="FF5B9BD5"/>
      </right>
      <top/>
      <bottom/>
      <diagonal/>
    </border>
    <border>
      <left style="thick">
        <color rgb="FF5B9BD5"/>
      </left>
      <right/>
      <top/>
      <bottom style="mediumDashed">
        <color rgb="FF5B9BD5"/>
      </bottom>
      <diagonal/>
    </border>
    <border>
      <left/>
      <right style="thick">
        <color rgb="FF5B9BD5"/>
      </right>
      <top/>
      <bottom style="mediumDashed">
        <color rgb="FF5B9BD5"/>
      </bottom>
      <diagonal/>
    </border>
    <border>
      <left style="thick">
        <color rgb="FF5B9BD5"/>
      </left>
      <right/>
      <top style="mediumDashed">
        <color rgb="FF5B9BD5"/>
      </top>
      <bottom/>
      <diagonal/>
    </border>
    <border>
      <left/>
      <right style="thick">
        <color rgb="FF5B9BD5"/>
      </right>
      <top style="mediumDashed">
        <color rgb="FF5B9BD5"/>
      </top>
      <bottom/>
      <diagonal/>
    </border>
    <border>
      <left style="thick">
        <color rgb="FF5B9BD5"/>
      </left>
      <right/>
      <top/>
      <bottom style="thick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 style="thick">
        <color rgb="FF5B9BD5"/>
      </right>
      <top/>
      <bottom style="thick">
        <color rgb="FF5B9BD5"/>
      </bottom>
      <diagonal/>
    </border>
    <border>
      <left/>
      <right/>
      <top style="mediumDashed">
        <color rgb="FFED7D31"/>
      </top>
      <bottom/>
      <diagonal/>
    </border>
    <border>
      <left/>
      <right/>
      <top/>
      <bottom style="mediumDashed">
        <color rgb="FFED7D31"/>
      </bottom>
      <diagonal/>
    </border>
    <border>
      <left style="thick">
        <color rgb="FFED7D31"/>
      </left>
      <right/>
      <top style="thick">
        <color rgb="FFED7D31"/>
      </top>
      <bottom/>
      <diagonal/>
    </border>
    <border>
      <left/>
      <right/>
      <top style="thick">
        <color rgb="FFED7D31"/>
      </top>
      <bottom/>
      <diagonal/>
    </border>
    <border>
      <left/>
      <right style="thick">
        <color rgb="FFED7D31"/>
      </right>
      <top style="thick">
        <color rgb="FFED7D31"/>
      </top>
      <bottom/>
      <diagonal/>
    </border>
    <border>
      <left style="thick">
        <color rgb="FFED7D31"/>
      </left>
      <right/>
      <top/>
      <bottom/>
      <diagonal/>
    </border>
    <border>
      <left/>
      <right style="thick">
        <color rgb="FFED7D31"/>
      </right>
      <top/>
      <bottom/>
      <diagonal/>
    </border>
    <border>
      <left style="thick">
        <color rgb="FFED7D31"/>
      </left>
      <right/>
      <top/>
      <bottom style="mediumDashed">
        <color rgb="FFED7D31"/>
      </bottom>
      <diagonal/>
    </border>
    <border>
      <left/>
      <right style="thick">
        <color rgb="FFED7D31"/>
      </right>
      <top/>
      <bottom style="mediumDashed">
        <color rgb="FFED7D31"/>
      </bottom>
      <diagonal/>
    </border>
    <border>
      <left style="thick">
        <color rgb="FFED7D31"/>
      </left>
      <right/>
      <top style="mediumDashed">
        <color rgb="FFED7D31"/>
      </top>
      <bottom/>
      <diagonal/>
    </border>
    <border>
      <left/>
      <right style="thick">
        <color rgb="FFED7D31"/>
      </right>
      <top style="mediumDashed">
        <color rgb="FFED7D31"/>
      </top>
      <bottom/>
      <diagonal/>
    </border>
    <border>
      <left style="thick">
        <color rgb="FFED7D31"/>
      </left>
      <right/>
      <top/>
      <bottom style="thick">
        <color rgb="FFED7D31"/>
      </bottom>
      <diagonal/>
    </border>
    <border>
      <left/>
      <right/>
      <top/>
      <bottom style="thick">
        <color rgb="FFED7D31"/>
      </bottom>
      <diagonal/>
    </border>
    <border>
      <left/>
      <right style="thick">
        <color rgb="FFED7D31"/>
      </right>
      <top/>
      <bottom style="thick">
        <color rgb="FFED7D31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ash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Dashed">
        <color rgb="FF000000"/>
      </left>
      <right/>
      <top style="double">
        <color rgb="FF000000"/>
      </top>
      <bottom/>
      <diagonal/>
    </border>
    <border>
      <left style="mediumDashed">
        <color rgb="FF000000"/>
      </left>
      <right/>
      <top/>
      <bottom/>
      <diagonal/>
    </border>
    <border>
      <left style="mediumDashed">
        <color rgb="FF000000"/>
      </left>
      <right/>
      <top/>
      <bottom style="double">
        <color rgb="FF000000"/>
      </bottom>
      <diagonal/>
    </border>
  </borders>
  <cellStyleXfs count="2">
    <xf numFmtId="0" fontId="0" fillId="0" borderId="0"/>
    <xf numFmtId="0" fontId="1" fillId="0" borderId="0"/>
  </cellStyleXfs>
  <cellXfs count="21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2" fontId="1" fillId="0" borderId="0" xfId="1" applyNumberFormat="1"/>
    <xf numFmtId="165" fontId="1" fillId="0" borderId="0" xfId="1" applyNumberFormat="1"/>
    <xf numFmtId="166" fontId="1" fillId="0" borderId="0" xfId="1" applyNumberFormat="1"/>
    <xf numFmtId="167" fontId="1" fillId="0" borderId="0" xfId="1" applyNumberFormat="1"/>
    <xf numFmtId="0" fontId="2" fillId="0" borderId="3" xfId="1" applyFont="1" applyBorder="1"/>
    <xf numFmtId="2" fontId="1" fillId="0" borderId="4" xfId="1" applyNumberFormat="1" applyBorder="1"/>
    <xf numFmtId="0" fontId="2" fillId="0" borderId="5" xfId="1" applyFont="1" applyBorder="1"/>
    <xf numFmtId="165" fontId="1" fillId="0" borderId="6" xfId="1" applyNumberFormat="1" applyBorder="1"/>
    <xf numFmtId="2" fontId="1" fillId="0" borderId="6" xfId="1" applyNumberFormat="1" applyBorder="1"/>
    <xf numFmtId="0" fontId="2" fillId="0" borderId="7" xfId="1" applyFont="1" applyBorder="1"/>
    <xf numFmtId="166" fontId="1" fillId="0" borderId="8" xfId="1" applyNumberFormat="1" applyBorder="1"/>
    <xf numFmtId="0" fontId="1" fillId="0" borderId="9" xfId="1" applyBorder="1"/>
    <xf numFmtId="0" fontId="1" fillId="0" borderId="0" xfId="1" applyBorder="1"/>
    <xf numFmtId="0" fontId="1" fillId="0" borderId="10" xfId="1" applyBorder="1"/>
    <xf numFmtId="165" fontId="1" fillId="0" borderId="0" xfId="1" applyNumberFormat="1" applyBorder="1"/>
    <xf numFmtId="167" fontId="2" fillId="0" borderId="0" xfId="1" applyNumberFormat="1" applyFont="1" applyBorder="1"/>
    <xf numFmtId="167" fontId="1" fillId="0" borderId="0" xfId="1" applyNumberFormat="1" applyBorder="1"/>
    <xf numFmtId="165" fontId="2" fillId="0" borderId="0" xfId="1" applyNumberFormat="1" applyFont="1" applyBorder="1"/>
    <xf numFmtId="11" fontId="1" fillId="0" borderId="10" xfId="1" applyNumberFormat="1" applyBorder="1"/>
    <xf numFmtId="167" fontId="1" fillId="0" borderId="12" xfId="1" applyNumberFormat="1" applyBorder="1"/>
    <xf numFmtId="165" fontId="2" fillId="0" borderId="12" xfId="1" applyNumberFormat="1" applyFont="1" applyBorder="1"/>
    <xf numFmtId="0" fontId="1" fillId="0" borderId="12" xfId="1" applyBorder="1"/>
    <xf numFmtId="0" fontId="1" fillId="0" borderId="15" xfId="1" applyBorder="1"/>
    <xf numFmtId="0" fontId="1" fillId="0" borderId="21" xfId="1" applyBorder="1"/>
    <xf numFmtId="11" fontId="1" fillId="0" borderId="9" xfId="1" applyNumberFormat="1" applyBorder="1"/>
    <xf numFmtId="168" fontId="1" fillId="0" borderId="0" xfId="1" applyNumberFormat="1" applyBorder="1"/>
    <xf numFmtId="166" fontId="1" fillId="0" borderId="21" xfId="1" applyNumberFormat="1" applyBorder="1"/>
    <xf numFmtId="165" fontId="1" fillId="0" borderId="12" xfId="1" applyNumberFormat="1" applyBorder="1"/>
    <xf numFmtId="169" fontId="1" fillId="0" borderId="13" xfId="1" applyNumberFormat="1" applyBorder="1"/>
    <xf numFmtId="170" fontId="1" fillId="0" borderId="15" xfId="1" applyNumberFormat="1" applyBorder="1"/>
    <xf numFmtId="167" fontId="1" fillId="0" borderId="15" xfId="1" applyNumberFormat="1" applyBorder="1"/>
    <xf numFmtId="11" fontId="1" fillId="0" borderId="17" xfId="1" applyNumberFormat="1" applyBorder="1"/>
    <xf numFmtId="11" fontId="1" fillId="0" borderId="19" xfId="1" applyNumberFormat="1" applyBorder="1"/>
    <xf numFmtId="171" fontId="1" fillId="0" borderId="15" xfId="1" applyNumberFormat="1" applyBorder="1"/>
    <xf numFmtId="165" fontId="1" fillId="0" borderId="22" xfId="1" applyNumberFormat="1" applyBorder="1"/>
    <xf numFmtId="11" fontId="1" fillId="0" borderId="9" xfId="1" applyNumberFormat="1" applyBorder="1" applyAlignment="1">
      <alignment horizontal="left"/>
    </xf>
    <xf numFmtId="165" fontId="1" fillId="0" borderId="0" xfId="1" applyNumberFormat="1" applyBorder="1" applyAlignment="1">
      <alignment horizontal="left"/>
    </xf>
    <xf numFmtId="168" fontId="1" fillId="0" borderId="0" xfId="1" applyNumberFormat="1" applyBorder="1" applyAlignment="1">
      <alignment horizontal="left"/>
    </xf>
    <xf numFmtId="166" fontId="1" fillId="0" borderId="21" xfId="1" applyNumberFormat="1" applyBorder="1" applyAlignment="1">
      <alignment horizontal="left"/>
    </xf>
    <xf numFmtId="0" fontId="1" fillId="0" borderId="23" xfId="1" applyBorder="1"/>
    <xf numFmtId="0" fontId="1" fillId="0" borderId="24" xfId="1" applyBorder="1"/>
    <xf numFmtId="11" fontId="1" fillId="0" borderId="24" xfId="1" applyNumberFormat="1" applyBorder="1"/>
    <xf numFmtId="165" fontId="1" fillId="0" borderId="26" xfId="1" applyNumberFormat="1" applyBorder="1"/>
    <xf numFmtId="165" fontId="2" fillId="0" borderId="26" xfId="1" applyNumberFormat="1" applyFont="1" applyBorder="1"/>
    <xf numFmtId="0" fontId="1" fillId="0" borderId="26" xfId="1" applyBorder="1"/>
    <xf numFmtId="0" fontId="1" fillId="0" borderId="29" xfId="1" applyBorder="1"/>
    <xf numFmtId="0" fontId="2" fillId="0" borderId="34" xfId="1" applyFont="1" applyBorder="1"/>
    <xf numFmtId="0" fontId="1" fillId="0" borderId="35" xfId="1" applyBorder="1"/>
    <xf numFmtId="11" fontId="1" fillId="0" borderId="23" xfId="1" applyNumberFormat="1" applyBorder="1"/>
    <xf numFmtId="2" fontId="1" fillId="0" borderId="24" xfId="1" applyNumberFormat="1" applyBorder="1"/>
    <xf numFmtId="165" fontId="1" fillId="0" borderId="35" xfId="1" applyNumberFormat="1" applyBorder="1"/>
    <xf numFmtId="167" fontId="1" fillId="0" borderId="27" xfId="1" applyNumberFormat="1" applyBorder="1"/>
    <xf numFmtId="169" fontId="1" fillId="0" borderId="29" xfId="1" applyNumberFormat="1" applyBorder="1"/>
    <xf numFmtId="170" fontId="1" fillId="0" borderId="29" xfId="1" applyNumberFormat="1" applyBorder="1"/>
    <xf numFmtId="11" fontId="1" fillId="0" borderId="31" xfId="1" applyNumberFormat="1" applyBorder="1"/>
    <xf numFmtId="11" fontId="1" fillId="0" borderId="33" xfId="1" applyNumberFormat="1" applyBorder="1"/>
    <xf numFmtId="10" fontId="1" fillId="0" borderId="29" xfId="1" applyNumberFormat="1" applyBorder="1"/>
    <xf numFmtId="165" fontId="1" fillId="0" borderId="31" xfId="1" applyNumberFormat="1" applyBorder="1"/>
    <xf numFmtId="169" fontId="1" fillId="0" borderId="36" xfId="1" applyNumberFormat="1" applyBorder="1"/>
    <xf numFmtId="11" fontId="1" fillId="0" borderId="23" xfId="1" applyNumberFormat="1" applyBorder="1" applyAlignment="1">
      <alignment horizontal="left"/>
    </xf>
    <xf numFmtId="2" fontId="1" fillId="0" borderId="24" xfId="1" applyNumberFormat="1" applyBorder="1" applyAlignment="1">
      <alignment horizontal="lef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11" xfId="1" applyFont="1" applyBorder="1" applyAlignment="1">
      <alignment horizontal="right"/>
    </xf>
    <xf numFmtId="0" fontId="2" fillId="0" borderId="14" xfId="1" applyFont="1" applyBorder="1" applyAlignment="1">
      <alignment horizontal="right"/>
    </xf>
    <xf numFmtId="0" fontId="2" fillId="0" borderId="16" xfId="1" applyFont="1" applyBorder="1" applyAlignment="1">
      <alignment horizontal="right"/>
    </xf>
    <xf numFmtId="0" fontId="2" fillId="0" borderId="18" xfId="1" applyFont="1" applyBorder="1" applyAlignment="1">
      <alignment horizontal="right"/>
    </xf>
    <xf numFmtId="0" fontId="2" fillId="0" borderId="20" xfId="1" applyFont="1" applyBorder="1" applyAlignment="1">
      <alignment horizontal="right"/>
    </xf>
    <xf numFmtId="0" fontId="2" fillId="0" borderId="25" xfId="1" applyFont="1" applyBorder="1" applyAlignment="1">
      <alignment horizontal="right"/>
    </xf>
    <xf numFmtId="0" fontId="2" fillId="0" borderId="28" xfId="1" applyFont="1" applyBorder="1" applyAlignment="1">
      <alignment horizontal="right"/>
    </xf>
    <xf numFmtId="0" fontId="2" fillId="0" borderId="30" xfId="1" applyFont="1" applyBorder="1" applyAlignment="1">
      <alignment horizontal="right"/>
    </xf>
    <xf numFmtId="0" fontId="2" fillId="0" borderId="32" xfId="1" applyFont="1" applyBorder="1" applyAlignment="1">
      <alignment horizontal="right"/>
    </xf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Alignment="1">
      <alignment vertical="center" wrapText="1"/>
    </xf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  <xf numFmtId="166" fontId="1" fillId="0" borderId="0" xfId="1" applyNumberFormat="1" applyAlignment="1">
      <alignment horizontal="center"/>
    </xf>
    <xf numFmtId="168" fontId="1" fillId="0" borderId="0" xfId="1" applyNumberFormat="1" applyAlignment="1">
      <alignment horizontal="center"/>
    </xf>
    <xf numFmtId="166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165" fontId="1" fillId="0" borderId="1" xfId="1" applyNumberFormat="1" applyBorder="1" applyAlignment="1">
      <alignment horizontal="center"/>
    </xf>
    <xf numFmtId="0" fontId="1" fillId="0" borderId="0" xfId="1" applyAlignment="1">
      <alignment horizontal="center" vertical="center"/>
    </xf>
    <xf numFmtId="11" fontId="2" fillId="0" borderId="0" xfId="1" applyNumberFormat="1" applyFont="1" applyBorder="1"/>
    <xf numFmtId="165" fontId="1" fillId="0" borderId="21" xfId="1" applyNumberFormat="1" applyBorder="1"/>
    <xf numFmtId="11" fontId="1" fillId="0" borderId="0" xfId="1" applyNumberFormat="1" applyBorder="1"/>
    <xf numFmtId="11" fontId="1" fillId="0" borderId="15" xfId="1" applyNumberFormat="1" applyBorder="1"/>
    <xf numFmtId="169" fontId="1" fillId="0" borderId="15" xfId="1" applyNumberFormat="1" applyBorder="1"/>
    <xf numFmtId="169" fontId="1" fillId="0" borderId="22" xfId="1" applyNumberFormat="1" applyBorder="1"/>
    <xf numFmtId="169" fontId="1" fillId="0" borderId="0" xfId="1" applyNumberFormat="1"/>
    <xf numFmtId="165" fontId="1" fillId="0" borderId="21" xfId="1" applyNumberFormat="1" applyBorder="1" applyAlignment="1">
      <alignment horizontal="left"/>
    </xf>
    <xf numFmtId="170" fontId="2" fillId="0" borderId="0" xfId="1" applyNumberFormat="1" applyFont="1" applyBorder="1"/>
    <xf numFmtId="165" fontId="1" fillId="0" borderId="24" xfId="1" applyNumberFormat="1" applyBorder="1"/>
    <xf numFmtId="2" fontId="1" fillId="0" borderId="35" xfId="1" applyNumberFormat="1" applyBorder="1"/>
    <xf numFmtId="169" fontId="1" fillId="0" borderId="27" xfId="1" applyNumberFormat="1" applyBorder="1"/>
    <xf numFmtId="170" fontId="1" fillId="0" borderId="0" xfId="1" applyNumberFormat="1" applyBorder="1"/>
    <xf numFmtId="11" fontId="1" fillId="0" borderId="29" xfId="1" applyNumberFormat="1" applyBorder="1"/>
    <xf numFmtId="167" fontId="1" fillId="0" borderId="31" xfId="1" applyNumberFormat="1" applyBorder="1"/>
    <xf numFmtId="167" fontId="1" fillId="0" borderId="36" xfId="1" applyNumberFormat="1" applyBorder="1"/>
    <xf numFmtId="165" fontId="1" fillId="0" borderId="24" xfId="1" applyNumberFormat="1" applyBorder="1" applyAlignment="1">
      <alignment horizontal="left"/>
    </xf>
    <xf numFmtId="165" fontId="1" fillId="0" borderId="0" xfId="1" applyNumberFormat="1" applyAlignment="1">
      <alignment horizontal="center"/>
    </xf>
    <xf numFmtId="2" fontId="1" fillId="0" borderId="1" xfId="1" applyNumberFormat="1" applyBorder="1" applyAlignment="1">
      <alignment horizontal="center"/>
    </xf>
    <xf numFmtId="167" fontId="2" fillId="0" borderId="12" xfId="1" applyNumberFormat="1" applyFont="1" applyBorder="1"/>
    <xf numFmtId="10" fontId="1" fillId="0" borderId="0" xfId="1" applyNumberFormat="1" applyBorder="1"/>
    <xf numFmtId="167" fontId="1" fillId="0" borderId="13" xfId="1" applyNumberFormat="1" applyBorder="1"/>
    <xf numFmtId="10" fontId="1" fillId="0" borderId="15" xfId="1" applyNumberFormat="1" applyBorder="1"/>
    <xf numFmtId="167" fontId="1" fillId="0" borderId="22" xfId="1" applyNumberFormat="1" applyBorder="1"/>
    <xf numFmtId="167" fontId="2" fillId="0" borderId="26" xfId="1" applyNumberFormat="1" applyFont="1" applyBorder="1"/>
    <xf numFmtId="166" fontId="1" fillId="0" borderId="35" xfId="1" applyNumberFormat="1" applyBorder="1"/>
    <xf numFmtId="167" fontId="1" fillId="0" borderId="26" xfId="1" applyNumberFormat="1" applyBorder="1"/>
    <xf numFmtId="167" fontId="1" fillId="0" borderId="29" xfId="1" applyNumberFormat="1" applyBorder="1"/>
    <xf numFmtId="165" fontId="1" fillId="0" borderId="36" xfId="1" applyNumberFormat="1" applyBorder="1"/>
    <xf numFmtId="10" fontId="1" fillId="0" borderId="0" xfId="1" applyNumberFormat="1" applyAlignment="1">
      <alignment horizontal="center"/>
    </xf>
    <xf numFmtId="166" fontId="1" fillId="0" borderId="1" xfId="1" applyNumberFormat="1" applyBorder="1" applyAlignment="1">
      <alignment horizontal="center"/>
    </xf>
    <xf numFmtId="2" fontId="2" fillId="0" borderId="0" xfId="1" applyNumberFormat="1" applyFont="1" applyBorder="1"/>
    <xf numFmtId="2" fontId="2" fillId="0" borderId="12" xfId="1" applyNumberFormat="1" applyFont="1" applyBorder="1"/>
    <xf numFmtId="2" fontId="1" fillId="0" borderId="0" xfId="1" applyNumberFormat="1" applyBorder="1"/>
    <xf numFmtId="167" fontId="1" fillId="0" borderId="21" xfId="1" applyNumberFormat="1" applyBorder="1"/>
    <xf numFmtId="2" fontId="1" fillId="0" borderId="12" xfId="1" applyNumberFormat="1" applyBorder="1"/>
    <xf numFmtId="165" fontId="1" fillId="0" borderId="13" xfId="1" applyNumberFormat="1" applyBorder="1"/>
    <xf numFmtId="165" fontId="1" fillId="0" borderId="15" xfId="1" applyNumberFormat="1" applyBorder="1"/>
    <xf numFmtId="2" fontId="1" fillId="0" borderId="0" xfId="1" applyNumberFormat="1" applyBorder="1" applyAlignment="1">
      <alignment horizontal="left"/>
    </xf>
    <xf numFmtId="167" fontId="1" fillId="0" borderId="21" xfId="1" applyNumberFormat="1" applyBorder="1" applyAlignment="1">
      <alignment horizontal="left"/>
    </xf>
    <xf numFmtId="169" fontId="2" fillId="0" borderId="0" xfId="1" applyNumberFormat="1" applyFont="1" applyBorder="1"/>
    <xf numFmtId="2" fontId="2" fillId="0" borderId="26" xfId="1" applyNumberFormat="1" applyFont="1" applyBorder="1"/>
    <xf numFmtId="167" fontId="1" fillId="0" borderId="24" xfId="1" applyNumberFormat="1" applyBorder="1"/>
    <xf numFmtId="169" fontId="1" fillId="0" borderId="24" xfId="1" applyNumberFormat="1" applyBorder="1"/>
    <xf numFmtId="2" fontId="1" fillId="0" borderId="26" xfId="1" applyNumberFormat="1" applyBorder="1"/>
    <xf numFmtId="165" fontId="1" fillId="0" borderId="29" xfId="1" applyNumberFormat="1" applyBorder="1"/>
    <xf numFmtId="171" fontId="1" fillId="0" borderId="29" xfId="1" applyNumberFormat="1" applyBorder="1"/>
    <xf numFmtId="2" fontId="1" fillId="0" borderId="36" xfId="1" applyNumberFormat="1" applyBorder="1"/>
    <xf numFmtId="167" fontId="1" fillId="0" borderId="24" xfId="1" applyNumberFormat="1" applyBorder="1" applyAlignment="1">
      <alignment horizontal="left"/>
    </xf>
    <xf numFmtId="167" fontId="1" fillId="0" borderId="0" xfId="1" applyNumberFormat="1" applyAlignment="1">
      <alignment horizontal="center"/>
    </xf>
    <xf numFmtId="169" fontId="1" fillId="0" borderId="0" xfId="1" applyNumberFormat="1" applyAlignment="1">
      <alignment horizontal="center"/>
    </xf>
    <xf numFmtId="2" fontId="1" fillId="0" borderId="22" xfId="1" applyNumberFormat="1" applyBorder="1"/>
    <xf numFmtId="166" fontId="1" fillId="0" borderId="24" xfId="1" applyNumberFormat="1" applyBorder="1"/>
    <xf numFmtId="166" fontId="1" fillId="0" borderId="24" xfId="1" applyNumberFormat="1" applyBorder="1" applyAlignment="1">
      <alignment horizontal="left"/>
    </xf>
    <xf numFmtId="166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/>
    <xf numFmtId="0" fontId="0" fillId="0" borderId="1" xfId="0" applyBorder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38" xfId="0" applyBorder="1"/>
    <xf numFmtId="0" fontId="5" fillId="0" borderId="38" xfId="0" applyFont="1" applyBorder="1"/>
    <xf numFmtId="168" fontId="0" fillId="0" borderId="38" xfId="0" applyNumberFormat="1" applyBorder="1"/>
    <xf numFmtId="0" fontId="0" fillId="0" borderId="39" xfId="0" applyBorder="1"/>
    <xf numFmtId="0" fontId="5" fillId="0" borderId="39" xfId="0" applyFont="1" applyBorder="1"/>
    <xf numFmtId="165" fontId="0" fillId="0" borderId="39" xfId="0" applyNumberFormat="1" applyBorder="1"/>
    <xf numFmtId="2" fontId="0" fillId="0" borderId="39" xfId="0" applyNumberFormat="1" applyBorder="1"/>
    <xf numFmtId="10" fontId="0" fillId="0" borderId="38" xfId="0" applyNumberFormat="1" applyBorder="1"/>
    <xf numFmtId="166" fontId="0" fillId="0" borderId="39" xfId="0" applyNumberFormat="1" applyBorder="1"/>
    <xf numFmtId="0" fontId="0" fillId="0" borderId="0" xfId="0" applyBorder="1"/>
    <xf numFmtId="0" fontId="5" fillId="0" borderId="0" xfId="0" applyFont="1" applyBorder="1"/>
    <xf numFmtId="166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169" fontId="0" fillId="0" borderId="0" xfId="0" applyNumberFormat="1" applyBorder="1"/>
    <xf numFmtId="167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37" xfId="0" applyFont="1" applyBorder="1" applyAlignment="1">
      <alignment horizontal="center"/>
    </xf>
    <xf numFmtId="169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1" xfId="0" applyNumberFormat="1" applyBorder="1"/>
    <xf numFmtId="166" fontId="0" fillId="0" borderId="40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67" fontId="0" fillId="0" borderId="41" xfId="0" applyNumberFormat="1" applyBorder="1" applyAlignment="1">
      <alignment horizontal="center"/>
    </xf>
    <xf numFmtId="166" fontId="0" fillId="0" borderId="42" xfId="0" applyNumberFormat="1" applyBorder="1" applyAlignment="1">
      <alignment horizontal="center"/>
    </xf>
    <xf numFmtId="2" fontId="0" fillId="0" borderId="43" xfId="0" applyNumberFormat="1" applyBorder="1" applyAlignment="1">
      <alignment horizontal="center"/>
    </xf>
    <xf numFmtId="165" fontId="0" fillId="0" borderId="44" xfId="0" applyNumberFormat="1" applyBorder="1" applyAlignment="1">
      <alignment horizontal="center"/>
    </xf>
    <xf numFmtId="2" fontId="0" fillId="0" borderId="44" xfId="0" applyNumberFormat="1" applyBorder="1" applyAlignment="1">
      <alignment horizontal="center"/>
    </xf>
    <xf numFmtId="167" fontId="0" fillId="0" borderId="44" xfId="0" applyNumberFormat="1" applyBorder="1" applyAlignment="1">
      <alignment horizontal="center"/>
    </xf>
    <xf numFmtId="166" fontId="0" fillId="0" borderId="45" xfId="0" applyNumberFormat="1" applyBorder="1" applyAlignment="1">
      <alignment horizontal="center"/>
    </xf>
    <xf numFmtId="165" fontId="0" fillId="0" borderId="43" xfId="0" applyNumberFormat="1" applyBorder="1" applyAlignment="1">
      <alignment horizontal="center"/>
    </xf>
    <xf numFmtId="166" fontId="0" fillId="0" borderId="44" xfId="0" applyNumberFormat="1" applyBorder="1" applyAlignment="1">
      <alignment horizontal="center"/>
    </xf>
    <xf numFmtId="165" fontId="0" fillId="0" borderId="45" xfId="0" applyNumberFormat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0" xfId="0" applyAlignment="1">
      <alignment horizontal="center"/>
    </xf>
    <xf numFmtId="164" fontId="9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37" xfId="0" applyBorder="1" applyAlignment="1">
      <alignment horizontal="center" wrapText="1"/>
    </xf>
  </cellXfs>
  <cellStyles count="2">
    <cellStyle name="Normal" xfId="0" builtinId="0" customBuiltin="1"/>
    <cellStyle name="Normal 2" xfId="1"/>
  </cellStyles>
  <dxfs count="80"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  <dxf>
      <fill>
        <patternFill patternType="lightDown">
          <fgColor rgb="FFFC574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Permeability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 → B</c:v>
          </c:tx>
          <c:invertIfNegative val="0"/>
          <c:errBars>
            <c:errBarType val="both"/>
            <c:errValType val="cust"/>
            <c:noEndCap val="0"/>
            <c:plus>
              <c:numRef>
                <c:f>Summary!$C$37:$C$41</c:f>
                <c:numCache>
                  <c:formatCode>General</c:formatCode>
                  <c:ptCount val="5"/>
                  <c:pt idx="0">
                    <c:v>0.65901673840067709</c:v>
                  </c:pt>
                  <c:pt idx="1">
                    <c:v>8.5406615171504975E-3</c:v>
                  </c:pt>
                  <c:pt idx="2">
                    <c:v>3.466423877976383E-2</c:v>
                  </c:pt>
                  <c:pt idx="3">
                    <c:v>8.6814292331691689E-3</c:v>
                  </c:pt>
                  <c:pt idx="4">
                    <c:v>1.5916673781233799</c:v>
                  </c:pt>
                </c:numCache>
              </c:numRef>
            </c:plus>
            <c:minus>
              <c:numRef>
                <c:f>Summary!$C$37:$C$41</c:f>
                <c:numCache>
                  <c:formatCode>General</c:formatCode>
                  <c:ptCount val="5"/>
                  <c:pt idx="0">
                    <c:v>0.65901673840067709</c:v>
                  </c:pt>
                  <c:pt idx="1">
                    <c:v>8.5406615171504975E-3</c:v>
                  </c:pt>
                  <c:pt idx="2">
                    <c:v>3.466423877976383E-2</c:v>
                  </c:pt>
                  <c:pt idx="3">
                    <c:v>8.6814292331691689E-3</c:v>
                  </c:pt>
                  <c:pt idx="4">
                    <c:v>1.5916673781233799</c:v>
                  </c:pt>
                </c:numCache>
              </c:numRef>
            </c:minus>
          </c:errBars>
          <c:val>
            <c:numRef>
              <c:f>Summary!$B$37:$B$41</c:f>
              <c:numCache>
                <c:formatCode>0.000</c:formatCode>
                <c:ptCount val="5"/>
                <c:pt idx="0" formatCode="0.0">
                  <c:v>14.024538146195072</c:v>
                </c:pt>
                <c:pt idx="1">
                  <c:v>0.13699539817495127</c:v>
                </c:pt>
                <c:pt idx="2">
                  <c:v>0.13209334922459429</c:v>
                </c:pt>
                <c:pt idx="3" formatCode="0.0000">
                  <c:v>1.5750497748728571E-2</c:v>
                </c:pt>
                <c:pt idx="4" formatCode="0.0">
                  <c:v>29.439020545369516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9-4785-B7DE-034CC194CB13}"/>
            </c:ext>
          </c:extLst>
        </c:ser>
        <c:ser>
          <c:idx val="1"/>
          <c:order val="1"/>
          <c:tx>
            <c:v>B → A</c:v>
          </c:tx>
          <c:invertIfNegative val="0"/>
          <c:errBars>
            <c:errBarType val="both"/>
            <c:errValType val="cust"/>
            <c:noEndCap val="0"/>
            <c:plus>
              <c:numRef>
                <c:f>Summary!$E$37:$E$41</c:f>
                <c:numCache>
                  <c:formatCode>General</c:formatCode>
                  <c:ptCount val="5"/>
                  <c:pt idx="0">
                    <c:v>0.42043919427056903</c:v>
                  </c:pt>
                  <c:pt idx="1">
                    <c:v>3.1787871040958177E-2</c:v>
                  </c:pt>
                  <c:pt idx="2">
                    <c:v>0.86245006828889947</c:v>
                  </c:pt>
                  <c:pt idx="3">
                    <c:v>1.9166043840411845E-2</c:v>
                  </c:pt>
                  <c:pt idx="4">
                    <c:v>2.5826479016773339E-2</c:v>
                  </c:pt>
                </c:numCache>
              </c:numRef>
            </c:plus>
            <c:minus>
              <c:numRef>
                <c:f>Summary!$E$37:$E$41</c:f>
                <c:numCache>
                  <c:formatCode>General</c:formatCode>
                  <c:ptCount val="5"/>
                  <c:pt idx="0">
                    <c:v>0.42043919427056903</c:v>
                  </c:pt>
                  <c:pt idx="1">
                    <c:v>3.1787871040958177E-2</c:v>
                  </c:pt>
                  <c:pt idx="2">
                    <c:v>0.86245006828889947</c:v>
                  </c:pt>
                  <c:pt idx="3">
                    <c:v>1.9166043840411845E-2</c:v>
                  </c:pt>
                  <c:pt idx="4">
                    <c:v>2.5826479016773339E-2</c:v>
                  </c:pt>
                </c:numCache>
              </c:numRef>
            </c:minus>
          </c:errBars>
          <c:cat>
            <c:strRef>
              <c:f>Summary!$A$37:$A$41</c:f>
              <c:strCache>
                <c:ptCount val="5"/>
                <c:pt idx="0">
                  <c:v>DTXSID1032648</c:v>
                </c:pt>
                <c:pt idx="1">
                  <c:v>DTXSID2020268</c:v>
                </c:pt>
                <c:pt idx="2">
                  <c:v>DTXSID7022120</c:v>
                </c:pt>
                <c:pt idx="3">
                  <c:v>DTXSID7025429</c:v>
                </c:pt>
                <c:pt idx="4">
                  <c:v>DTXSID7034250</c:v>
                </c:pt>
              </c:strCache>
            </c:strRef>
          </c:cat>
          <c:val>
            <c:numRef>
              <c:f>Summary!$D$37:$D$41</c:f>
              <c:numCache>
                <c:formatCode>0.000</c:formatCode>
                <c:ptCount val="5"/>
                <c:pt idx="0" formatCode="0.00">
                  <c:v>7.5961763752424378</c:v>
                </c:pt>
                <c:pt idx="1">
                  <c:v>0.48182344394975174</c:v>
                </c:pt>
                <c:pt idx="2" formatCode="0.00">
                  <c:v>2.9425841809163575</c:v>
                </c:pt>
                <c:pt idx="3" formatCode="0.0000">
                  <c:v>2.0756444155644701E-2</c:v>
                </c:pt>
                <c:pt idx="4" formatCode="0.0">
                  <c:v>21.254168487690954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09-4785-B7DE-034CC194C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684776"/>
        <c:axId val="390674608"/>
      </c:barChart>
      <c:catAx>
        <c:axId val="390684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Compound</a:t>
                </a:r>
              </a:p>
            </c:rich>
          </c:tx>
          <c:overlay val="0"/>
        </c:title>
        <c:majorTickMark val="out"/>
        <c:minorTickMark val="none"/>
        <c:tickLblPos val="nextTo"/>
        <c:crossAx val="390674608"/>
        <c:crosses val="autoZero"/>
        <c:auto val="1"/>
        <c:lblAlgn val="ctr"/>
        <c:lblOffset val="100"/>
        <c:noMultiLvlLbl val="0"/>
      </c:catAx>
      <c:valAx>
        <c:axId val="390674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Papp (10-6 cm/s)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390684776"/>
        <c:crosses val="autoZero"/>
        <c:crossBetween val="between"/>
      </c:valAx>
      <c:spPr>
        <a:solidFill>
          <a:srgbClr val="FFC000">
            <a:lumMod val="20000"/>
            <a:lumOff val="80000"/>
          </a:srgbClr>
        </a:solidFill>
      </c:spPr>
    </c:plotArea>
    <c:legend>
      <c:legendPos val="t"/>
      <c:overlay val="0"/>
      <c:spPr>
        <a:solidFill>
          <a:srgbClr val="FFF2CC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Permeability of DTXSID1032648</a:t>
            </a:r>
          </a:p>
          <a:p>
            <a:pPr>
              <a:defRPr/>
            </a:pPr>
            <a:r>
              <a:rPr lang="en-US"/>
              <a:t>Efflux Ratio = 0.542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Data!$R$2:$R$3</c:f>
                <c:numCache>
                  <c:formatCode>General</c:formatCode>
                  <c:ptCount val="2"/>
                  <c:pt idx="0">
                    <c:v>0.65901673840067709</c:v>
                  </c:pt>
                  <c:pt idx="1">
                    <c:v>0.42043919427056903</c:v>
                  </c:pt>
                </c:numCache>
              </c:numRef>
            </c:plus>
            <c:minus>
              <c:numRef>
                <c:f>Data!$R$2:$R$3</c:f>
                <c:numCache>
                  <c:formatCode>General</c:formatCode>
                  <c:ptCount val="2"/>
                  <c:pt idx="0">
                    <c:v>0.65901673840067709</c:v>
                  </c:pt>
                  <c:pt idx="1">
                    <c:v>0.42043919427056903</c:v>
                  </c:pt>
                </c:numCache>
              </c:numRef>
            </c:minus>
          </c:errBars>
          <c:cat>
            <c:strRef>
              <c:f>Data!$P$2:$P$3</c:f>
              <c:strCache>
                <c:ptCount val="2"/>
                <c:pt idx="0">
                  <c:v>A → B</c:v>
                </c:pt>
                <c:pt idx="1">
                  <c:v>B → A</c:v>
                </c:pt>
              </c:strCache>
            </c:strRef>
          </c:cat>
          <c:val>
            <c:numRef>
              <c:f>Data!$Q$2:$Q$3</c:f>
              <c:numCache>
                <c:formatCode>0.00</c:formatCode>
                <c:ptCount val="2"/>
                <c:pt idx="0" formatCode="0.0">
                  <c:v>14.024538146195072</c:v>
                </c:pt>
                <c:pt idx="1">
                  <c:v>7.5961763752424378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42-4B63-AC6C-79691CA03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8189448"/>
        <c:axId val="388189776"/>
      </c:barChart>
      <c:catAx>
        <c:axId val="388189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Direction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8189776"/>
        <c:crosses val="autoZero"/>
        <c:auto val="1"/>
        <c:lblAlgn val="ctr"/>
        <c:lblOffset val="100"/>
        <c:noMultiLvlLbl val="0"/>
      </c:catAx>
      <c:valAx>
        <c:axId val="38818977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Papp (10-6 cm/s)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388189448"/>
        <c:crosses val="autoZero"/>
        <c:crossBetween val="between"/>
      </c:valAx>
      <c:spPr>
        <a:solidFill>
          <a:srgbClr val="FFC000">
            <a:lumMod val="20000"/>
            <a:lumOff val="80000"/>
          </a:srgbClr>
        </a:solidFill>
      </c:spPr>
    </c:plotArea>
    <c:plotVisOnly val="0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Permeability of DTXSID2020268</a:t>
            </a:r>
          </a:p>
          <a:p>
            <a:pPr>
              <a:defRPr/>
            </a:pPr>
            <a:r>
              <a:rPr lang="en-US"/>
              <a:t>Efflux Ratio = 3.52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Data!$R$28:$R$29</c:f>
                <c:numCache>
                  <c:formatCode>General</c:formatCode>
                  <c:ptCount val="2"/>
                  <c:pt idx="0">
                    <c:v>8.5406615171504975E-3</c:v>
                  </c:pt>
                  <c:pt idx="1">
                    <c:v>3.1787871040958177E-2</c:v>
                  </c:pt>
                </c:numCache>
              </c:numRef>
            </c:plus>
            <c:minus>
              <c:numRef>
                <c:f>Data!$R$28:$R$29</c:f>
                <c:numCache>
                  <c:formatCode>General</c:formatCode>
                  <c:ptCount val="2"/>
                  <c:pt idx="0">
                    <c:v>8.5406615171504975E-3</c:v>
                  </c:pt>
                  <c:pt idx="1">
                    <c:v>3.1787871040958177E-2</c:v>
                  </c:pt>
                </c:numCache>
              </c:numRef>
            </c:minus>
          </c:errBars>
          <c:cat>
            <c:strRef>
              <c:f>Data!$P$28:$P$29</c:f>
              <c:strCache>
                <c:ptCount val="2"/>
                <c:pt idx="0">
                  <c:v>A → B</c:v>
                </c:pt>
                <c:pt idx="1">
                  <c:v>B → A</c:v>
                </c:pt>
              </c:strCache>
            </c:strRef>
          </c:cat>
          <c:val>
            <c:numRef>
              <c:f>Data!$Q$28:$Q$29</c:f>
              <c:numCache>
                <c:formatCode>0.000</c:formatCode>
                <c:ptCount val="2"/>
                <c:pt idx="0">
                  <c:v>0.13699539817495127</c:v>
                </c:pt>
                <c:pt idx="1">
                  <c:v>0.48182344394975174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5-431C-9539-C31456F96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535592"/>
        <c:axId val="391535920"/>
      </c:barChart>
      <c:catAx>
        <c:axId val="391535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Direction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1535920"/>
        <c:crosses val="autoZero"/>
        <c:auto val="1"/>
        <c:lblAlgn val="ctr"/>
        <c:lblOffset val="100"/>
        <c:noMultiLvlLbl val="0"/>
      </c:catAx>
      <c:valAx>
        <c:axId val="39153592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Papp (10-6 cm/s)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391535592"/>
        <c:crosses val="autoZero"/>
        <c:crossBetween val="between"/>
      </c:valAx>
      <c:spPr>
        <a:solidFill>
          <a:srgbClr val="FFC000">
            <a:lumMod val="20000"/>
            <a:lumOff val="80000"/>
          </a:srgbClr>
        </a:solidFill>
      </c:spPr>
    </c:plotArea>
    <c:plotVisOnly val="0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Permeability of DTXSID7022120</a:t>
            </a:r>
          </a:p>
          <a:p>
            <a:pPr>
              <a:defRPr/>
            </a:pPr>
            <a:r>
              <a:rPr lang="en-US"/>
              <a:t>Efflux Ratio = 22.2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Data!$R$54:$R$55</c:f>
                <c:numCache>
                  <c:formatCode>General</c:formatCode>
                  <c:ptCount val="2"/>
                  <c:pt idx="0">
                    <c:v>3.466423877976383E-2</c:v>
                  </c:pt>
                  <c:pt idx="1">
                    <c:v>0.86245006828889947</c:v>
                  </c:pt>
                </c:numCache>
              </c:numRef>
            </c:plus>
            <c:minus>
              <c:numRef>
                <c:f>Data!$R$54:$R$55</c:f>
                <c:numCache>
                  <c:formatCode>General</c:formatCode>
                  <c:ptCount val="2"/>
                  <c:pt idx="0">
                    <c:v>3.466423877976383E-2</c:v>
                  </c:pt>
                  <c:pt idx="1">
                    <c:v>0.86245006828889947</c:v>
                  </c:pt>
                </c:numCache>
              </c:numRef>
            </c:minus>
          </c:errBars>
          <c:cat>
            <c:strRef>
              <c:f>Data!$P$54:$P$55</c:f>
              <c:strCache>
                <c:ptCount val="2"/>
                <c:pt idx="0">
                  <c:v>A → B</c:v>
                </c:pt>
                <c:pt idx="1">
                  <c:v>B → A</c:v>
                </c:pt>
              </c:strCache>
            </c:strRef>
          </c:cat>
          <c:val>
            <c:numRef>
              <c:f>Data!$Q$54:$Q$55</c:f>
              <c:numCache>
                <c:formatCode>0.00</c:formatCode>
                <c:ptCount val="2"/>
                <c:pt idx="0" formatCode="0.000">
                  <c:v>0.13209334922459429</c:v>
                </c:pt>
                <c:pt idx="1">
                  <c:v>2.9425841809163575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C6-4771-B2CD-E32375B95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664112"/>
        <c:axId val="390667720"/>
      </c:barChart>
      <c:catAx>
        <c:axId val="390664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Direction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0667720"/>
        <c:crosses val="autoZero"/>
        <c:auto val="1"/>
        <c:lblAlgn val="ctr"/>
        <c:lblOffset val="100"/>
        <c:noMultiLvlLbl val="0"/>
      </c:catAx>
      <c:valAx>
        <c:axId val="39066772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Papp (10-6 cm/s)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390664112"/>
        <c:crosses val="autoZero"/>
        <c:crossBetween val="between"/>
      </c:valAx>
      <c:spPr>
        <a:solidFill>
          <a:srgbClr val="FFC000">
            <a:lumMod val="20000"/>
            <a:lumOff val="80000"/>
          </a:srgbClr>
        </a:solidFill>
      </c:spPr>
    </c:plotArea>
    <c:plotVisOnly val="0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Permeability of DTXSID7025429</a:t>
            </a:r>
          </a:p>
          <a:p>
            <a:pPr>
              <a:defRPr/>
            </a:pPr>
            <a:r>
              <a:rPr lang="en-US"/>
              <a:t>Efflux Ratio = 1.95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Data!$R$80:$R$81</c:f>
                <c:numCache>
                  <c:formatCode>General</c:formatCode>
                  <c:ptCount val="2"/>
                  <c:pt idx="0">
                    <c:v>8.6814292331691689E-3</c:v>
                  </c:pt>
                  <c:pt idx="1">
                    <c:v>1.9166043840411845E-2</c:v>
                  </c:pt>
                </c:numCache>
              </c:numRef>
            </c:plus>
            <c:minus>
              <c:numRef>
                <c:f>Data!$R$80:$R$81</c:f>
                <c:numCache>
                  <c:formatCode>General</c:formatCode>
                  <c:ptCount val="2"/>
                  <c:pt idx="0">
                    <c:v>8.6814292331691689E-3</c:v>
                  </c:pt>
                  <c:pt idx="1">
                    <c:v>1.9166043840411845E-2</c:v>
                  </c:pt>
                </c:numCache>
              </c:numRef>
            </c:minus>
          </c:errBars>
          <c:cat>
            <c:strRef>
              <c:f>Data!$P$80:$P$81</c:f>
              <c:strCache>
                <c:ptCount val="2"/>
                <c:pt idx="0">
                  <c:v>A → B</c:v>
                </c:pt>
                <c:pt idx="1">
                  <c:v>B → A</c:v>
                </c:pt>
              </c:strCache>
            </c:strRef>
          </c:cat>
          <c:val>
            <c:numRef>
              <c:f>Data!$Q$80:$Q$81</c:f>
              <c:numCache>
                <c:formatCode>0.0000</c:formatCode>
                <c:ptCount val="2"/>
                <c:pt idx="0">
                  <c:v>1.5750497748728571E-2</c:v>
                </c:pt>
                <c:pt idx="1">
                  <c:v>2.0756444155644701E-2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6D-4A6E-8649-5E639E8A8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679200"/>
        <c:axId val="390684120"/>
      </c:barChart>
      <c:catAx>
        <c:axId val="39067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Direction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0684120"/>
        <c:crosses val="autoZero"/>
        <c:auto val="1"/>
        <c:lblAlgn val="ctr"/>
        <c:lblOffset val="100"/>
        <c:noMultiLvlLbl val="0"/>
      </c:catAx>
      <c:valAx>
        <c:axId val="39068412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Papp (10-6 cm/s)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390679200"/>
        <c:crosses val="autoZero"/>
        <c:crossBetween val="between"/>
      </c:valAx>
      <c:spPr>
        <a:solidFill>
          <a:srgbClr val="FFC000">
            <a:lumMod val="20000"/>
            <a:lumOff val="80000"/>
          </a:srgbClr>
        </a:solidFill>
      </c:spPr>
    </c:plotArea>
    <c:plotVisOnly val="0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Permeability of DTXSID7034250</a:t>
            </a:r>
          </a:p>
          <a:p>
            <a:pPr>
              <a:defRPr/>
            </a:pPr>
            <a:r>
              <a:rPr lang="en-US"/>
              <a:t>Efflux Ratio = 0.723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Data!$R$106:$R$107</c:f>
                <c:numCache>
                  <c:formatCode>General</c:formatCode>
                  <c:ptCount val="2"/>
                  <c:pt idx="0">
                    <c:v>1.5916673781233799</c:v>
                  </c:pt>
                  <c:pt idx="1">
                    <c:v>2.5826479016773339E-2</c:v>
                  </c:pt>
                </c:numCache>
              </c:numRef>
            </c:plus>
            <c:minus>
              <c:numRef>
                <c:f>Data!$R$106:$R$107</c:f>
                <c:numCache>
                  <c:formatCode>General</c:formatCode>
                  <c:ptCount val="2"/>
                  <c:pt idx="0">
                    <c:v>1.5916673781233799</c:v>
                  </c:pt>
                  <c:pt idx="1">
                    <c:v>2.5826479016773339E-2</c:v>
                  </c:pt>
                </c:numCache>
              </c:numRef>
            </c:minus>
          </c:errBars>
          <c:cat>
            <c:strRef>
              <c:f>Data!$P$106:$P$107</c:f>
              <c:strCache>
                <c:ptCount val="2"/>
                <c:pt idx="0">
                  <c:v>A → B</c:v>
                </c:pt>
                <c:pt idx="1">
                  <c:v>B → A</c:v>
                </c:pt>
              </c:strCache>
            </c:strRef>
          </c:cat>
          <c:val>
            <c:numRef>
              <c:f>Data!$Q$106:$Q$107</c:f>
              <c:numCache>
                <c:formatCode>0.0</c:formatCode>
                <c:ptCount val="2"/>
                <c:pt idx="0">
                  <c:v>29.439020545369516</c:v>
                </c:pt>
                <c:pt idx="1">
                  <c:v>21.254168487690954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F6-4C19-9497-C8B2176AD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690024"/>
        <c:axId val="390695928"/>
      </c:barChart>
      <c:catAx>
        <c:axId val="390690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Direction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0695928"/>
        <c:crosses val="autoZero"/>
        <c:auto val="1"/>
        <c:lblAlgn val="ctr"/>
        <c:lblOffset val="100"/>
        <c:noMultiLvlLbl val="0"/>
      </c:catAx>
      <c:valAx>
        <c:axId val="390695928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Papp (10-6 cm/s)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390690024"/>
        <c:crosses val="autoZero"/>
        <c:crossBetween val="between"/>
      </c:valAx>
      <c:spPr>
        <a:solidFill>
          <a:srgbClr val="FFC000">
            <a:lumMod val="20000"/>
            <a:lumOff val="80000"/>
          </a:srgbClr>
        </a:solidFill>
      </c:spPr>
    </c:plotArea>
    <c:plotVisOnly val="0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64EC0.66CEE210" TargetMode="Externa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8</xdr:col>
      <xdr:colOff>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0</xdr:row>
      <xdr:rowOff>47625</xdr:rowOff>
    </xdr:from>
    <xdr:to>
      <xdr:col>1</xdr:col>
      <xdr:colOff>307848</xdr:colOff>
      <xdr:row>3</xdr:row>
      <xdr:rowOff>57150</xdr:rowOff>
    </xdr:to>
    <xdr:pic>
      <xdr:nvPicPr>
        <xdr:cNvPr id="4" name="Picture 3" descr="EvotecLogo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984248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1</xdr:row>
      <xdr:rowOff>0</xdr:rowOff>
    </xdr:from>
    <xdr:to>
      <xdr:col>22</xdr:col>
      <xdr:colOff>1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27</xdr:row>
      <xdr:rowOff>0</xdr:rowOff>
    </xdr:from>
    <xdr:to>
      <xdr:col>22</xdr:col>
      <xdr:colOff>0</xdr:colOff>
      <xdr:row>43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53</xdr:row>
      <xdr:rowOff>0</xdr:rowOff>
    </xdr:from>
    <xdr:to>
      <xdr:col>22</xdr:col>
      <xdr:colOff>0</xdr:colOff>
      <xdr:row>69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79</xdr:row>
      <xdr:rowOff>0</xdr:rowOff>
    </xdr:from>
    <xdr:to>
      <xdr:col>22</xdr:col>
      <xdr:colOff>0</xdr:colOff>
      <xdr:row>95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105</xdr:row>
      <xdr:rowOff>0</xdr:rowOff>
    </xdr:from>
    <xdr:to>
      <xdr:col>22</xdr:col>
      <xdr:colOff>0</xdr:colOff>
      <xdr:row>121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2"/>
  <sheetViews>
    <sheetView showGridLines="0" workbookViewId="0">
      <selection activeCell="C3" sqref="C3"/>
    </sheetView>
  </sheetViews>
  <sheetFormatPr defaultRowHeight="15" x14ac:dyDescent="0.25"/>
  <cols>
    <col min="1" max="1" width="26" style="5" customWidth="1"/>
    <col min="2" max="2" width="15" style="5" bestFit="1" customWidth="1"/>
    <col min="3" max="3" width="9.140625" style="5"/>
    <col min="4" max="4" width="13.140625" style="5" customWidth="1"/>
    <col min="5" max="5" width="16.28515625" style="5" customWidth="1"/>
    <col min="6" max="6" width="11.42578125" style="5" customWidth="1"/>
    <col min="7" max="8" width="50.7109375" customWidth="1"/>
    <col min="10" max="10" width="17.28515625" bestFit="1" customWidth="1"/>
    <col min="11" max="11" width="16.85546875" style="5" customWidth="1"/>
    <col min="12" max="12" width="17" bestFit="1" customWidth="1"/>
    <col min="13" max="13" width="12" bestFit="1" customWidth="1"/>
    <col min="14" max="14" width="7.5703125" bestFit="1" customWidth="1"/>
    <col min="15" max="15" width="7.7109375" bestFit="1" customWidth="1"/>
    <col min="16" max="16" width="6.140625" bestFit="1" customWidth="1"/>
    <col min="17" max="17" width="6.5703125" bestFit="1" customWidth="1"/>
  </cols>
  <sheetData>
    <row r="1" spans="1:17" ht="15.75" x14ac:dyDescent="0.25">
      <c r="A1" s="208"/>
      <c r="E1" s="3" t="s">
        <v>81</v>
      </c>
      <c r="J1" s="175"/>
      <c r="K1" s="182"/>
      <c r="L1" s="175"/>
      <c r="M1" s="175"/>
      <c r="N1" s="175"/>
      <c r="O1" s="175"/>
      <c r="P1" s="175"/>
      <c r="Q1" s="175"/>
    </row>
    <row r="2" spans="1:17" x14ac:dyDescent="0.25">
      <c r="A2" s="208"/>
      <c r="E2" s="4">
        <v>44012.420717592591</v>
      </c>
      <c r="J2" s="175"/>
      <c r="K2" s="182"/>
      <c r="L2" s="175"/>
      <c r="M2" s="175"/>
      <c r="N2" s="175"/>
      <c r="O2" s="175"/>
      <c r="P2" s="175"/>
      <c r="Q2" s="175"/>
    </row>
    <row r="3" spans="1:17" x14ac:dyDescent="0.25">
      <c r="E3" s="206" t="s">
        <v>130</v>
      </c>
      <c r="J3" s="175"/>
      <c r="K3" s="182"/>
      <c r="L3" s="175"/>
      <c r="M3" s="175"/>
      <c r="N3" s="175"/>
      <c r="O3" s="175"/>
      <c r="P3" s="175"/>
      <c r="Q3" s="175"/>
    </row>
    <row r="4" spans="1:17" ht="15.75" thickBot="1" x14ac:dyDescent="0.3">
      <c r="A4"/>
      <c r="B4"/>
      <c r="C4"/>
      <c r="D4"/>
      <c r="E4"/>
      <c r="F4"/>
      <c r="K4"/>
    </row>
    <row r="5" spans="1:17" ht="15.75" customHeight="1" thickBot="1" x14ac:dyDescent="0.3">
      <c r="A5" s="207" t="s">
        <v>131</v>
      </c>
      <c r="B5" s="207"/>
      <c r="C5" s="207"/>
      <c r="D5" s="205"/>
      <c r="E5" s="205"/>
      <c r="F5" s="205"/>
      <c r="J5" s="175"/>
      <c r="K5" s="182"/>
      <c r="L5" s="175"/>
      <c r="M5" s="175"/>
      <c r="N5" s="175"/>
      <c r="O5" s="175"/>
      <c r="P5" s="175"/>
      <c r="Q5" s="175"/>
    </row>
    <row r="6" spans="1:17" s="8" customFormat="1" ht="61.5" thickTop="1" thickBot="1" x14ac:dyDescent="0.3">
      <c r="A6" s="12" t="s">
        <v>82</v>
      </c>
      <c r="B6" s="12" t="s">
        <v>83</v>
      </c>
      <c r="C6" s="12" t="s">
        <v>84</v>
      </c>
      <c r="D6" s="12" t="s">
        <v>85</v>
      </c>
      <c r="E6" s="12" t="s">
        <v>86</v>
      </c>
      <c r="F6" s="12" t="s">
        <v>87</v>
      </c>
      <c r="G6" s="12" t="s">
        <v>88</v>
      </c>
      <c r="H6" s="7"/>
      <c r="I6" s="7"/>
      <c r="J6" s="12" t="s">
        <v>82</v>
      </c>
      <c r="K6" s="12" t="s">
        <v>89</v>
      </c>
      <c r="L6" s="12" t="s">
        <v>90</v>
      </c>
      <c r="M6" s="12" t="s">
        <v>91</v>
      </c>
      <c r="N6" s="12" t="s">
        <v>92</v>
      </c>
      <c r="O6" s="12" t="s">
        <v>93</v>
      </c>
      <c r="P6" s="12" t="s">
        <v>94</v>
      </c>
      <c r="Q6" s="12" t="s">
        <v>95</v>
      </c>
    </row>
    <row r="7" spans="1:17" ht="15.75" thickTop="1" x14ac:dyDescent="0.25">
      <c r="A7" s="6" t="s">
        <v>77</v>
      </c>
      <c r="B7" s="154">
        <f>Data!$F$21</f>
        <v>10</v>
      </c>
      <c r="C7" s="161">
        <f>Data!$F$20</f>
        <v>2</v>
      </c>
      <c r="D7" s="154">
        <f>Data!$M$10</f>
        <v>14.024538146195072</v>
      </c>
      <c r="E7" s="161">
        <f>Data!$M$21</f>
        <v>7.5961763752424378</v>
      </c>
      <c r="F7" s="162">
        <f>Data!$M$22</f>
        <v>0.54152820392378886</v>
      </c>
      <c r="G7" t="s">
        <v>122</v>
      </c>
      <c r="J7" s="176" t="s">
        <v>77</v>
      </c>
      <c r="K7" s="183">
        <f>Data!$F$21</f>
        <v>10</v>
      </c>
      <c r="L7" s="175" t="s">
        <v>105</v>
      </c>
      <c r="M7" s="176" t="s">
        <v>114</v>
      </c>
      <c r="N7" s="177">
        <f>Data!$J$10</f>
        <v>14.490533350833632</v>
      </c>
      <c r="O7" s="177">
        <f>Data!$K$10</f>
        <v>13.558542941556512</v>
      </c>
      <c r="P7" s="175" t="str">
        <f>Data!$L$10</f>
        <v/>
      </c>
      <c r="Q7" s="177">
        <f>AVERAGE($N7:$P7)</f>
        <v>14.024538146195072</v>
      </c>
    </row>
    <row r="8" spans="1:17" x14ac:dyDescent="0.25">
      <c r="A8" s="6" t="s">
        <v>7</v>
      </c>
      <c r="B8" s="154">
        <f>Data!$F$47</f>
        <v>10</v>
      </c>
      <c r="C8" s="161">
        <f>Data!$F$46</f>
        <v>2</v>
      </c>
      <c r="D8" s="162">
        <f>Data!$M$36</f>
        <v>0.13699539817495127</v>
      </c>
      <c r="E8" s="162">
        <f>Data!$M$47</f>
        <v>0.48182344394975174</v>
      </c>
      <c r="F8" s="161">
        <f>Data!$M$48</f>
        <v>3.5166786885736419</v>
      </c>
      <c r="J8" s="175"/>
      <c r="K8" s="182"/>
      <c r="L8" s="166" t="s">
        <v>105</v>
      </c>
      <c r="M8" s="167" t="s">
        <v>113</v>
      </c>
      <c r="N8" s="168">
        <f>Data!$J9</f>
        <v>0.32262769336457175</v>
      </c>
      <c r="O8" s="168">
        <f>Data!$K9</f>
        <v>0.31041183009413953</v>
      </c>
      <c r="P8" s="166" t="str">
        <f>Data!$L9</f>
        <v/>
      </c>
      <c r="Q8" s="168">
        <f>Data!$M9</f>
        <v>0.31651976172935564</v>
      </c>
    </row>
    <row r="9" spans="1:17" x14ac:dyDescent="0.25">
      <c r="A9" s="6" t="s">
        <v>79</v>
      </c>
      <c r="B9" s="154">
        <f>Data!$F$73</f>
        <v>10</v>
      </c>
      <c r="C9" s="161">
        <f>Data!$F$72</f>
        <v>2</v>
      </c>
      <c r="D9" s="162">
        <f>Data!$M$62</f>
        <v>0.13209334922459429</v>
      </c>
      <c r="E9" s="161">
        <f>Data!$M$73</f>
        <v>2.9425841809163575</v>
      </c>
      <c r="F9" s="154">
        <f>Data!$M$74</f>
        <v>22.183706084785086</v>
      </c>
      <c r="G9" t="s">
        <v>123</v>
      </c>
      <c r="J9" s="175"/>
      <c r="K9" s="182"/>
      <c r="L9" s="175" t="s">
        <v>116</v>
      </c>
      <c r="M9" s="176" t="s">
        <v>114</v>
      </c>
      <c r="N9" s="178">
        <f>Data!$J$21</f>
        <v>7.893471780587765</v>
      </c>
      <c r="O9" s="178">
        <f>Data!$K$21</f>
        <v>7.2988809698971098</v>
      </c>
      <c r="P9" s="175" t="str">
        <f>Data!$L$21</f>
        <v/>
      </c>
      <c r="Q9" s="178">
        <f>AVERAGE($N9:$P9)</f>
        <v>7.5961763752424378</v>
      </c>
    </row>
    <row r="10" spans="1:17" x14ac:dyDescent="0.25">
      <c r="A10" s="6" t="s">
        <v>73</v>
      </c>
      <c r="B10" s="154">
        <f>Data!$F$99</f>
        <v>10</v>
      </c>
      <c r="C10" s="161">
        <f>Data!$F$98</f>
        <v>2</v>
      </c>
      <c r="D10" s="163">
        <f>Data!$M$88</f>
        <v>1.5750497748728571E-2</v>
      </c>
      <c r="E10" s="163">
        <f>Data!$M$99</f>
        <v>2.0756444155644701E-2</v>
      </c>
      <c r="F10" s="161">
        <f>Data!$M$100</f>
        <v>1.9492834277072704</v>
      </c>
      <c r="G10" t="s">
        <v>124</v>
      </c>
      <c r="J10" s="175"/>
      <c r="K10" s="182"/>
      <c r="L10" s="166" t="s">
        <v>116</v>
      </c>
      <c r="M10" s="167" t="s">
        <v>113</v>
      </c>
      <c r="N10" s="168">
        <f>Data!$J20</f>
        <v>0.60366559899216055</v>
      </c>
      <c r="O10" s="168">
        <f>Data!$K20</f>
        <v>0.58436162864994667</v>
      </c>
      <c r="P10" s="166" t="str">
        <f>Data!$L20</f>
        <v/>
      </c>
      <c r="Q10" s="168">
        <f>Data!$M20</f>
        <v>0.59401361382105367</v>
      </c>
    </row>
    <row r="11" spans="1:17" ht="15.75" thickBot="1" x14ac:dyDescent="0.3">
      <c r="A11" s="9" t="s">
        <v>75</v>
      </c>
      <c r="B11" s="158">
        <f>Data!$F$125</f>
        <v>10</v>
      </c>
      <c r="C11" s="164">
        <f>Data!$F$124</f>
        <v>2</v>
      </c>
      <c r="D11" s="158">
        <f>Data!$M$114</f>
        <v>29.439020545369516</v>
      </c>
      <c r="E11" s="158">
        <f>Data!$M$125</f>
        <v>21.254168487690954</v>
      </c>
      <c r="F11" s="165">
        <f>Data!$M$126</f>
        <v>0.72305320659471906</v>
      </c>
      <c r="G11" s="160"/>
      <c r="J11" s="169"/>
      <c r="K11" s="184"/>
      <c r="L11" s="169" t="s">
        <v>126</v>
      </c>
      <c r="M11" s="170" t="s">
        <v>87</v>
      </c>
      <c r="N11" s="171">
        <f>IFERROR(Data!$J21/ Data!$J10,"")</f>
        <v>0.54473300529919133</v>
      </c>
      <c r="O11" s="171">
        <f>IFERROR(Data!$K21/ Data!$K10,"")</f>
        <v>0.5383234025483864</v>
      </c>
      <c r="P11" s="169" t="str">
        <f>IFERROR(Data!$L21/ Data!$L10,"")</f>
        <v/>
      </c>
      <c r="Q11" s="171">
        <f>IFERROR(AVERAGE($N11:$P11),"")</f>
        <v>0.54152820392378886</v>
      </c>
    </row>
    <row r="12" spans="1:17" ht="31.5" customHeight="1" thickTop="1" x14ac:dyDescent="0.25">
      <c r="A12" s="209" t="s">
        <v>125</v>
      </c>
      <c r="B12" s="209"/>
      <c r="C12" s="209"/>
      <c r="D12" s="209"/>
      <c r="E12" s="209"/>
      <c r="F12" s="209"/>
      <c r="G12" s="209"/>
      <c r="J12" s="176" t="s">
        <v>7</v>
      </c>
      <c r="K12" s="183">
        <f>Data!$F$47</f>
        <v>10</v>
      </c>
      <c r="L12" s="175" t="s">
        <v>105</v>
      </c>
      <c r="M12" s="176" t="s">
        <v>114</v>
      </c>
      <c r="N12" s="179">
        <f>Data!$J$36</f>
        <v>0.13095623850035518</v>
      </c>
      <c r="O12" s="179">
        <f>Data!$K$36</f>
        <v>0.14303455784954738</v>
      </c>
      <c r="P12" s="175" t="str">
        <f>Data!$L$36</f>
        <v/>
      </c>
      <c r="Q12" s="179">
        <f>AVERAGE($N12:$P12)</f>
        <v>0.13699539817495127</v>
      </c>
    </row>
    <row r="13" spans="1:17" x14ac:dyDescent="0.25">
      <c r="J13" s="175"/>
      <c r="K13" s="182"/>
      <c r="L13" s="166" t="s">
        <v>105</v>
      </c>
      <c r="M13" s="167" t="s">
        <v>113</v>
      </c>
      <c r="N13" s="168">
        <f>Data!$J35</f>
        <v>0.90717158772846274</v>
      </c>
      <c r="O13" s="168">
        <f>Data!$K35</f>
        <v>0.91346062905017056</v>
      </c>
      <c r="P13" s="166" t="str">
        <f>Data!$L35</f>
        <v/>
      </c>
      <c r="Q13" s="168">
        <f>Data!$M35</f>
        <v>0.91031610838931665</v>
      </c>
    </row>
    <row r="14" spans="1:17" x14ac:dyDescent="0.25">
      <c r="J14" s="175"/>
      <c r="K14" s="182"/>
      <c r="L14" s="175" t="s">
        <v>116</v>
      </c>
      <c r="M14" s="176" t="s">
        <v>114</v>
      </c>
      <c r="N14" s="179">
        <f>Data!$J$47</f>
        <v>0.45934602477720671</v>
      </c>
      <c r="O14" s="179">
        <f>Data!$K$47</f>
        <v>0.50430086312229672</v>
      </c>
      <c r="P14" s="175" t="str">
        <f>Data!$L$47</f>
        <v/>
      </c>
      <c r="Q14" s="179">
        <f>AVERAGE($N14:$P14)</f>
        <v>0.48182344394975174</v>
      </c>
    </row>
    <row r="15" spans="1:17" x14ac:dyDescent="0.25">
      <c r="J15" s="175"/>
      <c r="K15" s="182"/>
      <c r="L15" s="166" t="s">
        <v>116</v>
      </c>
      <c r="M15" s="167" t="s">
        <v>113</v>
      </c>
      <c r="N15" s="168">
        <f>Data!$J46</f>
        <v>0.85461300219596847</v>
      </c>
      <c r="O15" s="168">
        <f>Data!$K46</f>
        <v>0.87202151210543699</v>
      </c>
      <c r="P15" s="166" t="str">
        <f>Data!$L46</f>
        <v/>
      </c>
      <c r="Q15" s="168">
        <f>Data!$M46</f>
        <v>0.86331725715070273</v>
      </c>
    </row>
    <row r="16" spans="1:17" ht="15.75" thickBot="1" x14ac:dyDescent="0.3">
      <c r="J16" s="169"/>
      <c r="K16" s="184"/>
      <c r="L16" s="169" t="s">
        <v>126</v>
      </c>
      <c r="M16" s="170" t="s">
        <v>87</v>
      </c>
      <c r="N16" s="172">
        <f>IFERROR(Data!$J47/ Data!$J36,"")</f>
        <v>3.5076299536196656</v>
      </c>
      <c r="O16" s="172">
        <f>IFERROR(Data!$K47/ Data!$K36,"")</f>
        <v>3.5257274235276181</v>
      </c>
      <c r="P16" s="169" t="str">
        <f>IFERROR(Data!$L47/ Data!$L36,"")</f>
        <v/>
      </c>
      <c r="Q16" s="172">
        <f>IFERROR(AVERAGE($N16:$P16),"")</f>
        <v>3.5166786885736419</v>
      </c>
    </row>
    <row r="17" spans="10:17" x14ac:dyDescent="0.25">
      <c r="J17" s="176" t="s">
        <v>79</v>
      </c>
      <c r="K17" s="183">
        <f>Data!$F$73</f>
        <v>10</v>
      </c>
      <c r="L17" s="175" t="s">
        <v>105</v>
      </c>
      <c r="M17" s="176" t="s">
        <v>114</v>
      </c>
      <c r="N17" s="179">
        <f>Data!$J$62</f>
        <v>0.15660466753043492</v>
      </c>
      <c r="O17" s="179">
        <f>Data!$K$62</f>
        <v>0.10758203091875367</v>
      </c>
      <c r="P17" s="175" t="str">
        <f>Data!$L$62</f>
        <v/>
      </c>
      <c r="Q17" s="179">
        <f>AVERAGE($N17:$P17)</f>
        <v>0.13209334922459429</v>
      </c>
    </row>
    <row r="18" spans="10:17" x14ac:dyDescent="0.25">
      <c r="J18" s="175"/>
      <c r="K18" s="182"/>
      <c r="L18" s="166" t="s">
        <v>105</v>
      </c>
      <c r="M18" s="167" t="s">
        <v>113</v>
      </c>
      <c r="N18" s="168">
        <f>Data!$J61</f>
        <v>0.12662954478797078</v>
      </c>
      <c r="O18" s="173">
        <f>Data!$K61</f>
        <v>6.6195220983223488E-2</v>
      </c>
      <c r="P18" s="166" t="str">
        <f>Data!$L61</f>
        <v/>
      </c>
      <c r="Q18" s="173">
        <f>Data!$M61</f>
        <v>9.6412382885597142E-2</v>
      </c>
    </row>
    <row r="19" spans="10:17" x14ac:dyDescent="0.25">
      <c r="J19" s="175"/>
      <c r="K19" s="182"/>
      <c r="L19" s="175" t="s">
        <v>116</v>
      </c>
      <c r="M19" s="176" t="s">
        <v>114</v>
      </c>
      <c r="N19" s="178">
        <f>Data!$J$73</f>
        <v>3.5524284726382396</v>
      </c>
      <c r="O19" s="178">
        <f>Data!$K$73</f>
        <v>2.3327398891944751</v>
      </c>
      <c r="P19" s="175" t="str">
        <f>Data!$L$73</f>
        <v/>
      </c>
      <c r="Q19" s="178">
        <f>AVERAGE($N19:$P19)</f>
        <v>2.9425841809163575</v>
      </c>
    </row>
    <row r="20" spans="10:17" x14ac:dyDescent="0.25">
      <c r="J20" s="175"/>
      <c r="K20" s="182"/>
      <c r="L20" s="166" t="s">
        <v>116</v>
      </c>
      <c r="M20" s="167" t="s">
        <v>113</v>
      </c>
      <c r="N20" s="168">
        <f>Data!$J72</f>
        <v>0.12475234162698942</v>
      </c>
      <c r="O20" s="173">
        <f>Data!$K72</f>
        <v>9.3851260918777143E-2</v>
      </c>
      <c r="P20" s="166" t="str">
        <f>Data!$L72</f>
        <v/>
      </c>
      <c r="Q20" s="168">
        <f>Data!$M72</f>
        <v>0.10930180127288328</v>
      </c>
    </row>
    <row r="21" spans="10:17" ht="15.75" thickBot="1" x14ac:dyDescent="0.3">
      <c r="J21" s="169"/>
      <c r="K21" s="184"/>
      <c r="L21" s="169" t="s">
        <v>126</v>
      </c>
      <c r="M21" s="170" t="s">
        <v>87</v>
      </c>
      <c r="N21" s="174">
        <f>IFERROR(Data!$J73/ Data!$J62,"")</f>
        <v>22.684052325246643</v>
      </c>
      <c r="O21" s="174">
        <f>IFERROR(Data!$K73/ Data!$K62,"")</f>
        <v>21.683359844323526</v>
      </c>
      <c r="P21" s="169" t="str">
        <f>IFERROR(Data!$L73/ Data!$L62,"")</f>
        <v/>
      </c>
      <c r="Q21" s="174">
        <f>IFERROR(AVERAGE($N21:$P21),"")</f>
        <v>22.183706084785086</v>
      </c>
    </row>
    <row r="22" spans="10:17" x14ac:dyDescent="0.25">
      <c r="J22" s="176" t="s">
        <v>73</v>
      </c>
      <c r="K22" s="183">
        <f>Data!$F$99</f>
        <v>10</v>
      </c>
      <c r="L22" s="175" t="s">
        <v>105</v>
      </c>
      <c r="M22" s="176" t="s">
        <v>114</v>
      </c>
      <c r="N22" s="180">
        <f>Data!$J$88</f>
        <v>9.6118002675635236E-3</v>
      </c>
      <c r="O22" s="181">
        <f>Data!$K$88</f>
        <v>2.1889195229893618E-2</v>
      </c>
      <c r="P22" s="175" t="str">
        <f>Data!$L$88</f>
        <v/>
      </c>
      <c r="Q22" s="181">
        <f>AVERAGE($N22:$P22)</f>
        <v>1.5750497748728571E-2</v>
      </c>
    </row>
    <row r="23" spans="10:17" x14ac:dyDescent="0.25">
      <c r="J23" s="175"/>
      <c r="K23" s="182"/>
      <c r="L23" s="166" t="s">
        <v>105</v>
      </c>
      <c r="M23" s="167" t="s">
        <v>113</v>
      </c>
      <c r="N23" s="168">
        <f>Data!$J87</f>
        <v>0.63497109814658281</v>
      </c>
      <c r="O23" s="168">
        <f>Data!$K87</f>
        <v>0.5196260222384117</v>
      </c>
      <c r="P23" s="166" t="str">
        <f>Data!$L87</f>
        <v/>
      </c>
      <c r="Q23" s="168">
        <f>Data!$M87</f>
        <v>0.57729856019249726</v>
      </c>
    </row>
    <row r="24" spans="10:17" x14ac:dyDescent="0.25">
      <c r="J24" s="175"/>
      <c r="K24" s="182"/>
      <c r="L24" s="175" t="s">
        <v>116</v>
      </c>
      <c r="M24" s="176" t="s">
        <v>114</v>
      </c>
      <c r="N24" s="181">
        <f>Data!$J$99</f>
        <v>3.4308883723718576E-2</v>
      </c>
      <c r="O24" s="180">
        <f>Data!$K$99</f>
        <v>7.2040045875708244E-3</v>
      </c>
      <c r="P24" s="175" t="str">
        <f>Data!$L$99</f>
        <v/>
      </c>
      <c r="Q24" s="181">
        <f>AVERAGE($N24:$P24)</f>
        <v>2.0756444155644701E-2</v>
      </c>
    </row>
    <row r="25" spans="10:17" x14ac:dyDescent="0.25">
      <c r="J25" s="175"/>
      <c r="K25" s="182"/>
      <c r="L25" s="166" t="s">
        <v>116</v>
      </c>
      <c r="M25" s="167" t="s">
        <v>113</v>
      </c>
      <c r="N25" s="168">
        <f>Data!$J98</f>
        <v>0.37966362606302806</v>
      </c>
      <c r="O25" s="168">
        <f>Data!$K98</f>
        <v>0.37488344068994317</v>
      </c>
      <c r="P25" s="166" t="str">
        <f>Data!$L98</f>
        <v/>
      </c>
      <c r="Q25" s="168">
        <f>Data!$M98</f>
        <v>0.37727353337648561</v>
      </c>
    </row>
    <row r="26" spans="10:17" ht="15.75" thickBot="1" x14ac:dyDescent="0.3">
      <c r="J26" s="169"/>
      <c r="K26" s="184"/>
      <c r="L26" s="169" t="s">
        <v>126</v>
      </c>
      <c r="M26" s="170" t="s">
        <v>87</v>
      </c>
      <c r="N26" s="172">
        <f>IFERROR(Data!$J99/ Data!$J88,"")</f>
        <v>3.5694545005787419</v>
      </c>
      <c r="O26" s="171">
        <f>IFERROR(Data!$K99/ Data!$K88,"")</f>
        <v>0.32911235483579887</v>
      </c>
      <c r="P26" s="169" t="str">
        <f>IFERROR(Data!$L99/ Data!$L88,"")</f>
        <v/>
      </c>
      <c r="Q26" s="172">
        <f>IFERROR(AVERAGE($N26:$P26),"")</f>
        <v>1.9492834277072704</v>
      </c>
    </row>
    <row r="27" spans="10:17" x14ac:dyDescent="0.25">
      <c r="J27" s="176" t="s">
        <v>75</v>
      </c>
      <c r="K27" s="183">
        <f>Data!$F$125</f>
        <v>10</v>
      </c>
      <c r="L27" s="175" t="s">
        <v>105</v>
      </c>
      <c r="M27" s="176" t="s">
        <v>114</v>
      </c>
      <c r="N27" s="177">
        <f>Data!$J$114</f>
        <v>30.564499341833969</v>
      </c>
      <c r="O27" s="177">
        <f>Data!$K$114</f>
        <v>28.31354174890506</v>
      </c>
      <c r="P27" s="175" t="str">
        <f>Data!$L$114</f>
        <v/>
      </c>
      <c r="Q27" s="177">
        <f>AVERAGE($N27:$P27)</f>
        <v>29.439020545369516</v>
      </c>
    </row>
    <row r="28" spans="10:17" x14ac:dyDescent="0.25">
      <c r="J28" s="175"/>
      <c r="K28" s="182"/>
      <c r="L28" s="166" t="s">
        <v>105</v>
      </c>
      <c r="M28" s="167" t="s">
        <v>113</v>
      </c>
      <c r="N28" s="168">
        <f>Data!$J113</f>
        <v>0.64363088744534047</v>
      </c>
      <c r="O28" s="168">
        <f>Data!$K113</f>
        <v>0.65205021221765103</v>
      </c>
      <c r="P28" s="166" t="str">
        <f>Data!$L113</f>
        <v/>
      </c>
      <c r="Q28" s="168">
        <f>Data!$M113</f>
        <v>0.64784054983149575</v>
      </c>
    </row>
    <row r="29" spans="10:17" x14ac:dyDescent="0.25">
      <c r="J29" s="175"/>
      <c r="K29" s="182"/>
      <c r="L29" s="175" t="s">
        <v>116</v>
      </c>
      <c r="M29" s="176" t="s">
        <v>114</v>
      </c>
      <c r="N29" s="177">
        <f>Data!$J$125</f>
        <v>21.23590640924402</v>
      </c>
      <c r="O29" s="177">
        <f>Data!$K$125</f>
        <v>21.272430566137885</v>
      </c>
      <c r="P29" s="175" t="str">
        <f>Data!$L$125</f>
        <v/>
      </c>
      <c r="Q29" s="177">
        <f>AVERAGE($N29:$P29)</f>
        <v>21.254168487690954</v>
      </c>
    </row>
    <row r="30" spans="10:17" x14ac:dyDescent="0.25">
      <c r="J30" s="175"/>
      <c r="K30" s="182"/>
      <c r="L30" s="166" t="s">
        <v>116</v>
      </c>
      <c r="M30" s="167" t="s">
        <v>113</v>
      </c>
      <c r="N30" s="168">
        <f>Data!$J124</f>
        <v>0.73341674085995145</v>
      </c>
      <c r="O30" s="168">
        <f>Data!$K124</f>
        <v>0.73615077653678584</v>
      </c>
      <c r="P30" s="166" t="str">
        <f>Data!$L124</f>
        <v/>
      </c>
      <c r="Q30" s="168">
        <f>Data!$M124</f>
        <v>0.73478375869836865</v>
      </c>
    </row>
    <row r="31" spans="10:17" ht="15.75" thickBot="1" x14ac:dyDescent="0.3">
      <c r="J31" s="160"/>
      <c r="K31" s="185"/>
      <c r="L31" s="160" t="s">
        <v>126</v>
      </c>
      <c r="M31" s="10" t="s">
        <v>87</v>
      </c>
      <c r="N31" s="159">
        <f>IFERROR(Data!$J125/ Data!$J114,"")</f>
        <v>0.69478993167011249</v>
      </c>
      <c r="O31" s="159">
        <f>IFERROR(Data!$K125/ Data!$K114,"")</f>
        <v>0.75131648151932573</v>
      </c>
      <c r="P31" s="160" t="str">
        <f>IFERROR(Data!$L125/ Data!$L114,"")</f>
        <v/>
      </c>
      <c r="Q31" s="159">
        <f>IFERROR(AVERAGE($N31:$P31),"")</f>
        <v>0.72305320659471906</v>
      </c>
    </row>
    <row r="32" spans="10:17" ht="15.75" thickTop="1" x14ac:dyDescent="0.25"/>
    <row r="35" spans="1:8" ht="15.75" thickBot="1" x14ac:dyDescent="0.3"/>
    <row r="36" spans="1:8" ht="16.5" thickTop="1" thickBot="1" x14ac:dyDescent="0.3">
      <c r="A36" s="11" t="s">
        <v>127</v>
      </c>
      <c r="B36" s="186" t="s">
        <v>105</v>
      </c>
      <c r="C36" s="11" t="s">
        <v>128</v>
      </c>
      <c r="D36" s="186" t="s">
        <v>116</v>
      </c>
      <c r="E36" s="11" t="s">
        <v>128</v>
      </c>
      <c r="F36" s="186" t="s">
        <v>129</v>
      </c>
      <c r="G36" s="11" t="s">
        <v>128</v>
      </c>
      <c r="H36" s="186" t="s">
        <v>88</v>
      </c>
    </row>
    <row r="37" spans="1:8" ht="15.75" thickTop="1" x14ac:dyDescent="0.25">
      <c r="A37" s="6" t="s">
        <v>77</v>
      </c>
      <c r="B37" s="190">
        <f>Data!M10</f>
        <v>14.024538146195072</v>
      </c>
      <c r="C37" s="162">
        <f>Data!N10</f>
        <v>0.65901673840067709</v>
      </c>
      <c r="D37" s="194">
        <f>Data!M21</f>
        <v>7.5961763752424378</v>
      </c>
      <c r="E37" s="162">
        <f>Data!N21</f>
        <v>0.42043919427056903</v>
      </c>
      <c r="F37" s="199">
        <f>IFERROR($D37 / $B37,"")</f>
        <v>0.5416346902877025</v>
      </c>
      <c r="G37" s="157">
        <f>IFERROR($F37 * SQRT( ($C37^2 / $B37^2) + ($E37^2 /$D37^2) ),"")</f>
        <v>3.9325713815952949E-2</v>
      </c>
      <c r="H37" s="202"/>
    </row>
    <row r="38" spans="1:8" x14ac:dyDescent="0.25">
      <c r="A38" s="6" t="s">
        <v>7</v>
      </c>
      <c r="B38" s="191">
        <f>Data!M36</f>
        <v>0.13699539817495127</v>
      </c>
      <c r="C38" s="187">
        <f>Data!N36</f>
        <v>8.5406615171504975E-3</v>
      </c>
      <c r="D38" s="195">
        <f>Data!M47</f>
        <v>0.48182344394975174</v>
      </c>
      <c r="E38" s="163">
        <f>Data!N47</f>
        <v>3.1787871040958177E-2</v>
      </c>
      <c r="F38" s="196">
        <f>IFERROR($D38 / $B38,"")</f>
        <v>3.5170775833976156</v>
      </c>
      <c r="G38" s="156">
        <f>IFERROR($F38 * SQRT( ($C38^2 / $B38^2) + ($E38^2 /$D38^2) ),"")</f>
        <v>0.31924514519084529</v>
      </c>
      <c r="H38" s="203"/>
    </row>
    <row r="39" spans="1:8" x14ac:dyDescent="0.25">
      <c r="A39" s="6" t="s">
        <v>79</v>
      </c>
      <c r="B39" s="191">
        <f>Data!M62</f>
        <v>0.13209334922459429</v>
      </c>
      <c r="C39" s="163">
        <f>Data!N62</f>
        <v>3.466423877976383E-2</v>
      </c>
      <c r="D39" s="196">
        <f>Data!M73</f>
        <v>2.9425841809163575</v>
      </c>
      <c r="E39" s="162">
        <f>Data!N73</f>
        <v>0.86245006828889947</v>
      </c>
      <c r="F39" s="200">
        <f>IFERROR($D39 / $B39,"")</f>
        <v>22.276550622644685</v>
      </c>
      <c r="G39" s="155">
        <f>IFERROR($F39 * SQRT( ($C39^2 / $B39^2) + ($E39^2 /$D39^2) ),"")</f>
        <v>8.7637437260537077</v>
      </c>
      <c r="H39" s="203"/>
    </row>
    <row r="40" spans="1:8" x14ac:dyDescent="0.25">
      <c r="A40" s="6" t="s">
        <v>73</v>
      </c>
      <c r="B40" s="192">
        <f>Data!M88</f>
        <v>1.5750497748728571E-2</v>
      </c>
      <c r="C40" s="187">
        <f>Data!N88</f>
        <v>8.6814292331691689E-3</v>
      </c>
      <c r="D40" s="197">
        <f>Data!M99</f>
        <v>2.0756444155644701E-2</v>
      </c>
      <c r="E40" s="163">
        <f>Data!N99</f>
        <v>1.9166043840411845E-2</v>
      </c>
      <c r="F40" s="196">
        <f>IFERROR($D40 / $B40,"")</f>
        <v>1.3178278227632663</v>
      </c>
      <c r="G40" s="155">
        <f>IFERROR($F40 * SQRT( ($C40^2 / $B40^2) + ($E40^2 /$D40^2) ),"")</f>
        <v>1.4171589841438184</v>
      </c>
      <c r="H40" s="203"/>
    </row>
    <row r="41" spans="1:8" ht="15.75" thickBot="1" x14ac:dyDescent="0.3">
      <c r="A41" s="9" t="s">
        <v>75</v>
      </c>
      <c r="B41" s="193">
        <f>Data!M114</f>
        <v>29.439020545369516</v>
      </c>
      <c r="C41" s="164">
        <f>Data!N114</f>
        <v>1.5916673781233799</v>
      </c>
      <c r="D41" s="198">
        <f>Data!M125</f>
        <v>21.254168487690954</v>
      </c>
      <c r="E41" s="188">
        <f>Data!N125</f>
        <v>2.5826479016773339E-2</v>
      </c>
      <c r="F41" s="201">
        <f>IFERROR($D41 / $B41,"")</f>
        <v>0.72197267755343297</v>
      </c>
      <c r="G41" s="189">
        <f>IFERROR($F41 * SQRT( ($C41^2 / $B41^2) + ($E41^2 /$D41^2) ),"")</f>
        <v>3.9044455991425683E-2</v>
      </c>
      <c r="H41" s="204"/>
    </row>
    <row r="42" spans="1:8" ht="15.75" thickTop="1" x14ac:dyDescent="0.25"/>
  </sheetData>
  <mergeCells count="2">
    <mergeCell ref="A1:A2"/>
    <mergeCell ref="A12:G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27"/>
  <sheetViews>
    <sheetView tabSelected="1" workbookViewId="0">
      <pane ySplit="1" topLeftCell="A74" activePane="bottomLeft" state="frozenSplit"/>
      <selection pane="bottomLeft"/>
    </sheetView>
  </sheetViews>
  <sheetFormatPr defaultRowHeight="15" x14ac:dyDescent="0.25"/>
  <cols>
    <col min="1" max="1" width="73.42578125" style="1" bestFit="1" customWidth="1"/>
    <col min="2" max="2" width="16.140625" style="1" bestFit="1" customWidth="1"/>
    <col min="3" max="3" width="11.85546875" style="1" bestFit="1" customWidth="1"/>
    <col min="4" max="4" width="9" style="1" bestFit="1" customWidth="1"/>
    <col min="5" max="5" width="23" style="1" bestFit="1" customWidth="1"/>
    <col min="6" max="7" width="8.7109375" style="1" customWidth="1"/>
    <col min="8" max="8" width="11.140625" style="1" bestFit="1" customWidth="1"/>
    <col min="9" max="9" width="8" style="1" bestFit="1" customWidth="1"/>
    <col min="10" max="11" width="8.5703125" style="1" bestFit="1" customWidth="1"/>
    <col min="12" max="12" width="4.28515625" style="1" bestFit="1" customWidth="1"/>
    <col min="13" max="13" width="8.85546875" style="1" bestFit="1" customWidth="1"/>
    <col min="14" max="14" width="8.5703125" style="1" bestFit="1" customWidth="1"/>
    <col min="15" max="15" width="8.7109375" style="1" customWidth="1"/>
    <col min="16" max="16" width="15.140625" style="1" customWidth="1"/>
    <col min="17" max="17" width="14.42578125" style="1" bestFit="1" customWidth="1"/>
    <col min="18" max="18" width="11.140625" style="1" bestFit="1" customWidth="1"/>
    <col min="19" max="19" width="6.5703125" style="1" bestFit="1" customWidth="1"/>
    <col min="20" max="20" width="7.5703125" style="1" bestFit="1" customWidth="1"/>
    <col min="21" max="21" width="6.140625" style="1" bestFit="1" customWidth="1"/>
    <col min="22" max="22" width="8.140625" style="1" bestFit="1" customWidth="1"/>
    <col min="23" max="40" width="8.7109375" style="1" customWidth="1"/>
    <col min="41" max="16384" width="9.140625" style="1"/>
  </cols>
  <sheetData>
    <row r="1" spans="1:18" s="2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H1" s="75" t="s">
        <v>105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8" ht="15.75" thickTop="1" x14ac:dyDescent="0.25">
      <c r="A2" s="1" t="s">
        <v>9</v>
      </c>
      <c r="B2" s="1" t="s">
        <v>77</v>
      </c>
      <c r="C2" s="1" t="s">
        <v>78</v>
      </c>
      <c r="D2" s="1">
        <v>119.7</v>
      </c>
      <c r="E2" s="1">
        <v>10330000</v>
      </c>
      <c r="F2" s="1">
        <v>1.1590000000000001E-5</v>
      </c>
      <c r="H2" s="76" t="s">
        <v>106</v>
      </c>
      <c r="I2" s="32">
        <v>7.4999999999999997E-2</v>
      </c>
      <c r="J2" s="33">
        <f>($F$10 - $M$6) * $F$18</f>
        <v>0.13058930000000002</v>
      </c>
      <c r="K2" s="33">
        <f>($F$11 - $M$6) * $F$18</f>
        <v>0.13698930000000001</v>
      </c>
      <c r="L2" s="34"/>
      <c r="M2" s="40">
        <f>IFERROR(AVERAGE(J2:L2),"")</f>
        <v>0.1337893</v>
      </c>
      <c r="N2" s="41">
        <f>IFERROR(STDEV(J2:L2),"")</f>
        <v>4.5254833995938964E-3</v>
      </c>
      <c r="P2" s="1" t="s">
        <v>105</v>
      </c>
      <c r="Q2" s="15">
        <f>$M$10</f>
        <v>14.024538146195072</v>
      </c>
      <c r="R2" s="14">
        <f>$N$10</f>
        <v>0.65901673840067709</v>
      </c>
    </row>
    <row r="3" spans="1:18" x14ac:dyDescent="0.25">
      <c r="A3" s="1" t="s">
        <v>10</v>
      </c>
      <c r="B3" s="1" t="s">
        <v>77</v>
      </c>
      <c r="C3" s="1" t="s">
        <v>78</v>
      </c>
      <c r="D3" s="1">
        <v>142.19999999999999</v>
      </c>
      <c r="E3" s="1">
        <v>10340000</v>
      </c>
      <c r="F3" s="1">
        <v>1.376E-5</v>
      </c>
      <c r="H3" s="77" t="s">
        <v>107</v>
      </c>
      <c r="I3" s="27">
        <v>0.25</v>
      </c>
      <c r="J3" s="28">
        <f>($F$6 - $M$6) * $F$18</f>
        <v>3.5345299999999996E-2</v>
      </c>
      <c r="K3" s="28">
        <f>($F$7 - $M$6) * $F$18</f>
        <v>3.5185300000000003E-2</v>
      </c>
      <c r="L3" s="25"/>
      <c r="M3" s="29">
        <f>IFERROR(AVERAGE(J3:L3),"")</f>
        <v>3.5265299999999999E-2</v>
      </c>
      <c r="N3" s="42">
        <f>IFERROR(STDEV(J3:L3),"")</f>
        <v>1.1313708498984299E-4</v>
      </c>
      <c r="P3" s="1" t="s">
        <v>116</v>
      </c>
      <c r="Q3" s="13">
        <f>$M$21</f>
        <v>7.5961763752424378</v>
      </c>
      <c r="R3" s="14">
        <f>$N$21</f>
        <v>0.42043919427056903</v>
      </c>
    </row>
    <row r="4" spans="1:18" x14ac:dyDescent="0.25">
      <c r="A4" s="1" t="s">
        <v>11</v>
      </c>
      <c r="B4" s="1" t="s">
        <v>77</v>
      </c>
      <c r="C4" s="1" t="s">
        <v>78</v>
      </c>
      <c r="D4" s="1">
        <v>92.34</v>
      </c>
      <c r="E4" s="1">
        <v>10570000</v>
      </c>
      <c r="F4" s="1">
        <v>8.7320000000000004E-6</v>
      </c>
      <c r="H4" s="77" t="s">
        <v>108</v>
      </c>
      <c r="I4" s="29">
        <v>7.4999999999999997E-2</v>
      </c>
      <c r="J4" s="30">
        <f>($F$8 - $M$6) * $F$18</f>
        <v>0.76994930000000006</v>
      </c>
      <c r="K4" s="30">
        <f>($F$9 - $M$6) * $F$18</f>
        <v>0.81914930000000008</v>
      </c>
      <c r="L4" s="25"/>
      <c r="M4" s="27">
        <f>IFERROR(AVERAGE(J4:L4),"")</f>
        <v>0.79454930000000012</v>
      </c>
      <c r="N4" s="43">
        <f>IFERROR(STDEV(J4:L4),"")</f>
        <v>3.4789653634378151E-2</v>
      </c>
    </row>
    <row r="5" spans="1:18" x14ac:dyDescent="0.25">
      <c r="A5" s="1" t="s">
        <v>12</v>
      </c>
      <c r="B5" s="1" t="s">
        <v>77</v>
      </c>
      <c r="C5" s="1" t="s">
        <v>78</v>
      </c>
      <c r="D5" s="1">
        <v>115</v>
      </c>
      <c r="E5" s="1">
        <v>10430000</v>
      </c>
      <c r="F5" s="1">
        <v>1.102E-5</v>
      </c>
      <c r="H5" s="77" t="s">
        <v>109</v>
      </c>
      <c r="I5" s="25"/>
      <c r="J5" s="25"/>
      <c r="K5" s="25"/>
      <c r="L5" s="25"/>
      <c r="M5" s="25"/>
      <c r="N5" s="35"/>
    </row>
    <row r="6" spans="1:18" ht="15.75" thickBot="1" x14ac:dyDescent="0.3">
      <c r="A6" s="1" t="s">
        <v>17</v>
      </c>
      <c r="B6" s="1" t="s">
        <v>77</v>
      </c>
      <c r="C6" s="1" t="s">
        <v>78</v>
      </c>
      <c r="D6" s="1">
        <v>93400</v>
      </c>
      <c r="E6" s="1">
        <v>10550000</v>
      </c>
      <c r="F6" s="1">
        <v>8.8489999999999992E-3</v>
      </c>
      <c r="H6" s="78" t="s">
        <v>110</v>
      </c>
      <c r="I6" s="26"/>
      <c r="J6" s="31">
        <f>IF($G$2&lt;&gt;"","Point Deleted",$F$2)</f>
        <v>1.1590000000000001E-5</v>
      </c>
      <c r="K6" s="31">
        <f>IF($G$3&lt;&gt;"","Point Deleted",$F$3)</f>
        <v>1.376E-5</v>
      </c>
      <c r="L6" s="26"/>
      <c r="M6" s="31">
        <f>IFERROR(AVERAGE(J6:L6),"")</f>
        <v>1.2675E-5</v>
      </c>
      <c r="N6" s="44">
        <f>IFERROR(STDEV(J6:L6),"")</f>
        <v>1.5344217151748079E-6</v>
      </c>
    </row>
    <row r="7" spans="1:18" x14ac:dyDescent="0.25">
      <c r="A7" s="1" t="s">
        <v>18</v>
      </c>
      <c r="B7" s="1" t="s">
        <v>77</v>
      </c>
      <c r="C7" s="1" t="s">
        <v>78</v>
      </c>
      <c r="D7" s="1">
        <v>93060</v>
      </c>
      <c r="E7" s="1">
        <v>10560000</v>
      </c>
      <c r="F7" s="1">
        <v>8.8090000000000009E-3</v>
      </c>
      <c r="H7" s="79" t="s">
        <v>111</v>
      </c>
      <c r="I7" s="24"/>
      <c r="J7" s="48">
        <f>IFERROR(IF(ISTEXT($J$3),NA(),($J$3 * $I$3) / ($F$20 * 3600)),"")</f>
        <v>1.227267361111111E-6</v>
      </c>
      <c r="K7" s="37">
        <f>IFERROR(IF(ISTEXT($K$3),NA(),($K$3 * $I$3) / ($F$20 * 3600)),"")</f>
        <v>1.2217118055555556E-6</v>
      </c>
      <c r="L7" s="24"/>
      <c r="M7" s="37">
        <f>IFERROR(AVERAGE(J7:L7),"")</f>
        <v>1.2244895833333332E-6</v>
      </c>
      <c r="N7" s="45">
        <f>IFERROR(STDEV(J7:L7),"")</f>
        <v>3.9283710065918102E-9</v>
      </c>
    </row>
    <row r="8" spans="1:18" ht="18" x14ac:dyDescent="0.35">
      <c r="A8" s="1" t="s">
        <v>57</v>
      </c>
      <c r="B8" s="1" t="s">
        <v>77</v>
      </c>
      <c r="C8" s="1" t="s">
        <v>78</v>
      </c>
      <c r="D8" s="1">
        <v>2945000</v>
      </c>
      <c r="E8" s="1">
        <v>15300000</v>
      </c>
      <c r="F8" s="1">
        <v>0.1925</v>
      </c>
      <c r="H8" s="77" t="s">
        <v>112</v>
      </c>
      <c r="I8" s="25"/>
      <c r="J8" s="49">
        <f>IFERROR(IF(ISTEXT($J$4),NA(),$J$4),"")</f>
        <v>0.76994930000000006</v>
      </c>
      <c r="K8" s="27">
        <f>IFERROR(IF(ISTEXT($K$4),NA(),$K$4),"")</f>
        <v>0.81914930000000008</v>
      </c>
      <c r="L8" s="25"/>
      <c r="M8" s="27">
        <f>IFERROR(AVERAGE(J8:L8),"")</f>
        <v>0.79454930000000012</v>
      </c>
      <c r="N8" s="43">
        <f>IFERROR(STDEV(J8:L8),"")</f>
        <v>3.4789653634378151E-2</v>
      </c>
    </row>
    <row r="9" spans="1:18" x14ac:dyDescent="0.25">
      <c r="A9" s="1" t="s">
        <v>58</v>
      </c>
      <c r="B9" s="1" t="s">
        <v>77</v>
      </c>
      <c r="C9" s="1" t="s">
        <v>78</v>
      </c>
      <c r="D9" s="1">
        <v>2248000</v>
      </c>
      <c r="E9" s="1">
        <v>10980000</v>
      </c>
      <c r="F9" s="1">
        <v>0.20480000000000001</v>
      </c>
      <c r="H9" s="77" t="s">
        <v>113</v>
      </c>
      <c r="I9" s="25"/>
      <c r="J9" s="50">
        <f>IFERROR(IF(OR(ISTEXT($J$2),ISTEXT($J$3),ISTEXT($J$4)),NA(),(($J$2 * $I$2) + ($J$3 * $I$3)) / $J$4 / $I$4),"")</f>
        <v>0.32262769336457175</v>
      </c>
      <c r="K9" s="38">
        <f>IFERROR(IF(OR(ISTEXT($K$2),ISTEXT($K$3),ISTEXT($K$4)),NA(),(($K$2 * $I$2) + ($K$3 * $I$3)) / $K$4 / $I$4),"")</f>
        <v>0.31041183009413953</v>
      </c>
      <c r="L9" s="25" t="str">
        <f>IFERROR(IF(OR(ISTEXT($L$2),ISTEXT($L$3),ISTEXT($L$4)),NA(),(($L$2 * $I$2) + ($L$3 * $I$3)) / $L$4 / $I$4),"")</f>
        <v/>
      </c>
      <c r="M9" s="38">
        <f>IFERROR(AVERAGE(J9:L9),"")</f>
        <v>0.31651976172935564</v>
      </c>
      <c r="N9" s="46">
        <f>IFERROR(STDEV(J9:L9),"")</f>
        <v>8.637919756570302E-3</v>
      </c>
    </row>
    <row r="10" spans="1:18" ht="18.75" thickBot="1" x14ac:dyDescent="0.4">
      <c r="A10" s="1" t="s">
        <v>37</v>
      </c>
      <c r="B10" s="1" t="s">
        <v>77</v>
      </c>
      <c r="C10" s="1" t="s">
        <v>78</v>
      </c>
      <c r="D10" s="1">
        <v>370500</v>
      </c>
      <c r="E10" s="1">
        <v>11340000</v>
      </c>
      <c r="F10" s="1">
        <v>3.2660000000000002E-2</v>
      </c>
      <c r="H10" s="80" t="s">
        <v>115</v>
      </c>
      <c r="I10" s="36"/>
      <c r="J10" s="51">
        <f>IFERROR($J$7 / $J$4 / $F$19 * 1000000,"")</f>
        <v>14.490533350833632</v>
      </c>
      <c r="K10" s="39">
        <f>IFERROR($K$7 / $K$4 / $F$19 * 1000000,"")</f>
        <v>13.558542941556512</v>
      </c>
      <c r="L10" s="36" t="str">
        <f>IFERROR($L$7 / $L$4 / $F$19 * 1000000,"")</f>
        <v/>
      </c>
      <c r="M10" s="39">
        <f>IFERROR(AVERAGE(J10:L10),"")</f>
        <v>14.024538146195072</v>
      </c>
      <c r="N10" s="47">
        <f>IFERROR(STDEV(J10:L10),"")</f>
        <v>0.65901673840067709</v>
      </c>
    </row>
    <row r="11" spans="1:18" ht="15.75" thickTop="1" x14ac:dyDescent="0.25">
      <c r="A11" s="1" t="s">
        <v>38</v>
      </c>
      <c r="B11" s="1" t="s">
        <v>77</v>
      </c>
      <c r="C11" s="1" t="s">
        <v>78</v>
      </c>
      <c r="D11" s="1">
        <v>383300</v>
      </c>
      <c r="E11" s="1">
        <v>11190000</v>
      </c>
      <c r="F11" s="1">
        <v>3.4259999999999999E-2</v>
      </c>
      <c r="H11" s="74"/>
    </row>
    <row r="12" spans="1:18" ht="15.75" thickBot="1" x14ac:dyDescent="0.3">
      <c r="A12" s="1" t="s">
        <v>27</v>
      </c>
      <c r="B12" s="1" t="s">
        <v>77</v>
      </c>
      <c r="C12" s="1" t="s">
        <v>78</v>
      </c>
      <c r="D12" s="1">
        <v>182500</v>
      </c>
      <c r="E12" s="1">
        <v>11110000</v>
      </c>
      <c r="F12" s="1">
        <v>1.643E-2</v>
      </c>
      <c r="H12" s="75" t="s">
        <v>116</v>
      </c>
    </row>
    <row r="13" spans="1:18" ht="15.75" thickTop="1" x14ac:dyDescent="0.25">
      <c r="A13" s="1" t="s">
        <v>28</v>
      </c>
      <c r="B13" s="1" t="s">
        <v>77</v>
      </c>
      <c r="C13" s="1" t="s">
        <v>78</v>
      </c>
      <c r="D13" s="1">
        <v>170100</v>
      </c>
      <c r="E13" s="1">
        <v>11210000</v>
      </c>
      <c r="F13" s="1">
        <v>1.5169999999999999E-2</v>
      </c>
      <c r="H13" s="81" t="s">
        <v>106</v>
      </c>
      <c r="I13" s="55">
        <v>0.25</v>
      </c>
      <c r="J13" s="56">
        <f>($F$16 - $M$17) * $F$18</f>
        <v>0.45596049599999999</v>
      </c>
      <c r="K13" s="56">
        <f>($F$17 - $M$17) * $F$18</f>
        <v>0.44156049599999997</v>
      </c>
      <c r="L13" s="57"/>
      <c r="M13" s="55">
        <f>IFERROR(AVERAGE(J13:L13),"")</f>
        <v>0.44876049600000001</v>
      </c>
      <c r="N13" s="64">
        <f>IFERROR(STDEV(J13:L13),"")</f>
        <v>1.0182337649086302E-2</v>
      </c>
    </row>
    <row r="14" spans="1:18" x14ac:dyDescent="0.25">
      <c r="A14" s="1" t="s">
        <v>67</v>
      </c>
      <c r="B14" s="1" t="s">
        <v>77</v>
      </c>
      <c r="C14" s="1" t="s">
        <v>78</v>
      </c>
      <c r="D14" s="1">
        <v>2176000</v>
      </c>
      <c r="E14" s="1">
        <v>11040000</v>
      </c>
      <c r="F14" s="1">
        <v>0.19700000000000001</v>
      </c>
      <c r="H14" s="82" t="s">
        <v>107</v>
      </c>
      <c r="I14" s="29">
        <v>7.4999999999999997E-2</v>
      </c>
      <c r="J14" s="28">
        <f>($F$12 - $M$17) * $F$18</f>
        <v>6.5680496000000005E-2</v>
      </c>
      <c r="K14" s="28">
        <f>($F$13 - $M$17) * $F$18</f>
        <v>6.0640495999999995E-2</v>
      </c>
      <c r="L14" s="25"/>
      <c r="M14" s="29">
        <f>IFERROR(AVERAGE(J14:L14),"")</f>
        <v>6.3160495999999997E-2</v>
      </c>
      <c r="N14" s="65">
        <f>IFERROR(STDEV(J14:L14),"")</f>
        <v>3.5638181771802066E-3</v>
      </c>
    </row>
    <row r="15" spans="1:18" x14ac:dyDescent="0.25">
      <c r="A15" s="1" t="s">
        <v>68</v>
      </c>
      <c r="B15" s="1" t="s">
        <v>77</v>
      </c>
      <c r="C15" s="1" t="s">
        <v>78</v>
      </c>
      <c r="D15" s="1">
        <v>2188000</v>
      </c>
      <c r="E15" s="1">
        <v>11130000</v>
      </c>
      <c r="F15" s="1">
        <v>0.19670000000000001</v>
      </c>
      <c r="H15" s="82" t="s">
        <v>108</v>
      </c>
      <c r="I15" s="27">
        <v>0.25</v>
      </c>
      <c r="J15" s="30">
        <f>($F$14 - $M$17) * $F$18</f>
        <v>0.78796049600000007</v>
      </c>
      <c r="K15" s="30">
        <f>($F$15 - $M$17) * $F$18</f>
        <v>0.78676049600000009</v>
      </c>
      <c r="L15" s="25"/>
      <c r="M15" s="27">
        <f>IFERROR(AVERAGE(J15:L15),"")</f>
        <v>0.78736049600000002</v>
      </c>
      <c r="N15" s="66">
        <f>IFERROR(STDEV(J15:L15),"")</f>
        <v>8.4852813742384214E-4</v>
      </c>
    </row>
    <row r="16" spans="1:18" x14ac:dyDescent="0.25">
      <c r="A16" s="1" t="s">
        <v>47</v>
      </c>
      <c r="B16" s="1" t="s">
        <v>77</v>
      </c>
      <c r="C16" s="1" t="s">
        <v>78</v>
      </c>
      <c r="D16" s="1">
        <v>1174000</v>
      </c>
      <c r="E16" s="1">
        <v>10300000</v>
      </c>
      <c r="F16" s="1">
        <v>0.114</v>
      </c>
      <c r="H16" s="82" t="s">
        <v>109</v>
      </c>
      <c r="I16" s="25"/>
      <c r="J16" s="25"/>
      <c r="K16" s="25"/>
      <c r="L16" s="25"/>
      <c r="M16" s="25"/>
      <c r="N16" s="58"/>
    </row>
    <row r="17" spans="1:22" ht="15.75" thickBot="1" x14ac:dyDescent="0.3">
      <c r="A17" s="1" t="s">
        <v>48</v>
      </c>
      <c r="B17" s="1" t="s">
        <v>77</v>
      </c>
      <c r="C17" s="1" t="s">
        <v>78</v>
      </c>
      <c r="D17" s="1">
        <v>1158000</v>
      </c>
      <c r="E17" s="1">
        <v>10480000</v>
      </c>
      <c r="F17" s="1">
        <v>0.1104</v>
      </c>
      <c r="H17" s="83" t="s">
        <v>110</v>
      </c>
      <c r="I17" s="53"/>
      <c r="J17" s="54">
        <f>IF($G$4&lt;&gt;"","Point Deleted",$F$4)</f>
        <v>8.7320000000000004E-6</v>
      </c>
      <c r="K17" s="54">
        <f>IF($G$5&lt;&gt;"","Point Deleted",$F$5)</f>
        <v>1.102E-5</v>
      </c>
      <c r="L17" s="53"/>
      <c r="M17" s="54">
        <f t="shared" ref="M17:M22" si="0">IFERROR(AVERAGE(J17:L17),"")</f>
        <v>9.876E-6</v>
      </c>
      <c r="N17" s="67">
        <f t="shared" ref="N17:N22" si="1">IFERROR(STDEV(J17:L17),"")</f>
        <v>1.6178603153548201E-6</v>
      </c>
    </row>
    <row r="18" spans="1:22" ht="66.75" thickTop="1" thickBot="1" x14ac:dyDescent="0.3">
      <c r="C18" s="75"/>
      <c r="E18" s="17" t="s">
        <v>4</v>
      </c>
      <c r="F18" s="18">
        <v>4</v>
      </c>
      <c r="H18" s="84" t="s">
        <v>111</v>
      </c>
      <c r="I18" s="52"/>
      <c r="J18" s="72">
        <f>IFERROR(IF(ISTEXT($J$14),NA(),($J$14 * $I$14) / ($F$20 * 3600)),"")</f>
        <v>6.8417183333333335E-7</v>
      </c>
      <c r="K18" s="61">
        <f>IFERROR(IF(ISTEXT($K$14),NA(),($K$14 * $I$14) / ($F$20 * 3600)),"")</f>
        <v>6.3167183333333332E-7</v>
      </c>
      <c r="L18" s="52"/>
      <c r="M18" s="61">
        <f t="shared" si="0"/>
        <v>6.5792183333333328E-7</v>
      </c>
      <c r="N18" s="68">
        <f t="shared" si="1"/>
        <v>3.7123106012293765E-8</v>
      </c>
      <c r="P18" s="85" t="s">
        <v>117</v>
      </c>
      <c r="Q18" s="86" t="s">
        <v>118</v>
      </c>
      <c r="R18" s="87" t="s">
        <v>91</v>
      </c>
      <c r="S18" s="87" t="s">
        <v>119</v>
      </c>
      <c r="T18" s="87" t="s">
        <v>120</v>
      </c>
      <c r="U18" s="87" t="s">
        <v>121</v>
      </c>
      <c r="V18" s="87" t="s">
        <v>113</v>
      </c>
    </row>
    <row r="19" spans="1:22" ht="18.75" thickTop="1" x14ac:dyDescent="0.35">
      <c r="C19" s="75"/>
      <c r="E19" s="19" t="s">
        <v>102</v>
      </c>
      <c r="F19" s="20">
        <v>0.11</v>
      </c>
      <c r="H19" s="82" t="s">
        <v>112</v>
      </c>
      <c r="I19" s="25"/>
      <c r="J19" s="49">
        <f>IFERROR(IF(ISTEXT($J$15),NA(),$J$15),"")</f>
        <v>0.78796049600000007</v>
      </c>
      <c r="K19" s="27">
        <f>IFERROR(IF(ISTEXT($K$15),NA(),$K$15),"")</f>
        <v>0.78676049600000009</v>
      </c>
      <c r="L19" s="25"/>
      <c r="M19" s="27">
        <f t="shared" si="0"/>
        <v>0.78736049600000002</v>
      </c>
      <c r="N19" s="66">
        <f t="shared" si="1"/>
        <v>8.4852813742384214E-4</v>
      </c>
      <c r="Q19" s="88"/>
      <c r="R19" s="88" t="s">
        <v>105</v>
      </c>
      <c r="S19" s="92">
        <f>$J$10</f>
        <v>14.490533350833632</v>
      </c>
      <c r="T19" s="92">
        <f>$K$10</f>
        <v>13.558542941556512</v>
      </c>
      <c r="U19" s="88" t="str">
        <f>$L$10</f>
        <v/>
      </c>
      <c r="V19" s="93">
        <f>$M$9</f>
        <v>0.31651976172935564</v>
      </c>
    </row>
    <row r="20" spans="1:22" ht="30" x14ac:dyDescent="0.25">
      <c r="C20" s="75"/>
      <c r="E20" s="19" t="s">
        <v>103</v>
      </c>
      <c r="F20" s="21">
        <v>2</v>
      </c>
      <c r="H20" s="82" t="s">
        <v>113</v>
      </c>
      <c r="I20" s="25"/>
      <c r="J20" s="50">
        <f>IFERROR(IF(OR(ISTEXT($J$13),ISTEXT($J$14),ISTEXT($J$15)),NA(),(($J$13 * $I$13) + ($J$14 * $I$14)) / $J$15 / $I$15),"")</f>
        <v>0.60366559899216055</v>
      </c>
      <c r="K20" s="38">
        <f>IFERROR(IF(OR(ISTEXT($K$13),ISTEXT($K$14),ISTEXT($K$15)),NA(),(($K$13 * $I$13) + ($K$14 * $I$14)) / $K$15 / $I$15),"")</f>
        <v>0.58436162864994667</v>
      </c>
      <c r="L20" s="25" t="str">
        <f>IFERROR(IF(OR(ISTEXT($L$13),ISTEXT($L$14),ISTEXT($L$15)),NA(),(($L$13 * $I$13) + ($L$14 * $I$14)) / $L$15 / $I$15),"")</f>
        <v/>
      </c>
      <c r="M20" s="38">
        <f t="shared" si="0"/>
        <v>0.59401361382105367</v>
      </c>
      <c r="N20" s="69">
        <f t="shared" si="1"/>
        <v>1.3649968332803427E-2</v>
      </c>
      <c r="P20" s="89" t="str">
        <f>$B$2</f>
        <v>DTXSID1032648</v>
      </c>
      <c r="Q20" s="94">
        <f>$F$21</f>
        <v>10</v>
      </c>
      <c r="R20" s="88" t="s">
        <v>116</v>
      </c>
      <c r="S20" s="95">
        <f>$J$21</f>
        <v>7.893471780587765</v>
      </c>
      <c r="T20" s="95">
        <f>$K$21</f>
        <v>7.2988809698971098</v>
      </c>
      <c r="U20" s="88" t="str">
        <f>$L$21</f>
        <v/>
      </c>
      <c r="V20" s="93">
        <f>$M$20</f>
        <v>0.59401361382105367</v>
      </c>
    </row>
    <row r="21" spans="1:22" ht="18.75" thickBot="1" x14ac:dyDescent="0.4">
      <c r="C21" s="75"/>
      <c r="E21" s="22" t="s">
        <v>104</v>
      </c>
      <c r="F21" s="23">
        <v>10</v>
      </c>
      <c r="H21" s="83" t="s">
        <v>115</v>
      </c>
      <c r="I21" s="53"/>
      <c r="J21" s="73">
        <f>IFERROR($J$18 / $J$15 / $F$19 * 1000000,"")</f>
        <v>7.893471780587765</v>
      </c>
      <c r="K21" s="62">
        <f>IFERROR($K$18 / $K$15 / $F$19 * 1000000,"")</f>
        <v>7.2988809698971098</v>
      </c>
      <c r="L21" s="53" t="str">
        <f>IFERROR($L$18 / $L$15 / $F$19 * 1000000,"")</f>
        <v/>
      </c>
      <c r="M21" s="62">
        <f t="shared" si="0"/>
        <v>7.5961763752424378</v>
      </c>
      <c r="N21" s="70">
        <f t="shared" si="1"/>
        <v>0.42043919427056903</v>
      </c>
      <c r="P21" s="90"/>
      <c r="Q21" s="96"/>
      <c r="R21" s="97" t="s">
        <v>87</v>
      </c>
      <c r="S21" s="98">
        <f>$J$22</f>
        <v>0.54473300529919133</v>
      </c>
      <c r="T21" s="98">
        <f>$K$22</f>
        <v>0.5383234025483864</v>
      </c>
      <c r="U21" s="97" t="str">
        <f>$L$22</f>
        <v/>
      </c>
      <c r="V21" s="97"/>
    </row>
    <row r="22" spans="1:22" ht="15.75" thickBot="1" x14ac:dyDescent="0.3">
      <c r="H22" s="59" t="s">
        <v>87</v>
      </c>
      <c r="I22" s="60"/>
      <c r="J22" s="63">
        <f>IFERROR($J$21 / $J$10,"")</f>
        <v>0.54473300529919133</v>
      </c>
      <c r="K22" s="63">
        <f>IFERROR($K$21 / $K$10,"")</f>
        <v>0.5383234025483864</v>
      </c>
      <c r="L22" s="60" t="str">
        <f>IFERROR($L$21 / $L$10,"")</f>
        <v/>
      </c>
      <c r="M22" s="63">
        <f t="shared" si="0"/>
        <v>0.54152820392378886</v>
      </c>
      <c r="N22" s="71">
        <f t="shared" si="1"/>
        <v>4.5322735698061162E-3</v>
      </c>
      <c r="P22" s="91"/>
      <c r="Q22" s="99"/>
      <c r="R22" s="88"/>
      <c r="S22" s="88"/>
      <c r="T22" s="88"/>
      <c r="U22" s="88"/>
      <c r="V22" s="88"/>
    </row>
    <row r="23" spans="1:22" ht="15.75" thickTop="1" x14ac:dyDescent="0.25"/>
    <row r="27" spans="1:22" ht="15.75" thickBot="1" x14ac:dyDescent="0.3">
      <c r="H27" s="75" t="s">
        <v>105</v>
      </c>
    </row>
    <row r="28" spans="1:22" ht="15.75" thickTop="1" x14ac:dyDescent="0.25">
      <c r="A28" s="1" t="s">
        <v>9</v>
      </c>
      <c r="B28" s="1" t="s">
        <v>7</v>
      </c>
      <c r="C28" s="1" t="s">
        <v>8</v>
      </c>
      <c r="D28" s="1">
        <v>1.504</v>
      </c>
      <c r="E28" s="1">
        <v>10330000</v>
      </c>
      <c r="F28" s="1">
        <v>1.4560000000000001E-7</v>
      </c>
      <c r="H28" s="76" t="s">
        <v>106</v>
      </c>
      <c r="I28" s="32">
        <v>7.4999999999999997E-2</v>
      </c>
      <c r="J28" s="33">
        <f>($F$36 - $M$32) * $F$44</f>
        <v>0.1157578194</v>
      </c>
      <c r="K28" s="33">
        <f>($F$37 - $M$32) * $F$44</f>
        <v>0.1089578194</v>
      </c>
      <c r="L28" s="34"/>
      <c r="M28" s="40">
        <f>IFERROR(AVERAGE(J28:L28),"")</f>
        <v>0.1123578194</v>
      </c>
      <c r="N28" s="41">
        <f>IFERROR(STDEV(J28:L28),"")</f>
        <v>4.8083261120685237E-3</v>
      </c>
      <c r="P28" s="1" t="s">
        <v>105</v>
      </c>
      <c r="Q28" s="14">
        <f>$M$36</f>
        <v>0.13699539817495127</v>
      </c>
      <c r="R28" s="106">
        <f>$N$36</f>
        <v>8.5406615171504975E-3</v>
      </c>
    </row>
    <row r="29" spans="1:22" x14ac:dyDescent="0.25">
      <c r="A29" s="1" t="s">
        <v>10</v>
      </c>
      <c r="B29" s="1" t="s">
        <v>7</v>
      </c>
      <c r="C29" s="1" t="s">
        <v>8</v>
      </c>
      <c r="D29" s="1">
        <v>9.7629999999999999</v>
      </c>
      <c r="E29" s="1">
        <v>10340000</v>
      </c>
      <c r="F29" s="1">
        <v>9.4470000000000004E-7</v>
      </c>
      <c r="H29" s="77" t="s">
        <v>107</v>
      </c>
      <c r="I29" s="27">
        <v>0.25</v>
      </c>
      <c r="J29" s="100">
        <f>($F$32 - $M$32) * $F$44</f>
        <v>5.3019400000000003E-5</v>
      </c>
      <c r="K29" s="100">
        <f>($F$33 - $M$32) * $F$44</f>
        <v>5.4139400000000005E-5</v>
      </c>
      <c r="L29" s="25"/>
      <c r="M29" s="102">
        <f>IFERROR(AVERAGE(J29:L29),"")</f>
        <v>5.3579400000000004E-5</v>
      </c>
      <c r="N29" s="103">
        <f>IFERROR(STDEV(J29:L29),"")</f>
        <v>7.9195959492893517E-7</v>
      </c>
      <c r="P29" s="1" t="s">
        <v>116</v>
      </c>
      <c r="Q29" s="14">
        <f>$M$47</f>
        <v>0.48182344394975174</v>
      </c>
      <c r="R29" s="16">
        <f>$N$47</f>
        <v>3.1787871040958177E-2</v>
      </c>
    </row>
    <row r="30" spans="1:22" x14ac:dyDescent="0.25">
      <c r="A30" s="1" t="s">
        <v>11</v>
      </c>
      <c r="B30" s="1" t="s">
        <v>7</v>
      </c>
      <c r="C30" s="1" t="s">
        <v>8</v>
      </c>
      <c r="D30" s="1">
        <v>1.9239999999999999</v>
      </c>
      <c r="E30" s="1">
        <v>10570000</v>
      </c>
      <c r="F30" s="1">
        <v>1.8190000000000001E-7</v>
      </c>
      <c r="H30" s="77" t="s">
        <v>108</v>
      </c>
      <c r="I30" s="29">
        <v>7.4999999999999997E-2</v>
      </c>
      <c r="J30" s="30">
        <f>($F$34 - $M$32) * $F$44</f>
        <v>0.12779781939999998</v>
      </c>
      <c r="K30" s="30">
        <f>($F$35 - $M$32) * $F$44</f>
        <v>0.1194778194</v>
      </c>
      <c r="L30" s="25"/>
      <c r="M30" s="27">
        <f>IFERROR(AVERAGE(J30:L30),"")</f>
        <v>0.12363781939999999</v>
      </c>
      <c r="N30" s="104">
        <f>IFERROR(STDEV(J30:L30),"")</f>
        <v>5.8831284194720617E-3</v>
      </c>
    </row>
    <row r="31" spans="1:22" x14ac:dyDescent="0.25">
      <c r="A31" s="1" t="s">
        <v>12</v>
      </c>
      <c r="B31" s="1" t="s">
        <v>7</v>
      </c>
      <c r="C31" s="1" t="s">
        <v>8</v>
      </c>
      <c r="D31" s="1">
        <v>9.76</v>
      </c>
      <c r="E31" s="1">
        <v>10430000</v>
      </c>
      <c r="F31" s="1">
        <v>9.3569999999999999E-7</v>
      </c>
      <c r="H31" s="77" t="s">
        <v>109</v>
      </c>
      <c r="I31" s="25"/>
      <c r="J31" s="25"/>
      <c r="K31" s="25"/>
      <c r="L31" s="25"/>
      <c r="M31" s="25"/>
      <c r="N31" s="35"/>
    </row>
    <row r="32" spans="1:22" ht="15.75" thickBot="1" x14ac:dyDescent="0.3">
      <c r="A32" s="1" t="s">
        <v>19</v>
      </c>
      <c r="B32" s="1" t="s">
        <v>7</v>
      </c>
      <c r="C32" s="1" t="s">
        <v>8</v>
      </c>
      <c r="D32" s="1">
        <v>144.19999999999999</v>
      </c>
      <c r="E32" s="1">
        <v>10440000</v>
      </c>
      <c r="F32" s="1">
        <v>1.38E-5</v>
      </c>
      <c r="H32" s="78" t="s">
        <v>110</v>
      </c>
      <c r="I32" s="26"/>
      <c r="J32" s="31">
        <f>IF($G$28&lt;&gt;"","Point Deleted",$F$28)</f>
        <v>1.4560000000000001E-7</v>
      </c>
      <c r="K32" s="31">
        <f>IF($G$29&lt;&gt;"","Point Deleted",$F$29)</f>
        <v>9.4470000000000004E-7</v>
      </c>
      <c r="L32" s="26"/>
      <c r="M32" s="31">
        <f>IFERROR(AVERAGE(J32:L32),"")</f>
        <v>5.4514999999999998E-7</v>
      </c>
      <c r="N32" s="44">
        <f>IFERROR(STDEV(J32:L32),"")</f>
        <v>5.650490288461701E-7</v>
      </c>
    </row>
    <row r="33" spans="1:22" x14ac:dyDescent="0.25">
      <c r="A33" s="1" t="s">
        <v>20</v>
      </c>
      <c r="B33" s="1" t="s">
        <v>7</v>
      </c>
      <c r="C33" s="1" t="s">
        <v>8</v>
      </c>
      <c r="D33" s="1">
        <v>150</v>
      </c>
      <c r="E33" s="1">
        <v>10660000</v>
      </c>
      <c r="F33" s="1">
        <v>1.4080000000000001E-5</v>
      </c>
      <c r="H33" s="79" t="s">
        <v>111</v>
      </c>
      <c r="I33" s="24"/>
      <c r="J33" s="48">
        <f>IFERROR(IF(ISTEXT($J$29),NA(),($J$29 * $I$29) / ($F$46 * 3600)),"")</f>
        <v>1.8409513888888889E-9</v>
      </c>
      <c r="K33" s="37">
        <f>IFERROR(IF(ISTEXT($K$29),NA(),($K$29 * $I$29) / ($F$46 * 3600)),"")</f>
        <v>1.879840277777778E-9</v>
      </c>
      <c r="L33" s="24"/>
      <c r="M33" s="37">
        <f>IFERROR(AVERAGE(J33:L33),"")</f>
        <v>1.8603958333333335E-9</v>
      </c>
      <c r="N33" s="45">
        <f>IFERROR(STDEV(J33:L33),"")</f>
        <v>2.7498597046143663E-11</v>
      </c>
    </row>
    <row r="34" spans="1:22" ht="18" x14ac:dyDescent="0.35">
      <c r="A34" s="1" t="s">
        <v>59</v>
      </c>
      <c r="B34" s="1" t="s">
        <v>7</v>
      </c>
      <c r="C34" s="1" t="s">
        <v>8</v>
      </c>
      <c r="D34" s="1">
        <v>503700</v>
      </c>
      <c r="E34" s="1">
        <v>15770000</v>
      </c>
      <c r="F34" s="1">
        <v>3.1949999999999999E-2</v>
      </c>
      <c r="H34" s="77" t="s">
        <v>112</v>
      </c>
      <c r="I34" s="25"/>
      <c r="J34" s="49">
        <f>IFERROR(IF(ISTEXT($J$30),NA(),$J$30),"")</f>
        <v>0.12779781939999998</v>
      </c>
      <c r="K34" s="27">
        <f>IFERROR(IF(ISTEXT($K$30),NA(),$K$30),"")</f>
        <v>0.1194778194</v>
      </c>
      <c r="L34" s="25"/>
      <c r="M34" s="27">
        <f>IFERROR(AVERAGE(J34:L34),"")</f>
        <v>0.12363781939999999</v>
      </c>
      <c r="N34" s="104">
        <f>IFERROR(STDEV(J34:L34),"")</f>
        <v>5.8831284194720617E-3</v>
      </c>
    </row>
    <row r="35" spans="1:22" x14ac:dyDescent="0.25">
      <c r="A35" s="1" t="s">
        <v>60</v>
      </c>
      <c r="B35" s="1" t="s">
        <v>7</v>
      </c>
      <c r="C35" s="1" t="s">
        <v>8</v>
      </c>
      <c r="D35" s="1">
        <v>325200</v>
      </c>
      <c r="E35" s="1">
        <v>10890000</v>
      </c>
      <c r="F35" s="1">
        <v>2.9870000000000001E-2</v>
      </c>
      <c r="H35" s="77" t="s">
        <v>113</v>
      </c>
      <c r="I35" s="25"/>
      <c r="J35" s="50">
        <f>IFERROR(IF(OR(ISTEXT($J$28),ISTEXT($J$29),ISTEXT($J$30)),NA(),(($J$28 * $I$28) + ($J$29 * $I$29)) / $J$30 / $I$30),"")</f>
        <v>0.90717158772846274</v>
      </c>
      <c r="K35" s="38">
        <f>IFERROR(IF(OR(ISTEXT($K$28),ISTEXT($K$29),ISTEXT($K$30)),NA(),(($K$28 * $I$28) + ($K$29 * $I$29)) / $K$30 / $I$30),"")</f>
        <v>0.91346062905017056</v>
      </c>
      <c r="L35" s="25" t="str">
        <f>IFERROR(IF(OR(ISTEXT($L$28),ISTEXT($L$29),ISTEXT($L$30)),NA(),(($L$28 * $I$28) + ($L$29 * $I$29)) / $L$30 / $I$30),"")</f>
        <v/>
      </c>
      <c r="M35" s="38">
        <f>IFERROR(AVERAGE(J35:L35),"")</f>
        <v>0.91031610838931665</v>
      </c>
      <c r="N35" s="46">
        <f>IFERROR(STDEV(J35:L35),"")</f>
        <v>4.4470237657420085E-3</v>
      </c>
    </row>
    <row r="36" spans="1:22" ht="18.75" thickBot="1" x14ac:dyDescent="0.4">
      <c r="A36" s="1" t="s">
        <v>39</v>
      </c>
      <c r="B36" s="1" t="s">
        <v>7</v>
      </c>
      <c r="C36" s="1" t="s">
        <v>8</v>
      </c>
      <c r="D36" s="1">
        <v>333600</v>
      </c>
      <c r="E36" s="1">
        <v>11530000</v>
      </c>
      <c r="F36" s="1">
        <v>2.894E-2</v>
      </c>
      <c r="H36" s="80" t="s">
        <v>115</v>
      </c>
      <c r="I36" s="36"/>
      <c r="J36" s="107">
        <f>IFERROR($J$33 / $J$30 / $F$45 * 1000000,"")</f>
        <v>0.13095623850035518</v>
      </c>
      <c r="K36" s="101">
        <f>IFERROR($K$33 / $K$30 / $F$45 * 1000000,"")</f>
        <v>0.14303455784954738</v>
      </c>
      <c r="L36" s="36" t="str">
        <f>IFERROR($L$33 / $L$30 / $F$45 * 1000000,"")</f>
        <v/>
      </c>
      <c r="M36" s="101">
        <f>IFERROR(AVERAGE(J36:L36),"")</f>
        <v>0.13699539817495127</v>
      </c>
      <c r="N36" s="105">
        <f>IFERROR(STDEV(J36:L36),"")</f>
        <v>8.5406615171504975E-3</v>
      </c>
    </row>
    <row r="37" spans="1:22" ht="15.75" thickTop="1" x14ac:dyDescent="0.25">
      <c r="A37" s="1" t="s">
        <v>40</v>
      </c>
      <c r="B37" s="1" t="s">
        <v>7</v>
      </c>
      <c r="C37" s="1" t="s">
        <v>8</v>
      </c>
      <c r="D37" s="1">
        <v>308100</v>
      </c>
      <c r="E37" s="1">
        <v>11310000</v>
      </c>
      <c r="F37" s="1">
        <v>2.724E-2</v>
      </c>
      <c r="H37" s="74"/>
    </row>
    <row r="38" spans="1:22" ht="15.75" thickBot="1" x14ac:dyDescent="0.3">
      <c r="A38" s="1" t="s">
        <v>29</v>
      </c>
      <c r="B38" s="1" t="s">
        <v>7</v>
      </c>
      <c r="C38" s="1" t="s">
        <v>8</v>
      </c>
      <c r="D38" s="1">
        <v>1699</v>
      </c>
      <c r="E38" s="1">
        <v>11310000</v>
      </c>
      <c r="F38" s="1">
        <v>1.5019999999999999E-4</v>
      </c>
      <c r="H38" s="75" t="s">
        <v>116</v>
      </c>
    </row>
    <row r="39" spans="1:22" ht="15.75" thickTop="1" x14ac:dyDescent="0.25">
      <c r="A39" s="1" t="s">
        <v>30</v>
      </c>
      <c r="B39" s="1" t="s">
        <v>7</v>
      </c>
      <c r="C39" s="1" t="s">
        <v>8</v>
      </c>
      <c r="D39" s="1">
        <v>1821</v>
      </c>
      <c r="E39" s="1">
        <v>11440000</v>
      </c>
      <c r="F39" s="1">
        <v>1.5919999999999999E-4</v>
      </c>
      <c r="H39" s="81" t="s">
        <v>106</v>
      </c>
      <c r="I39" s="55">
        <v>0.25</v>
      </c>
      <c r="J39" s="56">
        <f>($F$42 - $M$43) * $F$44</f>
        <v>0.10527776479999999</v>
      </c>
      <c r="K39" s="56">
        <f>($F$43 - $M$43) * $F$44</f>
        <v>0.1037177648</v>
      </c>
      <c r="L39" s="57"/>
      <c r="M39" s="55">
        <f>IFERROR(AVERAGE(J39:L39),"")</f>
        <v>0.1044977648</v>
      </c>
      <c r="N39" s="111">
        <f>IFERROR(STDEV(J39:L39),"")</f>
        <v>1.1030865786510085E-3</v>
      </c>
    </row>
    <row r="40" spans="1:22" x14ac:dyDescent="0.25">
      <c r="A40" s="1" t="s">
        <v>69</v>
      </c>
      <c r="B40" s="1" t="s">
        <v>7</v>
      </c>
      <c r="C40" s="1" t="s">
        <v>8</v>
      </c>
      <c r="D40" s="1">
        <v>340500</v>
      </c>
      <c r="E40" s="1">
        <v>11040000</v>
      </c>
      <c r="F40" s="1">
        <v>3.0849999999999999E-2</v>
      </c>
      <c r="H40" s="82" t="s">
        <v>107</v>
      </c>
      <c r="I40" s="29">
        <v>7.4999999999999997E-2</v>
      </c>
      <c r="J40" s="108">
        <f>($F$38 - $M$43) * $F$44</f>
        <v>5.9856479999999994E-4</v>
      </c>
      <c r="K40" s="108">
        <f>($F$39 - $M$43) * $F$44</f>
        <v>6.3456479999999995E-4</v>
      </c>
      <c r="L40" s="25"/>
      <c r="M40" s="112">
        <f>IFERROR(AVERAGE(J40:L40),"")</f>
        <v>6.1656479999999995E-4</v>
      </c>
      <c r="N40" s="113">
        <f>IFERROR(STDEV(J40:L40),"")</f>
        <v>2.5455844122715716E-5</v>
      </c>
    </row>
    <row r="41" spans="1:22" x14ac:dyDescent="0.25">
      <c r="A41" s="1" t="s">
        <v>70</v>
      </c>
      <c r="B41" s="1" t="s">
        <v>7</v>
      </c>
      <c r="C41" s="1" t="s">
        <v>8</v>
      </c>
      <c r="D41" s="1">
        <v>329200</v>
      </c>
      <c r="E41" s="1">
        <v>11050000</v>
      </c>
      <c r="F41" s="1">
        <v>2.9790000000000001E-2</v>
      </c>
      <c r="H41" s="82" t="s">
        <v>108</v>
      </c>
      <c r="I41" s="27">
        <v>0.25</v>
      </c>
      <c r="J41" s="30">
        <f>($F$40 - $M$43) * $F$44</f>
        <v>0.12339776479999999</v>
      </c>
      <c r="K41" s="30">
        <f>($F$41 - $M$43) * $F$44</f>
        <v>0.1191577648</v>
      </c>
      <c r="L41" s="25"/>
      <c r="M41" s="27">
        <f>IFERROR(AVERAGE(J41:L41),"")</f>
        <v>0.12127776479999999</v>
      </c>
      <c r="N41" s="65">
        <f>IFERROR(STDEV(J41:L41),"")</f>
        <v>2.9981327522309574E-3</v>
      </c>
    </row>
    <row r="42" spans="1:22" x14ac:dyDescent="0.25">
      <c r="A42" s="1" t="s">
        <v>49</v>
      </c>
      <c r="B42" s="1" t="s">
        <v>7</v>
      </c>
      <c r="C42" s="1" t="s">
        <v>8</v>
      </c>
      <c r="D42" s="1">
        <v>274100</v>
      </c>
      <c r="E42" s="1">
        <v>10410000</v>
      </c>
      <c r="F42" s="1">
        <v>2.632E-2</v>
      </c>
      <c r="H42" s="82" t="s">
        <v>109</v>
      </c>
      <c r="I42" s="25"/>
      <c r="J42" s="25"/>
      <c r="K42" s="25"/>
      <c r="L42" s="25"/>
      <c r="M42" s="25"/>
      <c r="N42" s="58"/>
    </row>
    <row r="43" spans="1:22" ht="15.75" thickBot="1" x14ac:dyDescent="0.3">
      <c r="A43" s="1" t="s">
        <v>50</v>
      </c>
      <c r="B43" s="1" t="s">
        <v>7</v>
      </c>
      <c r="C43" s="1" t="s">
        <v>8</v>
      </c>
      <c r="D43" s="1">
        <v>266900</v>
      </c>
      <c r="E43" s="1">
        <v>10290000</v>
      </c>
      <c r="F43" s="1">
        <v>2.5930000000000002E-2</v>
      </c>
      <c r="H43" s="83" t="s">
        <v>110</v>
      </c>
      <c r="I43" s="53"/>
      <c r="J43" s="54">
        <f>IF($G$30&lt;&gt;"","Point Deleted",$F$30)</f>
        <v>1.8190000000000001E-7</v>
      </c>
      <c r="K43" s="54">
        <f>IF($G$31&lt;&gt;"","Point Deleted",$F$31)</f>
        <v>9.3569999999999999E-7</v>
      </c>
      <c r="L43" s="53"/>
      <c r="M43" s="54">
        <f t="shared" ref="M43:M48" si="2">IFERROR(AVERAGE(J43:L43),"")</f>
        <v>5.5880000000000005E-7</v>
      </c>
      <c r="N43" s="67">
        <f t="shared" ref="N43:N48" si="3">IFERROR(STDEV(J43:L43),"")</f>
        <v>5.3301709165841944E-7</v>
      </c>
    </row>
    <row r="44" spans="1:22" ht="66.75" thickTop="1" thickBot="1" x14ac:dyDescent="0.3">
      <c r="C44" s="75"/>
      <c r="E44" s="17" t="s">
        <v>4</v>
      </c>
      <c r="F44" s="18">
        <v>4</v>
      </c>
      <c r="H44" s="84" t="s">
        <v>111</v>
      </c>
      <c r="I44" s="52"/>
      <c r="J44" s="72">
        <f>IFERROR(IF(ISTEXT($J$40),NA(),($J$40 * $I$40) / ($F$46 * 3600)),"")</f>
        <v>6.2350499999999995E-9</v>
      </c>
      <c r="K44" s="61">
        <f>IFERROR(IF(ISTEXT($K$40),NA(),($K$40 * $I$40) / ($F$46 * 3600)),"")</f>
        <v>6.6100499999999987E-9</v>
      </c>
      <c r="L44" s="52"/>
      <c r="M44" s="61">
        <f t="shared" si="2"/>
        <v>6.4225499999999995E-9</v>
      </c>
      <c r="N44" s="68">
        <f t="shared" si="3"/>
        <v>2.6516504294495479E-10</v>
      </c>
      <c r="P44" s="85" t="s">
        <v>117</v>
      </c>
      <c r="Q44" s="86" t="s">
        <v>118</v>
      </c>
      <c r="R44" s="87" t="s">
        <v>91</v>
      </c>
      <c r="S44" s="87" t="s">
        <v>119</v>
      </c>
      <c r="T44" s="87" t="s">
        <v>120</v>
      </c>
      <c r="U44" s="87" t="s">
        <v>121</v>
      </c>
      <c r="V44" s="87" t="s">
        <v>113</v>
      </c>
    </row>
    <row r="45" spans="1:22" ht="18.75" thickTop="1" x14ac:dyDescent="0.35">
      <c r="C45" s="75"/>
      <c r="E45" s="19" t="s">
        <v>102</v>
      </c>
      <c r="F45" s="20">
        <v>0.11</v>
      </c>
      <c r="H45" s="82" t="s">
        <v>112</v>
      </c>
      <c r="I45" s="25"/>
      <c r="J45" s="49">
        <f>IFERROR(IF(ISTEXT($J$41),NA(),$J$41),"")</f>
        <v>0.12339776479999999</v>
      </c>
      <c r="K45" s="27">
        <f>IFERROR(IF(ISTEXT($K$41),NA(),$K$41),"")</f>
        <v>0.1191577648</v>
      </c>
      <c r="L45" s="25"/>
      <c r="M45" s="27">
        <f t="shared" si="2"/>
        <v>0.12127776479999999</v>
      </c>
      <c r="N45" s="65">
        <f t="shared" si="3"/>
        <v>2.9981327522309574E-3</v>
      </c>
      <c r="Q45" s="88"/>
      <c r="R45" s="88" t="s">
        <v>105</v>
      </c>
      <c r="S45" s="117">
        <f>$J$36</f>
        <v>0.13095623850035518</v>
      </c>
      <c r="T45" s="117">
        <f>$K$36</f>
        <v>0.14303455784954738</v>
      </c>
      <c r="U45" s="88" t="str">
        <f>$L$36</f>
        <v/>
      </c>
      <c r="V45" s="93">
        <f>$M$35</f>
        <v>0.91031610838931665</v>
      </c>
    </row>
    <row r="46" spans="1:22" ht="30" x14ac:dyDescent="0.25">
      <c r="C46" s="75"/>
      <c r="E46" s="19" t="s">
        <v>103</v>
      </c>
      <c r="F46" s="21">
        <v>2</v>
      </c>
      <c r="H46" s="82" t="s">
        <v>113</v>
      </c>
      <c r="I46" s="25"/>
      <c r="J46" s="50">
        <f>IFERROR(IF(OR(ISTEXT($J$39),ISTEXT($J$40),ISTEXT($J$41)),NA(),(($J$39 * $I$39) + ($J$40 * $I$40)) / $J$41 / $I$41),"")</f>
        <v>0.85461300219596847</v>
      </c>
      <c r="K46" s="38">
        <f>IFERROR(IF(OR(ISTEXT($K$39),ISTEXT($K$40),ISTEXT($K$41)),NA(),(($K$39 * $I$39) + ($K$40 * $I$40)) / $K$41 / $I$41),"")</f>
        <v>0.87202151210543699</v>
      </c>
      <c r="L46" s="25" t="str">
        <f>IFERROR(IF(OR(ISTEXT($L$39),ISTEXT($L$40),ISTEXT($L$41)),NA(),(($L$39 * $I$39) + ($L$40 * $I$40)) / $L$41 / $I$41),"")</f>
        <v/>
      </c>
      <c r="M46" s="38">
        <f t="shared" si="2"/>
        <v>0.86331725715070273</v>
      </c>
      <c r="N46" s="69">
        <f t="shared" si="3"/>
        <v>1.23096754073384E-2</v>
      </c>
      <c r="P46" s="89" t="str">
        <f>$B$28</f>
        <v>DTXSID2020268</v>
      </c>
      <c r="Q46" s="94">
        <f>$F$47</f>
        <v>10</v>
      </c>
      <c r="R46" s="88" t="s">
        <v>116</v>
      </c>
      <c r="S46" s="117">
        <f>$J$47</f>
        <v>0.45934602477720671</v>
      </c>
      <c r="T46" s="117">
        <f>$K$47</f>
        <v>0.50430086312229672</v>
      </c>
      <c r="U46" s="88" t="str">
        <f>$L$47</f>
        <v/>
      </c>
      <c r="V46" s="93">
        <f>$M$46</f>
        <v>0.86331725715070273</v>
      </c>
    </row>
    <row r="47" spans="1:22" ht="18.75" thickBot="1" x14ac:dyDescent="0.4">
      <c r="C47" s="75"/>
      <c r="E47" s="22" t="s">
        <v>104</v>
      </c>
      <c r="F47" s="23">
        <v>10</v>
      </c>
      <c r="H47" s="83" t="s">
        <v>115</v>
      </c>
      <c r="I47" s="53"/>
      <c r="J47" s="116">
        <f>IFERROR($J$44 / $J$41 / $F$45 * 1000000,"")</f>
        <v>0.45934602477720671</v>
      </c>
      <c r="K47" s="109">
        <f>IFERROR($K$44 / $K$41 / $F$45 * 1000000,"")</f>
        <v>0.50430086312229672</v>
      </c>
      <c r="L47" s="53" t="str">
        <f>IFERROR($L$44 / $L$41 / $F$45 * 1000000,"")</f>
        <v/>
      </c>
      <c r="M47" s="109">
        <f t="shared" si="2"/>
        <v>0.48182344394975174</v>
      </c>
      <c r="N47" s="114">
        <f t="shared" si="3"/>
        <v>3.1787871040958177E-2</v>
      </c>
      <c r="P47" s="90"/>
      <c r="Q47" s="96"/>
      <c r="R47" s="97" t="s">
        <v>87</v>
      </c>
      <c r="S47" s="118">
        <f>$J$48</f>
        <v>3.5076299536196656</v>
      </c>
      <c r="T47" s="118">
        <f>$K$48</f>
        <v>3.5257274235276181</v>
      </c>
      <c r="U47" s="97" t="str">
        <f>$L$48</f>
        <v/>
      </c>
      <c r="V47" s="97"/>
    </row>
    <row r="48" spans="1:22" ht="15.75" thickBot="1" x14ac:dyDescent="0.3">
      <c r="H48" s="59" t="s">
        <v>87</v>
      </c>
      <c r="I48" s="60"/>
      <c r="J48" s="110">
        <f>IFERROR($J$47 / $J$36,"")</f>
        <v>3.5076299536196656</v>
      </c>
      <c r="K48" s="110">
        <f>IFERROR($K$47 / $K$36,"")</f>
        <v>3.5257274235276181</v>
      </c>
      <c r="L48" s="60" t="str">
        <f>IFERROR($L$47 / $L$36,"")</f>
        <v/>
      </c>
      <c r="M48" s="110">
        <f t="shared" si="2"/>
        <v>3.5166786885736419</v>
      </c>
      <c r="N48" s="115">
        <f t="shared" si="3"/>
        <v>1.2796843694232753E-2</v>
      </c>
      <c r="P48" s="91"/>
      <c r="Q48" s="99"/>
      <c r="R48" s="88"/>
      <c r="S48" s="88"/>
      <c r="T48" s="88"/>
      <c r="U48" s="88"/>
      <c r="V48" s="88"/>
    </row>
    <row r="49" spans="1:18" ht="15.75" thickTop="1" x14ac:dyDescent="0.25"/>
    <row r="53" spans="1:18" ht="15.75" thickBot="1" x14ac:dyDescent="0.3">
      <c r="H53" s="75" t="s">
        <v>105</v>
      </c>
    </row>
    <row r="54" spans="1:18" ht="15.75" thickTop="1" x14ac:dyDescent="0.25">
      <c r="A54" s="1" t="s">
        <v>9</v>
      </c>
      <c r="B54" s="1" t="s">
        <v>79</v>
      </c>
      <c r="C54" s="1" t="s">
        <v>80</v>
      </c>
      <c r="D54" s="1">
        <v>27.86</v>
      </c>
      <c r="E54" s="1">
        <v>10330000</v>
      </c>
      <c r="F54" s="1">
        <v>2.6979999999999998E-6</v>
      </c>
      <c r="H54" s="76" t="s">
        <v>106</v>
      </c>
      <c r="I54" s="32">
        <v>7.4999999999999997E-2</v>
      </c>
      <c r="J54" s="119">
        <f>($F$62 - $M$58) * $F$70</f>
        <v>4.4590131999999998E-2</v>
      </c>
      <c r="K54" s="119">
        <f>($F$63 - $M$58) * $F$70</f>
        <v>2.7246131999999999E-2</v>
      </c>
      <c r="L54" s="34"/>
      <c r="M54" s="32">
        <f>IFERROR(AVERAGE(J54:L54),"")</f>
        <v>3.5918131999999998E-2</v>
      </c>
      <c r="N54" s="121">
        <f>IFERROR(STDEV(J54:L54),"")</f>
        <v>1.226406001289947E-2</v>
      </c>
      <c r="P54" s="1" t="s">
        <v>105</v>
      </c>
      <c r="Q54" s="14">
        <f>$M$62</f>
        <v>0.13209334922459429</v>
      </c>
      <c r="R54" s="16">
        <f>$N$62</f>
        <v>3.466423877976383E-2</v>
      </c>
    </row>
    <row r="55" spans="1:18" x14ac:dyDescent="0.25">
      <c r="A55" s="1" t="s">
        <v>10</v>
      </c>
      <c r="B55" s="1" t="s">
        <v>79</v>
      </c>
      <c r="C55" s="1" t="s">
        <v>80</v>
      </c>
      <c r="D55" s="1">
        <v>23.11</v>
      </c>
      <c r="E55" s="1">
        <v>10340000</v>
      </c>
      <c r="F55" s="1">
        <v>2.2359999999999999E-6</v>
      </c>
      <c r="H55" s="77" t="s">
        <v>107</v>
      </c>
      <c r="I55" s="27">
        <v>0.25</v>
      </c>
      <c r="J55" s="108">
        <f>($F$58 - $M$58) * $F$70</f>
        <v>1.7701199999999999E-4</v>
      </c>
      <c r="K55" s="108">
        <f>($F$59 - $M$58) * $F$70</f>
        <v>1.4273199999999999E-4</v>
      </c>
      <c r="L55" s="25"/>
      <c r="M55" s="112">
        <f>IFERROR(AVERAGE(J55:L55),"")</f>
        <v>1.5987199999999998E-4</v>
      </c>
      <c r="N55" s="103">
        <f>IFERROR(STDEV(J55:L55),"")</f>
        <v>2.4239620459074851E-5</v>
      </c>
      <c r="P55" s="1" t="s">
        <v>116</v>
      </c>
      <c r="Q55" s="13">
        <f>$M$73</f>
        <v>2.9425841809163575</v>
      </c>
      <c r="R55" s="14">
        <f>$N$73</f>
        <v>0.86245006828889947</v>
      </c>
    </row>
    <row r="56" spans="1:18" x14ac:dyDescent="0.25">
      <c r="A56" s="1" t="s">
        <v>11</v>
      </c>
      <c r="B56" s="1" t="s">
        <v>79</v>
      </c>
      <c r="C56" s="1" t="s">
        <v>80</v>
      </c>
      <c r="D56" s="1">
        <v>6.3019999999999996</v>
      </c>
      <c r="E56" s="1">
        <v>10570000</v>
      </c>
      <c r="F56" s="1">
        <v>5.9599999999999999E-7</v>
      </c>
      <c r="H56" s="77" t="s">
        <v>108</v>
      </c>
      <c r="I56" s="29">
        <v>7.4999999999999997E-2</v>
      </c>
      <c r="J56" s="30">
        <f>($F$60 - $M$58) * $F$70</f>
        <v>0.35679013199999998</v>
      </c>
      <c r="K56" s="30">
        <f>($F$61 - $M$58) * $F$70</f>
        <v>0.41879013199999998</v>
      </c>
      <c r="L56" s="25"/>
      <c r="M56" s="27">
        <f>IFERROR(AVERAGE(J56:L56),"")</f>
        <v>0.38779013200000001</v>
      </c>
      <c r="N56" s="43">
        <f>IFERROR(STDEV(J56:L56),"")</f>
        <v>4.3840620433565951E-2</v>
      </c>
    </row>
    <row r="57" spans="1:18" x14ac:dyDescent="0.25">
      <c r="A57" s="1" t="s">
        <v>12</v>
      </c>
      <c r="B57" s="1" t="s">
        <v>79</v>
      </c>
      <c r="C57" s="1" t="s">
        <v>80</v>
      </c>
      <c r="D57" s="1">
        <v>9.0429999999999993</v>
      </c>
      <c r="E57" s="1">
        <v>10430000</v>
      </c>
      <c r="F57" s="1">
        <v>8.6700000000000002E-7</v>
      </c>
      <c r="H57" s="77" t="s">
        <v>109</v>
      </c>
      <c r="I57" s="25"/>
      <c r="J57" s="25"/>
      <c r="K57" s="25"/>
      <c r="L57" s="25"/>
      <c r="M57" s="25"/>
      <c r="N57" s="35"/>
    </row>
    <row r="58" spans="1:18" ht="15.75" thickBot="1" x14ac:dyDescent="0.3">
      <c r="A58" s="1" t="s">
        <v>15</v>
      </c>
      <c r="B58" s="1" t="s">
        <v>79</v>
      </c>
      <c r="C58" s="1" t="s">
        <v>80</v>
      </c>
      <c r="D58" s="1">
        <v>487.9</v>
      </c>
      <c r="E58" s="1">
        <v>10440000</v>
      </c>
      <c r="F58" s="1">
        <v>4.672E-5</v>
      </c>
      <c r="H58" s="78" t="s">
        <v>110</v>
      </c>
      <c r="I58" s="26"/>
      <c r="J58" s="31">
        <f>IF($G$54&lt;&gt;"","Point Deleted",$F$54)</f>
        <v>2.6979999999999998E-6</v>
      </c>
      <c r="K58" s="31">
        <f>IF($G$55&lt;&gt;"","Point Deleted",$F$55)</f>
        <v>2.2359999999999999E-6</v>
      </c>
      <c r="L58" s="26"/>
      <c r="M58" s="31">
        <f>IFERROR(AVERAGE(J58:L58),"")</f>
        <v>2.4669999999999998E-6</v>
      </c>
      <c r="N58" s="44">
        <f>IFERROR(STDEV(J58:L58),"")</f>
        <v>3.2668333290818494E-7</v>
      </c>
    </row>
    <row r="59" spans="1:18" x14ac:dyDescent="0.25">
      <c r="A59" s="1" t="s">
        <v>16</v>
      </c>
      <c r="B59" s="1" t="s">
        <v>79</v>
      </c>
      <c r="C59" s="1" t="s">
        <v>80</v>
      </c>
      <c r="D59" s="1">
        <v>407.2</v>
      </c>
      <c r="E59" s="1">
        <v>10670000</v>
      </c>
      <c r="F59" s="1">
        <v>3.8149999999999999E-5</v>
      </c>
      <c r="H59" s="79" t="s">
        <v>111</v>
      </c>
      <c r="I59" s="24"/>
      <c r="J59" s="48">
        <f>IFERROR(IF(ISTEXT($J$55),NA(),($J$55 * $I$55) / ($F$72 * 3600)),"")</f>
        <v>6.1462499999999995E-9</v>
      </c>
      <c r="K59" s="37">
        <f>IFERROR(IF(ISTEXT($K$55),NA(),($K$55 * $I$55) / ($F$72 * 3600)),"")</f>
        <v>4.9559722222222221E-9</v>
      </c>
      <c r="L59" s="24"/>
      <c r="M59" s="37">
        <f>IFERROR(AVERAGE(J59:L59),"")</f>
        <v>5.5511111111111104E-9</v>
      </c>
      <c r="N59" s="45">
        <f>IFERROR(STDEV(J59:L59),"")</f>
        <v>8.4165348816232089E-10</v>
      </c>
    </row>
    <row r="60" spans="1:18" ht="18" x14ac:dyDescent="0.35">
      <c r="A60" s="1" t="s">
        <v>55</v>
      </c>
      <c r="B60" s="1" t="s">
        <v>79</v>
      </c>
      <c r="C60" s="1" t="s">
        <v>80</v>
      </c>
      <c r="D60" s="1">
        <v>1366000</v>
      </c>
      <c r="E60" s="1">
        <v>15310000</v>
      </c>
      <c r="F60" s="1">
        <v>8.9200000000000002E-2</v>
      </c>
      <c r="H60" s="77" t="s">
        <v>112</v>
      </c>
      <c r="I60" s="25"/>
      <c r="J60" s="49">
        <f>IFERROR(IF(ISTEXT($J$56),NA(),$J$56),"")</f>
        <v>0.35679013199999998</v>
      </c>
      <c r="K60" s="27">
        <f>IFERROR(IF(ISTEXT($K$56),NA(),$K$56),"")</f>
        <v>0.41879013199999998</v>
      </c>
      <c r="L60" s="25"/>
      <c r="M60" s="27">
        <f>IFERROR(AVERAGE(J60:L60),"")</f>
        <v>0.38779013200000001</v>
      </c>
      <c r="N60" s="43">
        <f>IFERROR(STDEV(J60:L60),"")</f>
        <v>4.3840620433565951E-2</v>
      </c>
    </row>
    <row r="61" spans="1:18" x14ac:dyDescent="0.25">
      <c r="A61" s="1" t="s">
        <v>56</v>
      </c>
      <c r="B61" s="1" t="s">
        <v>79</v>
      </c>
      <c r="C61" s="1" t="s">
        <v>80</v>
      </c>
      <c r="D61" s="1">
        <v>1156000</v>
      </c>
      <c r="E61" s="1">
        <v>11040000</v>
      </c>
      <c r="F61" s="1">
        <v>0.1047</v>
      </c>
      <c r="H61" s="77" t="s">
        <v>113</v>
      </c>
      <c r="I61" s="25"/>
      <c r="J61" s="50">
        <f>IFERROR(IF(OR(ISTEXT($J$54),ISTEXT($J$55),ISTEXT($J$56)),NA(),(($J$54 * $I$54) + ($J$55 * $I$55)) / $J$56 / $I$56),"")</f>
        <v>0.12662954478797078</v>
      </c>
      <c r="K61" s="120">
        <f>IFERROR(IF(OR(ISTEXT($K$54),ISTEXT($K$55),ISTEXT($K$56)),NA(),(($K$54 * $I$54) + ($K$55 * $I$55)) / $K$56 / $I$56),"")</f>
        <v>6.6195220983223488E-2</v>
      </c>
      <c r="L61" s="25" t="str">
        <f>IFERROR(IF(OR(ISTEXT($L$54),ISTEXT($L$55),ISTEXT($L$56)),NA(),(($L$54 * $I$54) + ($L$55 * $I$55)) / $L$56 / $I$56),"")</f>
        <v/>
      </c>
      <c r="M61" s="120">
        <f>IFERROR(AVERAGE(J61:L61),"")</f>
        <v>9.6412382885597142E-2</v>
      </c>
      <c r="N61" s="122">
        <f>IFERROR(STDEV(J61:L61),"")</f>
        <v>4.2733520178760358E-2</v>
      </c>
    </row>
    <row r="62" spans="1:18" ht="18.75" thickBot="1" x14ac:dyDescent="0.4">
      <c r="A62" s="1" t="s">
        <v>35</v>
      </c>
      <c r="B62" s="1" t="s">
        <v>79</v>
      </c>
      <c r="C62" s="1" t="s">
        <v>80</v>
      </c>
      <c r="D62" s="1">
        <v>122500</v>
      </c>
      <c r="E62" s="1">
        <v>10980000</v>
      </c>
      <c r="F62" s="1">
        <v>1.115E-2</v>
      </c>
      <c r="H62" s="80" t="s">
        <v>115</v>
      </c>
      <c r="I62" s="36"/>
      <c r="J62" s="107">
        <f>IFERROR($J$59 / $J$56 / $F$71 * 1000000,"")</f>
        <v>0.15660466753043492</v>
      </c>
      <c r="K62" s="101">
        <f>IFERROR($K$59 / $K$56 / $F$71 * 1000000,"")</f>
        <v>0.10758203091875367</v>
      </c>
      <c r="L62" s="36" t="str">
        <f>IFERROR($L$59 / $L$56 / $F$71 * 1000000,"")</f>
        <v/>
      </c>
      <c r="M62" s="101">
        <f>IFERROR(AVERAGE(J62:L62),"")</f>
        <v>0.13209334922459429</v>
      </c>
      <c r="N62" s="123">
        <f>IFERROR(STDEV(J62:L62),"")</f>
        <v>3.466423877976383E-2</v>
      </c>
    </row>
    <row r="63" spans="1:18" ht="15.75" thickTop="1" x14ac:dyDescent="0.25">
      <c r="A63" s="1" t="s">
        <v>36</v>
      </c>
      <c r="B63" s="1" t="s">
        <v>79</v>
      </c>
      <c r="C63" s="1" t="s">
        <v>80</v>
      </c>
      <c r="D63" s="1">
        <v>75980</v>
      </c>
      <c r="E63" s="1">
        <v>11150000</v>
      </c>
      <c r="F63" s="1">
        <v>6.8139999999999997E-3</v>
      </c>
      <c r="H63" s="74"/>
    </row>
    <row r="64" spans="1:18" ht="15.75" thickBot="1" x14ac:dyDescent="0.3">
      <c r="A64" s="1" t="s">
        <v>25</v>
      </c>
      <c r="B64" s="1" t="s">
        <v>79</v>
      </c>
      <c r="C64" s="1" t="s">
        <v>80</v>
      </c>
      <c r="D64" s="1">
        <v>48440</v>
      </c>
      <c r="E64" s="1">
        <v>11400000</v>
      </c>
      <c r="F64" s="1">
        <v>4.2509999999999996E-3</v>
      </c>
      <c r="H64" s="75" t="s">
        <v>116</v>
      </c>
    </row>
    <row r="65" spans="1:22" ht="15.75" thickTop="1" x14ac:dyDescent="0.25">
      <c r="A65" s="1" t="s">
        <v>26</v>
      </c>
      <c r="B65" s="1" t="s">
        <v>79</v>
      </c>
      <c r="C65" s="1" t="s">
        <v>80</v>
      </c>
      <c r="D65" s="1">
        <v>36690</v>
      </c>
      <c r="E65" s="1">
        <v>11200000</v>
      </c>
      <c r="F65" s="1">
        <v>3.277E-3</v>
      </c>
      <c r="H65" s="81" t="s">
        <v>106</v>
      </c>
      <c r="I65" s="55">
        <v>0.25</v>
      </c>
      <c r="J65" s="124">
        <f>($F$68 - $M$69) * $F$70</f>
        <v>5.1437073999999999E-2</v>
      </c>
      <c r="K65" s="124">
        <f>($F$69 - $M$69) * $F$70</f>
        <v>4.5997073999999999E-2</v>
      </c>
      <c r="L65" s="57"/>
      <c r="M65" s="126">
        <f>IFERROR(AVERAGE(J65:L65),"")</f>
        <v>4.8717073999999999E-2</v>
      </c>
      <c r="N65" s="111">
        <f>IFERROR(STDEV(J65:L65),"")</f>
        <v>3.846660889654819E-3</v>
      </c>
    </row>
    <row r="66" spans="1:22" x14ac:dyDescent="0.25">
      <c r="A66" s="1" t="s">
        <v>65</v>
      </c>
      <c r="B66" s="1" t="s">
        <v>79</v>
      </c>
      <c r="C66" s="1" t="s">
        <v>80</v>
      </c>
      <c r="D66" s="1">
        <v>1271000</v>
      </c>
      <c r="E66" s="1">
        <v>11210000</v>
      </c>
      <c r="F66" s="1">
        <v>0.1133</v>
      </c>
      <c r="H66" s="82" t="s">
        <v>107</v>
      </c>
      <c r="I66" s="29">
        <v>7.4999999999999997E-2</v>
      </c>
      <c r="J66" s="28">
        <f>($F$64 - $M$69) * $F$70</f>
        <v>1.7001073999999998E-2</v>
      </c>
      <c r="K66" s="28">
        <f>($F$65 - $M$69) * $F$70</f>
        <v>1.3105074E-2</v>
      </c>
      <c r="L66" s="25"/>
      <c r="M66" s="29">
        <f>IFERROR(AVERAGE(J66:L66),"")</f>
        <v>1.5053074E-2</v>
      </c>
      <c r="N66" s="65">
        <f>IFERROR(STDEV(J66:L66),"")</f>
        <v>2.7548880195027879E-3</v>
      </c>
    </row>
    <row r="67" spans="1:22" x14ac:dyDescent="0.25">
      <c r="A67" s="1" t="s">
        <v>66</v>
      </c>
      <c r="B67" s="1" t="s">
        <v>79</v>
      </c>
      <c r="C67" s="1" t="s">
        <v>80</v>
      </c>
      <c r="D67" s="1">
        <v>1445000</v>
      </c>
      <c r="E67" s="1">
        <v>10860000</v>
      </c>
      <c r="F67" s="1">
        <v>0.13300000000000001</v>
      </c>
      <c r="H67" s="82" t="s">
        <v>108</v>
      </c>
      <c r="I67" s="27">
        <v>0.25</v>
      </c>
      <c r="J67" s="30">
        <f>($F$66 - $M$69) * $F$70</f>
        <v>0.45319707399999998</v>
      </c>
      <c r="K67" s="30">
        <f>($F$67 - $M$69) * $F$70</f>
        <v>0.53199707400000007</v>
      </c>
      <c r="L67" s="25"/>
      <c r="M67" s="27">
        <f>IFERROR(AVERAGE(J67:L67),"")</f>
        <v>0.49259707400000002</v>
      </c>
      <c r="N67" s="127">
        <f>IFERROR(STDEV(J67:L67),"")</f>
        <v>5.5720014357500014E-2</v>
      </c>
    </row>
    <row r="68" spans="1:22" x14ac:dyDescent="0.25">
      <c r="A68" s="1" t="s">
        <v>45</v>
      </c>
      <c r="B68" s="1" t="s">
        <v>79</v>
      </c>
      <c r="C68" s="1" t="s">
        <v>80</v>
      </c>
      <c r="D68" s="1">
        <v>133100</v>
      </c>
      <c r="E68" s="1">
        <v>10350000</v>
      </c>
      <c r="F68" s="1">
        <v>1.286E-2</v>
      </c>
      <c r="H68" s="82" t="s">
        <v>109</v>
      </c>
      <c r="I68" s="25"/>
      <c r="J68" s="25"/>
      <c r="K68" s="25"/>
      <c r="L68" s="25"/>
      <c r="M68" s="25"/>
      <c r="N68" s="58"/>
    </row>
    <row r="69" spans="1:22" ht="15.75" thickBot="1" x14ac:dyDescent="0.3">
      <c r="A69" s="1" t="s">
        <v>46</v>
      </c>
      <c r="B69" s="1" t="s">
        <v>79</v>
      </c>
      <c r="C69" s="1" t="s">
        <v>80</v>
      </c>
      <c r="D69" s="1">
        <v>123200</v>
      </c>
      <c r="E69" s="1">
        <v>10720000</v>
      </c>
      <c r="F69" s="1">
        <v>1.15E-2</v>
      </c>
      <c r="H69" s="83" t="s">
        <v>110</v>
      </c>
      <c r="I69" s="53"/>
      <c r="J69" s="54">
        <f>IF($G$56&lt;&gt;"","Point Deleted",$F$56)</f>
        <v>5.9599999999999999E-7</v>
      </c>
      <c r="K69" s="54">
        <f>IF($G$57&lt;&gt;"","Point Deleted",$F$57)</f>
        <v>8.6700000000000002E-7</v>
      </c>
      <c r="L69" s="53"/>
      <c r="M69" s="54">
        <f t="shared" ref="M69:M74" si="4">IFERROR(AVERAGE(J69:L69),"")</f>
        <v>7.3150000000000001E-7</v>
      </c>
      <c r="N69" s="67">
        <f t="shared" ref="N69:N74" si="5">IFERROR(STDEV(J69:L69),"")</f>
        <v>1.9162593770155441E-7</v>
      </c>
    </row>
    <row r="70" spans="1:22" ht="66.75" thickTop="1" thickBot="1" x14ac:dyDescent="0.3">
      <c r="C70" s="75"/>
      <c r="E70" s="17" t="s">
        <v>4</v>
      </c>
      <c r="F70" s="18">
        <v>4</v>
      </c>
      <c r="H70" s="84" t="s">
        <v>111</v>
      </c>
      <c r="I70" s="52"/>
      <c r="J70" s="72">
        <f>IFERROR(IF(ISTEXT($J$66),NA(),($J$66 * $I$66) / ($F$72 * 3600)),"")</f>
        <v>1.7709452083333332E-7</v>
      </c>
      <c r="K70" s="61">
        <f>IFERROR(IF(ISTEXT($K$66),NA(),($K$66 * $I$66) / ($F$72 * 3600)),"")</f>
        <v>1.3651118749999999E-7</v>
      </c>
      <c r="L70" s="52"/>
      <c r="M70" s="61">
        <f t="shared" si="4"/>
        <v>1.5680285416666665E-7</v>
      </c>
      <c r="N70" s="68">
        <f t="shared" si="5"/>
        <v>2.8696750203154052E-8</v>
      </c>
      <c r="P70" s="85" t="s">
        <v>117</v>
      </c>
      <c r="Q70" s="86" t="s">
        <v>118</v>
      </c>
      <c r="R70" s="87" t="s">
        <v>91</v>
      </c>
      <c r="S70" s="87" t="s">
        <v>119</v>
      </c>
      <c r="T70" s="87" t="s">
        <v>120</v>
      </c>
      <c r="U70" s="87" t="s">
        <v>121</v>
      </c>
      <c r="V70" s="87" t="s">
        <v>113</v>
      </c>
    </row>
    <row r="71" spans="1:22" ht="18.75" thickTop="1" x14ac:dyDescent="0.35">
      <c r="C71" s="75"/>
      <c r="E71" s="19" t="s">
        <v>102</v>
      </c>
      <c r="F71" s="20">
        <v>0.11</v>
      </c>
      <c r="H71" s="82" t="s">
        <v>112</v>
      </c>
      <c r="I71" s="25"/>
      <c r="J71" s="49">
        <f>IFERROR(IF(ISTEXT($J$67),NA(),$J$67),"")</f>
        <v>0.45319707399999998</v>
      </c>
      <c r="K71" s="27">
        <f>IFERROR(IF(ISTEXT($K$67),NA(),$K$67),"")</f>
        <v>0.53199707400000007</v>
      </c>
      <c r="L71" s="25"/>
      <c r="M71" s="27">
        <f t="shared" si="4"/>
        <v>0.49259707400000002</v>
      </c>
      <c r="N71" s="127">
        <f t="shared" si="5"/>
        <v>5.5720014357500014E-2</v>
      </c>
      <c r="Q71" s="88"/>
      <c r="R71" s="88" t="s">
        <v>105</v>
      </c>
      <c r="S71" s="117">
        <f>$J$62</f>
        <v>0.15660466753043492</v>
      </c>
      <c r="T71" s="117">
        <f>$K$62</f>
        <v>0.10758203091875367</v>
      </c>
      <c r="U71" s="88" t="str">
        <f>$L$62</f>
        <v/>
      </c>
      <c r="V71" s="129">
        <f>$M$61</f>
        <v>9.6412382885597142E-2</v>
      </c>
    </row>
    <row r="72" spans="1:22" ht="30" x14ac:dyDescent="0.25">
      <c r="C72" s="75"/>
      <c r="E72" s="19" t="s">
        <v>103</v>
      </c>
      <c r="F72" s="21">
        <v>2</v>
      </c>
      <c r="H72" s="82" t="s">
        <v>113</v>
      </c>
      <c r="I72" s="25"/>
      <c r="J72" s="50">
        <f>IFERROR(IF(OR(ISTEXT($J$65),ISTEXT($J$66),ISTEXT($J$67)),NA(),(($J$65 * $I$65) + ($J$66 * $I$66)) / $J$67 / $I$67),"")</f>
        <v>0.12475234162698942</v>
      </c>
      <c r="K72" s="120">
        <f>IFERROR(IF(OR(ISTEXT($K$65),ISTEXT($K$66),ISTEXT($K$67)),NA(),(($K$65 * $I$65) + ($K$66 * $I$66)) / $K$67 / $I$67),"")</f>
        <v>9.3851260918777143E-2</v>
      </c>
      <c r="L72" s="25" t="str">
        <f>IFERROR(IF(OR(ISTEXT($L$65),ISTEXT($L$66),ISTEXT($L$67)),NA(),(($L$65 * $I$65) + ($L$66 * $I$66)) / $L$67 / $I$67),"")</f>
        <v/>
      </c>
      <c r="M72" s="38">
        <f t="shared" si="4"/>
        <v>0.10930180127288328</v>
      </c>
      <c r="N72" s="69">
        <f t="shared" si="5"/>
        <v>2.1850363714769738E-2</v>
      </c>
      <c r="P72" s="89" t="str">
        <f>$B$54</f>
        <v>DTXSID7022120</v>
      </c>
      <c r="Q72" s="94">
        <f>$F$73</f>
        <v>10</v>
      </c>
      <c r="R72" s="88" t="s">
        <v>116</v>
      </c>
      <c r="S72" s="95">
        <f>$J$73</f>
        <v>3.5524284726382396</v>
      </c>
      <c r="T72" s="95">
        <f>$K$73</f>
        <v>2.3327398891944751</v>
      </c>
      <c r="U72" s="88" t="str">
        <f>$L$73</f>
        <v/>
      </c>
      <c r="V72" s="93">
        <f>$M$72</f>
        <v>0.10930180127288328</v>
      </c>
    </row>
    <row r="73" spans="1:22" ht="18.75" thickBot="1" x14ac:dyDescent="0.4">
      <c r="C73" s="75"/>
      <c r="E73" s="22" t="s">
        <v>104</v>
      </c>
      <c r="F73" s="23">
        <v>10</v>
      </c>
      <c r="H73" s="83" t="s">
        <v>115</v>
      </c>
      <c r="I73" s="53"/>
      <c r="J73" s="73">
        <f>IFERROR($J$70 / $J$67 / $F$71 * 1000000,"")</f>
        <v>3.5524284726382396</v>
      </c>
      <c r="K73" s="62">
        <f>IFERROR($K$70 / $K$67 / $F$71 * 1000000,"")</f>
        <v>2.3327398891944751</v>
      </c>
      <c r="L73" s="53" t="str">
        <f>IFERROR($L$70 / $L$67 / $F$71 * 1000000,"")</f>
        <v/>
      </c>
      <c r="M73" s="62">
        <f t="shared" si="4"/>
        <v>2.9425841809163575</v>
      </c>
      <c r="N73" s="70">
        <f t="shared" si="5"/>
        <v>0.86245006828889947</v>
      </c>
      <c r="P73" s="90"/>
      <c r="Q73" s="96"/>
      <c r="R73" s="97" t="s">
        <v>87</v>
      </c>
      <c r="S73" s="130">
        <f>$J$74</f>
        <v>22.684052325246643</v>
      </c>
      <c r="T73" s="130">
        <f>$K$74</f>
        <v>21.683359844323526</v>
      </c>
      <c r="U73" s="97" t="str">
        <f>$L$74</f>
        <v/>
      </c>
      <c r="V73" s="97"/>
    </row>
    <row r="74" spans="1:22" ht="15.75" thickBot="1" x14ac:dyDescent="0.3">
      <c r="H74" s="59" t="s">
        <v>87</v>
      </c>
      <c r="I74" s="60"/>
      <c r="J74" s="125">
        <f>IFERROR($J$73 / $J$62,"")</f>
        <v>22.684052325246643</v>
      </c>
      <c r="K74" s="125">
        <f>IFERROR($K$73 / $K$62,"")</f>
        <v>21.683359844323526</v>
      </c>
      <c r="L74" s="60" t="str">
        <f>IFERROR($L$73 / $L$62,"")</f>
        <v/>
      </c>
      <c r="M74" s="125">
        <f t="shared" si="4"/>
        <v>22.183706084785086</v>
      </c>
      <c r="N74" s="128">
        <f t="shared" si="5"/>
        <v>0.70759643914312609</v>
      </c>
      <c r="P74" s="91"/>
      <c r="Q74" s="99"/>
      <c r="R74" s="88"/>
      <c r="S74" s="88"/>
      <c r="T74" s="88"/>
      <c r="U74" s="88"/>
      <c r="V74" s="88"/>
    </row>
    <row r="75" spans="1:22" ht="15.75" thickTop="1" x14ac:dyDescent="0.25"/>
    <row r="79" spans="1:22" ht="15.75" thickBot="1" x14ac:dyDescent="0.3">
      <c r="H79" s="75" t="s">
        <v>105</v>
      </c>
    </row>
    <row r="80" spans="1:22" ht="15.75" thickTop="1" x14ac:dyDescent="0.25">
      <c r="A80" s="1" t="s">
        <v>9</v>
      </c>
      <c r="B80" s="1" t="s">
        <v>73</v>
      </c>
      <c r="C80" s="1" t="s">
        <v>74</v>
      </c>
      <c r="D80" s="1">
        <v>139.5</v>
      </c>
      <c r="E80" s="1">
        <v>10330000</v>
      </c>
      <c r="F80" s="1">
        <v>1.3509999999999999E-5</v>
      </c>
      <c r="H80" s="76" t="s">
        <v>106</v>
      </c>
      <c r="I80" s="32">
        <v>7.4999999999999997E-2</v>
      </c>
      <c r="J80" s="132">
        <f>($F$88 - $M$84) * $F$96</f>
        <v>3.9615624479999996</v>
      </c>
      <c r="K80" s="132">
        <f>($F$89 - $M$84) * $F$96</f>
        <v>3.4487624479999996</v>
      </c>
      <c r="L80" s="34"/>
      <c r="M80" s="135">
        <f>IFERROR(AVERAGE(J80:L80),"")</f>
        <v>3.7051624479999994</v>
      </c>
      <c r="N80" s="136">
        <f>IFERROR(STDEV(J80:L80),"")</f>
        <v>0.36260435739246155</v>
      </c>
      <c r="P80" s="1" t="s">
        <v>105</v>
      </c>
      <c r="Q80" s="16">
        <f>$M$88</f>
        <v>1.5750497748728571E-2</v>
      </c>
      <c r="R80" s="106">
        <f>$N$88</f>
        <v>8.6814292331691689E-3</v>
      </c>
    </row>
    <row r="81" spans="1:22" x14ac:dyDescent="0.25">
      <c r="A81" s="1" t="s">
        <v>10</v>
      </c>
      <c r="B81" s="1" t="s">
        <v>73</v>
      </c>
      <c r="C81" s="1" t="s">
        <v>74</v>
      </c>
      <c r="D81" s="1">
        <v>54.43</v>
      </c>
      <c r="E81" s="1">
        <v>10340000</v>
      </c>
      <c r="F81" s="1">
        <v>5.2660000000000001E-6</v>
      </c>
      <c r="H81" s="77" t="s">
        <v>107</v>
      </c>
      <c r="I81" s="27">
        <v>0.25</v>
      </c>
      <c r="J81" s="108">
        <f>($F$84 - $M$84) * $F$96</f>
        <v>1.90008E-4</v>
      </c>
      <c r="K81" s="108">
        <f>($F$85 - $M$84) * $F$96</f>
        <v>4.6044799999999997E-4</v>
      </c>
      <c r="L81" s="25"/>
      <c r="M81" s="112">
        <f>IFERROR(AVERAGE(J81:L81),"")</f>
        <v>3.25228E-4</v>
      </c>
      <c r="N81" s="42">
        <f>IFERROR(STDEV(J81:L81),"")</f>
        <v>1.9122995790408988E-4</v>
      </c>
      <c r="P81" s="1" t="s">
        <v>116</v>
      </c>
      <c r="Q81" s="16">
        <f>$M$99</f>
        <v>2.0756444155644701E-2</v>
      </c>
      <c r="R81" s="16">
        <f>$N$99</f>
        <v>1.9166043840411845E-2</v>
      </c>
    </row>
    <row r="82" spans="1:22" x14ac:dyDescent="0.25">
      <c r="A82" s="1" t="s">
        <v>11</v>
      </c>
      <c r="B82" s="1" t="s">
        <v>73</v>
      </c>
      <c r="C82" s="1" t="s">
        <v>74</v>
      </c>
      <c r="D82" s="1">
        <v>137.19999999999999</v>
      </c>
      <c r="E82" s="1">
        <v>10570000</v>
      </c>
      <c r="F82" s="1">
        <v>1.2979999999999999E-5</v>
      </c>
      <c r="H82" s="77" t="s">
        <v>108</v>
      </c>
      <c r="I82" s="29">
        <v>7.4999999999999997E-2</v>
      </c>
      <c r="J82" s="131">
        <f>($F$86 - $M$84) * $F$96</f>
        <v>6.239962448</v>
      </c>
      <c r="K82" s="131">
        <f>($F$87 - $M$84) * $F$96</f>
        <v>6.6399624479999995</v>
      </c>
      <c r="L82" s="25"/>
      <c r="M82" s="133">
        <f>IFERROR(AVERAGE(J82:L82),"")</f>
        <v>6.4399624479999993</v>
      </c>
      <c r="N82" s="137">
        <f>IFERROR(STDEV(J82:L82),"")</f>
        <v>0.28284271247461862</v>
      </c>
    </row>
    <row r="83" spans="1:22" x14ac:dyDescent="0.25">
      <c r="A83" s="1" t="s">
        <v>12</v>
      </c>
      <c r="B83" s="1" t="s">
        <v>73</v>
      </c>
      <c r="C83" s="1" t="s">
        <v>74</v>
      </c>
      <c r="D83" s="1">
        <v>98.01</v>
      </c>
      <c r="E83" s="1">
        <v>10430000</v>
      </c>
      <c r="F83" s="1">
        <v>9.397E-6</v>
      </c>
      <c r="H83" s="77" t="s">
        <v>109</v>
      </c>
      <c r="I83" s="25"/>
      <c r="J83" s="25"/>
      <c r="K83" s="25"/>
      <c r="L83" s="25"/>
      <c r="M83" s="25"/>
      <c r="N83" s="35"/>
    </row>
    <row r="84" spans="1:22" ht="15.75" thickBot="1" x14ac:dyDescent="0.3">
      <c r="A84" s="1" t="s">
        <v>21</v>
      </c>
      <c r="B84" s="1" t="s">
        <v>73</v>
      </c>
      <c r="C84" s="1" t="s">
        <v>74</v>
      </c>
      <c r="D84" s="1">
        <v>600.6</v>
      </c>
      <c r="E84" s="1">
        <v>10560000</v>
      </c>
      <c r="F84" s="1">
        <v>5.6889999999999999E-5</v>
      </c>
      <c r="H84" s="78" t="s">
        <v>110</v>
      </c>
      <c r="I84" s="26"/>
      <c r="J84" s="31">
        <f>IF($G$80&lt;&gt;"","Point Deleted",$F$80)</f>
        <v>1.3509999999999999E-5</v>
      </c>
      <c r="K84" s="31">
        <f>IF($G$81&lt;&gt;"","Point Deleted",$F$81)</f>
        <v>5.2660000000000001E-6</v>
      </c>
      <c r="L84" s="26"/>
      <c r="M84" s="31">
        <f>IFERROR(AVERAGE(J84:L84),"")</f>
        <v>9.3879999999999989E-6</v>
      </c>
      <c r="N84" s="44">
        <f>IFERROR(STDEV(J84:L84),"")</f>
        <v>5.8293883041018976E-6</v>
      </c>
    </row>
    <row r="85" spans="1:22" x14ac:dyDescent="0.25">
      <c r="A85" s="1" t="s">
        <v>22</v>
      </c>
      <c r="B85" s="1" t="s">
        <v>73</v>
      </c>
      <c r="C85" s="1" t="s">
        <v>74</v>
      </c>
      <c r="D85" s="1">
        <v>1316</v>
      </c>
      <c r="E85" s="1">
        <v>10570000</v>
      </c>
      <c r="F85" s="1">
        <v>1.2449999999999999E-4</v>
      </c>
      <c r="H85" s="79" t="s">
        <v>111</v>
      </c>
      <c r="I85" s="24"/>
      <c r="J85" s="48">
        <f>IFERROR(IF(ISTEXT($J$81),NA(),($J$81 * $I$81) / ($F$98 * 3600)),"")</f>
        <v>6.5975E-9</v>
      </c>
      <c r="K85" s="37">
        <f>IFERROR(IF(ISTEXT($K$81),NA(),($K$81 * $I$81) / ($F$98 * 3600)),"")</f>
        <v>1.5987777777777776E-8</v>
      </c>
      <c r="L85" s="24"/>
      <c r="M85" s="37">
        <f>IFERROR(AVERAGE(J85:L85),"")</f>
        <v>1.1292638888888888E-8</v>
      </c>
      <c r="N85" s="45">
        <f>IFERROR(STDEV(J85:L85),"")</f>
        <v>6.6399290938920098E-9</v>
      </c>
    </row>
    <row r="86" spans="1:22" ht="18" x14ac:dyDescent="0.35">
      <c r="A86" s="1" t="s">
        <v>61</v>
      </c>
      <c r="B86" s="1" t="s">
        <v>73</v>
      </c>
      <c r="C86" s="1" t="s">
        <v>74</v>
      </c>
      <c r="D86" s="1">
        <v>23880000</v>
      </c>
      <c r="E86" s="1">
        <v>15310000</v>
      </c>
      <c r="F86" s="1">
        <v>1.56</v>
      </c>
      <c r="H86" s="77" t="s">
        <v>112</v>
      </c>
      <c r="I86" s="25"/>
      <c r="J86" s="138">
        <f>IFERROR(IF(ISTEXT($J$82),NA(),$J$82),"")</f>
        <v>6.239962448</v>
      </c>
      <c r="K86" s="133">
        <f>IFERROR(IF(ISTEXT($K$82),NA(),$K$82),"")</f>
        <v>6.6399624479999995</v>
      </c>
      <c r="L86" s="25"/>
      <c r="M86" s="133">
        <f>IFERROR(AVERAGE(J86:L86),"")</f>
        <v>6.4399624479999993</v>
      </c>
      <c r="N86" s="137">
        <f>IFERROR(STDEV(J86:L86),"")</f>
        <v>0.28284271247461862</v>
      </c>
    </row>
    <row r="87" spans="1:22" x14ac:dyDescent="0.25">
      <c r="A87" s="1" t="s">
        <v>62</v>
      </c>
      <c r="B87" s="1" t="s">
        <v>73</v>
      </c>
      <c r="C87" s="1" t="s">
        <v>74</v>
      </c>
      <c r="D87" s="1">
        <v>18460000</v>
      </c>
      <c r="E87" s="1">
        <v>11120000</v>
      </c>
      <c r="F87" s="1">
        <v>1.66</v>
      </c>
      <c r="H87" s="77" t="s">
        <v>113</v>
      </c>
      <c r="I87" s="25"/>
      <c r="J87" s="50">
        <f>IFERROR(IF(OR(ISTEXT($J$80),ISTEXT($J$81),ISTEXT($J$82)),NA(),(($J$80 * $I$80) + ($J$81 * $I$81)) / $J$82 / $I$82),"")</f>
        <v>0.63497109814658281</v>
      </c>
      <c r="K87" s="38">
        <f>IFERROR(IF(OR(ISTEXT($K$80),ISTEXT($K$81),ISTEXT($K$82)),NA(),(($K$80 * $I$80) + ($K$81 * $I$81)) / $K$82 / $I$82),"")</f>
        <v>0.5196260222384117</v>
      </c>
      <c r="L87" s="25" t="str">
        <f>IFERROR(IF(OR(ISTEXT($L$80),ISTEXT($L$81),ISTEXT($L$82)),NA(),(($L$80 * $I$80) + ($L$81 * $I$81)) / $L$82 / $I$82),"")</f>
        <v/>
      </c>
      <c r="M87" s="38">
        <f>IFERROR(AVERAGE(J87:L87),"")</f>
        <v>0.57729856019249726</v>
      </c>
      <c r="N87" s="122">
        <f>IFERROR(STDEV(J87:L87),"")</f>
        <v>8.156128535114486E-2</v>
      </c>
    </row>
    <row r="88" spans="1:22" ht="18.75" thickBot="1" x14ac:dyDescent="0.4">
      <c r="A88" s="1" t="s">
        <v>41</v>
      </c>
      <c r="B88" s="1" t="s">
        <v>73</v>
      </c>
      <c r="C88" s="1" t="s">
        <v>74</v>
      </c>
      <c r="D88" s="1">
        <v>11170000</v>
      </c>
      <c r="E88" s="1">
        <v>11280000</v>
      </c>
      <c r="F88" s="1">
        <v>0.99039999999999995</v>
      </c>
      <c r="H88" s="80" t="s">
        <v>115</v>
      </c>
      <c r="I88" s="36"/>
      <c r="J88" s="139">
        <f>IFERROR($J$85 / $J$82 / $F$97 * 1000000,"")</f>
        <v>9.6118002675635236E-3</v>
      </c>
      <c r="K88" s="134">
        <f>IFERROR($K$85 / $K$82 / $F$97 * 1000000,"")</f>
        <v>2.1889195229893618E-2</v>
      </c>
      <c r="L88" s="36" t="str">
        <f>IFERROR($L$85 / $L$82 / $F$97 * 1000000,"")</f>
        <v/>
      </c>
      <c r="M88" s="134">
        <f>IFERROR(AVERAGE(J88:L88),"")</f>
        <v>1.5750497748728571E-2</v>
      </c>
      <c r="N88" s="105">
        <f>IFERROR(STDEV(J88:L88),"")</f>
        <v>8.6814292331691689E-3</v>
      </c>
    </row>
    <row r="89" spans="1:22" ht="15.75" thickTop="1" x14ac:dyDescent="0.25">
      <c r="A89" s="1" t="s">
        <v>42</v>
      </c>
      <c r="B89" s="1" t="s">
        <v>73</v>
      </c>
      <c r="C89" s="1" t="s">
        <v>74</v>
      </c>
      <c r="D89" s="1">
        <v>9757000</v>
      </c>
      <c r="E89" s="1">
        <v>11320000</v>
      </c>
      <c r="F89" s="1">
        <v>0.86219999999999997</v>
      </c>
      <c r="H89" s="74"/>
    </row>
    <row r="90" spans="1:22" ht="15.75" thickBot="1" x14ac:dyDescent="0.3">
      <c r="A90" s="1" t="s">
        <v>31</v>
      </c>
      <c r="B90" s="1" t="s">
        <v>73</v>
      </c>
      <c r="C90" s="1" t="s">
        <v>74</v>
      </c>
      <c r="D90" s="1">
        <v>3733</v>
      </c>
      <c r="E90" s="1">
        <v>11390000</v>
      </c>
      <c r="F90" s="1">
        <v>3.278E-4</v>
      </c>
      <c r="H90" s="75" t="s">
        <v>116</v>
      </c>
    </row>
    <row r="91" spans="1:22" ht="15.75" thickTop="1" x14ac:dyDescent="0.25">
      <c r="A91" s="1" t="s">
        <v>32</v>
      </c>
      <c r="B91" s="1" t="s">
        <v>73</v>
      </c>
      <c r="C91" s="1" t="s">
        <v>74</v>
      </c>
      <c r="D91" s="1">
        <v>981.5</v>
      </c>
      <c r="E91" s="1">
        <v>11790000</v>
      </c>
      <c r="F91" s="1">
        <v>8.3230000000000001E-5</v>
      </c>
      <c r="H91" s="81" t="s">
        <v>106</v>
      </c>
      <c r="I91" s="55">
        <v>0.25</v>
      </c>
      <c r="J91" s="141">
        <f>($F$94 - $M$95) * $F$96</f>
        <v>1.3267552460000001</v>
      </c>
      <c r="K91" s="141">
        <f>($F$95 - $M$95) * $F$96</f>
        <v>1.419955246</v>
      </c>
      <c r="L91" s="57"/>
      <c r="M91" s="144">
        <f>IFERROR(AVERAGE(J91:L91),"")</f>
        <v>1.373355246</v>
      </c>
      <c r="N91" s="64">
        <f>IFERROR(STDEV(J91:L91),"")</f>
        <v>6.5902352006586201E-2</v>
      </c>
    </row>
    <row r="92" spans="1:22" x14ac:dyDescent="0.25">
      <c r="A92" s="1" t="s">
        <v>71</v>
      </c>
      <c r="B92" s="1" t="s">
        <v>73</v>
      </c>
      <c r="C92" s="1" t="s">
        <v>74</v>
      </c>
      <c r="D92" s="1">
        <v>9825000</v>
      </c>
      <c r="E92" s="1">
        <v>11240000</v>
      </c>
      <c r="F92" s="1">
        <v>0.87390000000000001</v>
      </c>
      <c r="H92" s="82" t="s">
        <v>107</v>
      </c>
      <c r="I92" s="29">
        <v>7.4999999999999997E-2</v>
      </c>
      <c r="J92" s="140">
        <f>($F$90 - $M$95) * $F$96</f>
        <v>1.2664460000000001E-3</v>
      </c>
      <c r="K92" s="108">
        <f>($F$91 - $M$95) * $F$96</f>
        <v>2.8816600000000002E-4</v>
      </c>
      <c r="L92" s="25"/>
      <c r="M92" s="112">
        <f>IFERROR(AVERAGE(J92:L92),"")</f>
        <v>7.7730600000000007E-4</v>
      </c>
      <c r="N92" s="66">
        <f>IFERROR(STDEV(J92:L92),"")</f>
        <v>6.9174842189917581E-4</v>
      </c>
    </row>
    <row r="93" spans="1:22" x14ac:dyDescent="0.25">
      <c r="A93" s="1" t="s">
        <v>72</v>
      </c>
      <c r="B93" s="1" t="s">
        <v>73</v>
      </c>
      <c r="C93" s="1" t="s">
        <v>74</v>
      </c>
      <c r="D93" s="1">
        <v>10750000</v>
      </c>
      <c r="E93" s="1">
        <v>11350000</v>
      </c>
      <c r="F93" s="1">
        <v>0.94699999999999995</v>
      </c>
      <c r="H93" s="82" t="s">
        <v>108</v>
      </c>
      <c r="I93" s="27">
        <v>0.25</v>
      </c>
      <c r="J93" s="131">
        <f>($F$92 - $M$95) * $F$96</f>
        <v>3.4955552459999999</v>
      </c>
      <c r="K93" s="131">
        <f>($F$93 - $M$95) * $F$96</f>
        <v>3.7879552459999997</v>
      </c>
      <c r="L93" s="25"/>
      <c r="M93" s="133">
        <f>IFERROR(AVERAGE(J93:L93),"")</f>
        <v>3.6417552459999998</v>
      </c>
      <c r="N93" s="145">
        <f>IFERROR(STDEV(J93:L93),"")</f>
        <v>0.20675802281894634</v>
      </c>
    </row>
    <row r="94" spans="1:22" x14ac:dyDescent="0.25">
      <c r="A94" s="1" t="s">
        <v>51</v>
      </c>
      <c r="B94" s="1" t="s">
        <v>73</v>
      </c>
      <c r="C94" s="1" t="s">
        <v>74</v>
      </c>
      <c r="D94" s="1">
        <v>3418000</v>
      </c>
      <c r="E94" s="1">
        <v>10300000</v>
      </c>
      <c r="F94" s="1">
        <v>0.33169999999999999</v>
      </c>
      <c r="H94" s="82" t="s">
        <v>109</v>
      </c>
      <c r="I94" s="25"/>
      <c r="J94" s="25"/>
      <c r="K94" s="25"/>
      <c r="L94" s="25"/>
      <c r="M94" s="25"/>
      <c r="N94" s="58"/>
    </row>
    <row r="95" spans="1:22" ht="15.75" thickBot="1" x14ac:dyDescent="0.3">
      <c r="A95" s="1" t="s">
        <v>52</v>
      </c>
      <c r="B95" s="1" t="s">
        <v>73</v>
      </c>
      <c r="C95" s="1" t="s">
        <v>74</v>
      </c>
      <c r="D95" s="1">
        <v>3679000</v>
      </c>
      <c r="E95" s="1">
        <v>10360000</v>
      </c>
      <c r="F95" s="1">
        <v>0.35499999999999998</v>
      </c>
      <c r="H95" s="83" t="s">
        <v>110</v>
      </c>
      <c r="I95" s="53"/>
      <c r="J95" s="54">
        <f>IF($G$82&lt;&gt;"","Point Deleted",$F$82)</f>
        <v>1.2979999999999999E-5</v>
      </c>
      <c r="K95" s="54">
        <f>IF($G$83&lt;&gt;"","Point Deleted",$F$83)</f>
        <v>9.397E-6</v>
      </c>
      <c r="L95" s="53"/>
      <c r="M95" s="54">
        <f t="shared" ref="M95:M100" si="6">IFERROR(AVERAGE(J95:L95),"")</f>
        <v>1.11885E-5</v>
      </c>
      <c r="N95" s="67">
        <f t="shared" ref="N95:N100" si="7">IFERROR(STDEV(J95:L95),"")</f>
        <v>2.5335635969913994E-6</v>
      </c>
    </row>
    <row r="96" spans="1:22" ht="66.75" thickTop="1" thickBot="1" x14ac:dyDescent="0.3">
      <c r="C96" s="75"/>
      <c r="E96" s="17" t="s">
        <v>4</v>
      </c>
      <c r="F96" s="18">
        <v>4</v>
      </c>
      <c r="H96" s="84" t="s">
        <v>111</v>
      </c>
      <c r="I96" s="52"/>
      <c r="J96" s="72">
        <f>IFERROR(IF(ISTEXT($J$92),NA(),($J$92 * $I$92) / ($F$98 * 3600)),"")</f>
        <v>1.3192145833333334E-8</v>
      </c>
      <c r="K96" s="61">
        <f>IFERROR(IF(ISTEXT($K$92),NA(),($K$92 * $I$92) / ($F$98 * 3600)),"")</f>
        <v>3.0017291666666668E-9</v>
      </c>
      <c r="L96" s="52"/>
      <c r="M96" s="61">
        <f t="shared" si="6"/>
        <v>8.0969375000000012E-9</v>
      </c>
      <c r="N96" s="68">
        <f t="shared" si="7"/>
        <v>7.2057127281164137E-9</v>
      </c>
      <c r="P96" s="85" t="s">
        <v>117</v>
      </c>
      <c r="Q96" s="86" t="s">
        <v>118</v>
      </c>
      <c r="R96" s="87" t="s">
        <v>91</v>
      </c>
      <c r="S96" s="87" t="s">
        <v>119</v>
      </c>
      <c r="T96" s="87" t="s">
        <v>120</v>
      </c>
      <c r="U96" s="87" t="s">
        <v>121</v>
      </c>
      <c r="V96" s="87" t="s">
        <v>113</v>
      </c>
    </row>
    <row r="97" spans="1:22" ht="18.75" thickTop="1" x14ac:dyDescent="0.35">
      <c r="C97" s="75"/>
      <c r="E97" s="19" t="s">
        <v>102</v>
      </c>
      <c r="F97" s="20">
        <v>0.11</v>
      </c>
      <c r="H97" s="82" t="s">
        <v>112</v>
      </c>
      <c r="I97" s="25"/>
      <c r="J97" s="138">
        <f>IFERROR(IF(ISTEXT($J$93),NA(),$J$93),"")</f>
        <v>3.4955552459999999</v>
      </c>
      <c r="K97" s="133">
        <f>IFERROR(IF(ISTEXT($K$93),NA(),$K$93),"")</f>
        <v>3.7879552459999997</v>
      </c>
      <c r="L97" s="25"/>
      <c r="M97" s="133">
        <f t="shared" si="6"/>
        <v>3.6417552459999998</v>
      </c>
      <c r="N97" s="145">
        <f t="shared" si="7"/>
        <v>0.20675802281894634</v>
      </c>
      <c r="Q97" s="88"/>
      <c r="R97" s="88" t="s">
        <v>105</v>
      </c>
      <c r="S97" s="149">
        <f>$J$88</f>
        <v>9.6118002675635236E-3</v>
      </c>
      <c r="T97" s="149">
        <f>$K$88</f>
        <v>2.1889195229893618E-2</v>
      </c>
      <c r="U97" s="88" t="str">
        <f>$L$88</f>
        <v/>
      </c>
      <c r="V97" s="93">
        <f>$M$87</f>
        <v>0.57729856019249726</v>
      </c>
    </row>
    <row r="98" spans="1:22" ht="30" x14ac:dyDescent="0.25">
      <c r="C98" s="75"/>
      <c r="E98" s="19" t="s">
        <v>103</v>
      </c>
      <c r="F98" s="21">
        <v>2</v>
      </c>
      <c r="H98" s="82" t="s">
        <v>113</v>
      </c>
      <c r="I98" s="25"/>
      <c r="J98" s="50">
        <f>IFERROR(IF(OR(ISTEXT($J$91),ISTEXT($J$92),ISTEXT($J$93)),NA(),(($J$91 * $I$91) + ($J$92 * $I$92)) / $J$93 / $I$93),"")</f>
        <v>0.37966362606302806</v>
      </c>
      <c r="K98" s="38">
        <f>IFERROR(IF(OR(ISTEXT($K$91),ISTEXT($K$92),ISTEXT($K$93)),NA(),(($K$91 * $I$91) + ($K$92 * $I$92)) / $K$93 / $I$93),"")</f>
        <v>0.37488344068994317</v>
      </c>
      <c r="L98" s="25" t="str">
        <f>IFERROR(IF(OR(ISTEXT($L$91),ISTEXT($L$92),ISTEXT($L$93)),NA(),(($L$91 * $I$91) + ($L$92 * $I$92)) / $L$93 / $I$93),"")</f>
        <v/>
      </c>
      <c r="M98" s="38">
        <f t="shared" si="6"/>
        <v>0.37727353337648561</v>
      </c>
      <c r="N98" s="146">
        <f t="shared" si="7"/>
        <v>3.3801014926370713E-3</v>
      </c>
      <c r="P98" s="89" t="str">
        <f>$B$80</f>
        <v>DTXSID7025429</v>
      </c>
      <c r="Q98" s="94">
        <f>$F$99</f>
        <v>10</v>
      </c>
      <c r="R98" s="88" t="s">
        <v>116</v>
      </c>
      <c r="S98" s="149">
        <f>$J$99</f>
        <v>3.4308883723718576E-2</v>
      </c>
      <c r="T98" s="150">
        <f>$K$99</f>
        <v>7.2040045875708244E-3</v>
      </c>
      <c r="U98" s="88" t="str">
        <f>$L$99</f>
        <v/>
      </c>
      <c r="V98" s="93">
        <f>$M$98</f>
        <v>0.37727353337648561</v>
      </c>
    </row>
    <row r="99" spans="1:22" ht="18.75" thickBot="1" x14ac:dyDescent="0.4">
      <c r="C99" s="75"/>
      <c r="E99" s="22" t="s">
        <v>104</v>
      </c>
      <c r="F99" s="23">
        <v>10</v>
      </c>
      <c r="H99" s="83" t="s">
        <v>115</v>
      </c>
      <c r="I99" s="53"/>
      <c r="J99" s="148">
        <f>IFERROR($J$96 / $J$93 / $F$97 * 1000000,"")</f>
        <v>3.4308883723718576E-2</v>
      </c>
      <c r="K99" s="143">
        <f>IFERROR($K$96 / $K$93 / $F$97 * 1000000,"")</f>
        <v>7.2040045875708244E-3</v>
      </c>
      <c r="L99" s="53" t="str">
        <f>IFERROR($L$96 / $L$93 / $F$97 * 1000000,"")</f>
        <v/>
      </c>
      <c r="M99" s="142">
        <f t="shared" si="6"/>
        <v>2.0756444155644701E-2</v>
      </c>
      <c r="N99" s="114">
        <f t="shared" si="7"/>
        <v>1.9166043840411845E-2</v>
      </c>
      <c r="P99" s="90"/>
      <c r="Q99" s="96"/>
      <c r="R99" s="97" t="s">
        <v>87</v>
      </c>
      <c r="S99" s="118">
        <f>$J$100</f>
        <v>3.5694545005787419</v>
      </c>
      <c r="T99" s="98">
        <f>$K$100</f>
        <v>0.32911235483579887</v>
      </c>
      <c r="U99" s="97" t="str">
        <f>$L$100</f>
        <v/>
      </c>
      <c r="V99" s="97"/>
    </row>
    <row r="100" spans="1:22" ht="15.75" thickBot="1" x14ac:dyDescent="0.3">
      <c r="H100" s="59" t="s">
        <v>87</v>
      </c>
      <c r="I100" s="60"/>
      <c r="J100" s="110">
        <f>IFERROR($J$99 / $J$88,"")</f>
        <v>3.5694545005787419</v>
      </c>
      <c r="K100" s="63">
        <f>IFERROR($K$99 / $K$88,"")</f>
        <v>0.32911235483579887</v>
      </c>
      <c r="L100" s="60" t="str">
        <f>IFERROR($L$99 / $L$88,"")</f>
        <v/>
      </c>
      <c r="M100" s="110">
        <f t="shared" si="6"/>
        <v>1.9492834277072704</v>
      </c>
      <c r="N100" s="147">
        <f t="shared" si="7"/>
        <v>2.2912679046194033</v>
      </c>
      <c r="P100" s="91"/>
      <c r="Q100" s="99"/>
      <c r="R100" s="88"/>
      <c r="S100" s="88"/>
      <c r="T100" s="88"/>
      <c r="U100" s="88"/>
      <c r="V100" s="88"/>
    </row>
    <row r="101" spans="1:22" ht="15.75" thickTop="1" x14ac:dyDescent="0.25"/>
    <row r="105" spans="1:22" ht="15.75" thickBot="1" x14ac:dyDescent="0.3">
      <c r="H105" s="75" t="s">
        <v>105</v>
      </c>
    </row>
    <row r="106" spans="1:22" ht="15.75" thickTop="1" x14ac:dyDescent="0.25">
      <c r="A106" s="1" t="s">
        <v>9</v>
      </c>
      <c r="B106" s="1" t="s">
        <v>75</v>
      </c>
      <c r="C106" s="1" t="s">
        <v>76</v>
      </c>
      <c r="D106" s="1">
        <v>13.05</v>
      </c>
      <c r="E106" s="1">
        <v>10330000</v>
      </c>
      <c r="F106" s="1">
        <v>1.263E-6</v>
      </c>
      <c r="H106" s="76" t="s">
        <v>106</v>
      </c>
      <c r="I106" s="32">
        <v>7.4999999999999997E-2</v>
      </c>
      <c r="J106" s="132">
        <f>($F$114 - $M$110) * $F$122</f>
        <v>1.740396549</v>
      </c>
      <c r="K106" s="132">
        <f>($F$115 - $M$110) * $F$122</f>
        <v>1.8231965489999999</v>
      </c>
      <c r="L106" s="34"/>
      <c r="M106" s="135">
        <f>IFERROR(AVERAGE(J106:L106),"")</f>
        <v>1.7817965490000001</v>
      </c>
      <c r="N106" s="121">
        <f>IFERROR(STDEV(J106:L106),"")</f>
        <v>5.8548441482246118E-2</v>
      </c>
      <c r="P106" s="1" t="s">
        <v>105</v>
      </c>
      <c r="Q106" s="15">
        <f>$M$114</f>
        <v>29.439020545369516</v>
      </c>
      <c r="R106" s="13">
        <f>$N$114</f>
        <v>1.5916673781233799</v>
      </c>
    </row>
    <row r="107" spans="1:22" x14ac:dyDescent="0.25">
      <c r="A107" s="1" t="s">
        <v>10</v>
      </c>
      <c r="B107" s="1" t="s">
        <v>75</v>
      </c>
      <c r="C107" s="1" t="s">
        <v>76</v>
      </c>
      <c r="D107" s="1">
        <v>4.78</v>
      </c>
      <c r="E107" s="1">
        <v>10340000</v>
      </c>
      <c r="F107" s="1">
        <v>4.6250000000000002E-7</v>
      </c>
      <c r="H107" s="77" t="s">
        <v>107</v>
      </c>
      <c r="I107" s="27">
        <v>0.25</v>
      </c>
      <c r="J107" s="30">
        <f>($F$110 - $M$110) * $F$122</f>
        <v>0.52519654900000001</v>
      </c>
      <c r="K107" s="30">
        <f>($F$111 - $M$110) * $F$122</f>
        <v>0.46319654900000001</v>
      </c>
      <c r="L107" s="25"/>
      <c r="M107" s="27">
        <f>IFERROR(AVERAGE(J107:L107),"")</f>
        <v>0.49419654899999998</v>
      </c>
      <c r="N107" s="43">
        <f>IFERROR(STDEV(J107:L107),"")</f>
        <v>4.3840620433565951E-2</v>
      </c>
      <c r="P107" s="1" t="s">
        <v>116</v>
      </c>
      <c r="Q107" s="15">
        <f>$M$125</f>
        <v>21.254168487690954</v>
      </c>
      <c r="R107" s="16">
        <f>$N$125</f>
        <v>2.5826479016773339E-2</v>
      </c>
    </row>
    <row r="108" spans="1:22" x14ac:dyDescent="0.25">
      <c r="A108" s="1" t="s">
        <v>11</v>
      </c>
      <c r="B108" s="1" t="s">
        <v>75</v>
      </c>
      <c r="C108" s="1" t="s">
        <v>76</v>
      </c>
      <c r="D108" s="1">
        <v>10.65</v>
      </c>
      <c r="E108" s="1">
        <v>10570000</v>
      </c>
      <c r="F108" s="1">
        <v>1.0070000000000001E-6</v>
      </c>
      <c r="H108" s="77" t="s">
        <v>108</v>
      </c>
      <c r="I108" s="29">
        <v>7.4999999999999997E-2</v>
      </c>
      <c r="J108" s="131">
        <f>($F$112 - $M$110) * $F$122</f>
        <v>5.4239965489999999</v>
      </c>
      <c r="K108" s="131">
        <f>($F$113 - $M$110) * $F$122</f>
        <v>5.1639965489999993</v>
      </c>
      <c r="L108" s="25"/>
      <c r="M108" s="133">
        <f>IFERROR(AVERAGE(J108:L108),"")</f>
        <v>5.2939965489999992</v>
      </c>
      <c r="N108" s="137">
        <f>IFERROR(STDEV(J108:L108),"")</f>
        <v>0.18384776310850284</v>
      </c>
    </row>
    <row r="109" spans="1:22" x14ac:dyDescent="0.25">
      <c r="A109" s="1" t="s">
        <v>12</v>
      </c>
      <c r="B109" s="1" t="s">
        <v>75</v>
      </c>
      <c r="C109" s="1" t="s">
        <v>76</v>
      </c>
      <c r="D109" s="1">
        <v>16.7</v>
      </c>
      <c r="E109" s="1">
        <v>10430000</v>
      </c>
      <c r="F109" s="1">
        <v>1.6020000000000001E-6</v>
      </c>
      <c r="H109" s="77" t="s">
        <v>109</v>
      </c>
      <c r="I109" s="25"/>
      <c r="J109" s="25"/>
      <c r="K109" s="25"/>
      <c r="L109" s="25"/>
      <c r="M109" s="25"/>
      <c r="N109" s="35"/>
    </row>
    <row r="110" spans="1:22" ht="15.75" thickBot="1" x14ac:dyDescent="0.3">
      <c r="A110" s="1" t="s">
        <v>13</v>
      </c>
      <c r="B110" s="1" t="s">
        <v>75</v>
      </c>
      <c r="C110" s="1" t="s">
        <v>76</v>
      </c>
      <c r="D110" s="1">
        <v>1347000</v>
      </c>
      <c r="E110" s="1">
        <v>10260000</v>
      </c>
      <c r="F110" s="1">
        <v>0.1313</v>
      </c>
      <c r="H110" s="78" t="s">
        <v>110</v>
      </c>
      <c r="I110" s="26"/>
      <c r="J110" s="31">
        <f>IF($G$106&lt;&gt;"","Point Deleted",$F$106)</f>
        <v>1.263E-6</v>
      </c>
      <c r="K110" s="31">
        <f>IF($G$107&lt;&gt;"","Point Deleted",$F$107)</f>
        <v>4.6250000000000002E-7</v>
      </c>
      <c r="L110" s="26"/>
      <c r="M110" s="31">
        <f>IFERROR(AVERAGE(J110:L110),"")</f>
        <v>8.6275000000000002E-7</v>
      </c>
      <c r="N110" s="44">
        <f>IFERROR(STDEV(J110:L110),"")</f>
        <v>5.6603897833983132E-7</v>
      </c>
    </row>
    <row r="111" spans="1:22" x14ac:dyDescent="0.25">
      <c r="A111" s="1" t="s">
        <v>14</v>
      </c>
      <c r="B111" s="1" t="s">
        <v>75</v>
      </c>
      <c r="C111" s="1" t="s">
        <v>76</v>
      </c>
      <c r="D111" s="1">
        <v>1193000</v>
      </c>
      <c r="E111" s="1">
        <v>10310000</v>
      </c>
      <c r="F111" s="1">
        <v>0.1158</v>
      </c>
      <c r="H111" s="79" t="s">
        <v>111</v>
      </c>
      <c r="I111" s="24"/>
      <c r="J111" s="48">
        <f>IFERROR(IF(ISTEXT($J$107),NA(),($J$107 * $I$107) / ($F$124 * 3600)),"")</f>
        <v>1.8235991284722222E-5</v>
      </c>
      <c r="K111" s="37">
        <f>IFERROR(IF(ISTEXT($K$107),NA(),($K$107 * $I$107) / ($F$124 * 3600)),"")</f>
        <v>1.6083213506944446E-5</v>
      </c>
      <c r="L111" s="24"/>
      <c r="M111" s="37">
        <f>IFERROR(AVERAGE(J111:L111),"")</f>
        <v>1.7159602395833333E-5</v>
      </c>
      <c r="N111" s="45">
        <f>IFERROR(STDEV(J111:L111),"")</f>
        <v>1.5222437650543722E-6</v>
      </c>
    </row>
    <row r="112" spans="1:22" ht="18" x14ac:dyDescent="0.35">
      <c r="A112" s="1" t="s">
        <v>53</v>
      </c>
      <c r="B112" s="1" t="s">
        <v>75</v>
      </c>
      <c r="C112" s="1" t="s">
        <v>76</v>
      </c>
      <c r="D112" s="1">
        <v>14800000</v>
      </c>
      <c r="E112" s="1">
        <v>10920000</v>
      </c>
      <c r="F112" s="1">
        <v>1.3560000000000001</v>
      </c>
      <c r="H112" s="77" t="s">
        <v>112</v>
      </c>
      <c r="I112" s="25"/>
      <c r="J112" s="138">
        <f>IFERROR(IF(ISTEXT($J$108),NA(),$J$108),"")</f>
        <v>5.4239965489999999</v>
      </c>
      <c r="K112" s="133">
        <f>IFERROR(IF(ISTEXT($K$108),NA(),$K$108),"")</f>
        <v>5.1639965489999993</v>
      </c>
      <c r="L112" s="25"/>
      <c r="M112" s="133">
        <f>IFERROR(AVERAGE(J112:L112),"")</f>
        <v>5.2939965489999992</v>
      </c>
      <c r="N112" s="137">
        <f>IFERROR(STDEV(J112:L112),"")</f>
        <v>0.18384776310850284</v>
      </c>
    </row>
    <row r="113" spans="1:22" x14ac:dyDescent="0.25">
      <c r="A113" s="1" t="s">
        <v>54</v>
      </c>
      <c r="B113" s="1" t="s">
        <v>75</v>
      </c>
      <c r="C113" s="1" t="s">
        <v>76</v>
      </c>
      <c r="D113" s="1">
        <v>19210000</v>
      </c>
      <c r="E113" s="1">
        <v>14880000</v>
      </c>
      <c r="F113" s="1">
        <v>1.2909999999999999</v>
      </c>
      <c r="H113" s="77" t="s">
        <v>113</v>
      </c>
      <c r="I113" s="25"/>
      <c r="J113" s="50">
        <f>IFERROR(IF(OR(ISTEXT($J$106),ISTEXT($J$107),ISTEXT($J$108)),NA(),(($J$106 * $I$106) + ($J$107 * $I$107)) / $J$108 / $I$108),"")</f>
        <v>0.64363088744534047</v>
      </c>
      <c r="K113" s="38">
        <f>IFERROR(IF(OR(ISTEXT($K$106),ISTEXT($K$107),ISTEXT($K$108)),NA(),(($K$106 * $I$106) + ($K$107 * $I$107)) / $K$108 / $I$108),"")</f>
        <v>0.65205021221765103</v>
      </c>
      <c r="L113" s="25" t="str">
        <f>IFERROR(IF(OR(ISTEXT($L$106),ISTEXT($L$107),ISTEXT($L$108)),NA(),(($L$106 * $I$106) + ($L$107 * $I$107)) / $L$108 / $I$108),"")</f>
        <v/>
      </c>
      <c r="M113" s="38">
        <f>IFERROR(AVERAGE(J113:L113),"")</f>
        <v>0.64784054983149575</v>
      </c>
      <c r="N113" s="46">
        <f>IFERROR(STDEV(J113:L113),"")</f>
        <v>5.953361639512678E-3</v>
      </c>
    </row>
    <row r="114" spans="1:22" ht="18.75" thickBot="1" x14ac:dyDescent="0.4">
      <c r="A114" s="1" t="s">
        <v>33</v>
      </c>
      <c r="B114" s="1" t="s">
        <v>75</v>
      </c>
      <c r="C114" s="1" t="s">
        <v>76</v>
      </c>
      <c r="D114" s="1">
        <v>4965000</v>
      </c>
      <c r="E114" s="1">
        <v>11410000</v>
      </c>
      <c r="F114" s="1">
        <v>0.43509999999999999</v>
      </c>
      <c r="H114" s="80" t="s">
        <v>115</v>
      </c>
      <c r="I114" s="36"/>
      <c r="J114" s="51">
        <f>IFERROR($J$111 / $J$108 / $F$123 * 1000000,"")</f>
        <v>30.564499341833969</v>
      </c>
      <c r="K114" s="39">
        <f>IFERROR($K$111 / $K$108 / $F$123 * 1000000,"")</f>
        <v>28.31354174890506</v>
      </c>
      <c r="L114" s="36" t="str">
        <f>IFERROR($L$111 / $L$108 / $F$123 * 1000000,"")</f>
        <v/>
      </c>
      <c r="M114" s="39">
        <f>IFERROR(AVERAGE(J114:L114),"")</f>
        <v>29.439020545369516</v>
      </c>
      <c r="N114" s="151">
        <f>IFERROR(STDEV(J114:L114),"")</f>
        <v>1.5916673781233799</v>
      </c>
    </row>
    <row r="115" spans="1:22" ht="15.75" thickTop="1" x14ac:dyDescent="0.25">
      <c r="A115" s="1" t="s">
        <v>34</v>
      </c>
      <c r="B115" s="1" t="s">
        <v>75</v>
      </c>
      <c r="C115" s="1" t="s">
        <v>76</v>
      </c>
      <c r="D115" s="1">
        <v>5083000</v>
      </c>
      <c r="E115" s="1">
        <v>11150000</v>
      </c>
      <c r="F115" s="1">
        <v>0.45579999999999998</v>
      </c>
      <c r="H115" s="74"/>
    </row>
    <row r="116" spans="1:22" ht="15.75" thickBot="1" x14ac:dyDescent="0.3">
      <c r="A116" s="1" t="s">
        <v>23</v>
      </c>
      <c r="B116" s="1" t="s">
        <v>75</v>
      </c>
      <c r="C116" s="1" t="s">
        <v>76</v>
      </c>
      <c r="D116" s="1">
        <v>3143000</v>
      </c>
      <c r="E116" s="1">
        <v>11040000</v>
      </c>
      <c r="F116" s="1">
        <v>0.2848</v>
      </c>
      <c r="H116" s="75" t="s">
        <v>116</v>
      </c>
    </row>
    <row r="117" spans="1:22" ht="15.75" thickTop="1" x14ac:dyDescent="0.25">
      <c r="A117" s="1" t="s">
        <v>24</v>
      </c>
      <c r="B117" s="1" t="s">
        <v>75</v>
      </c>
      <c r="C117" s="1" t="s">
        <v>76</v>
      </c>
      <c r="D117" s="1">
        <v>3165000</v>
      </c>
      <c r="E117" s="1">
        <v>11340000</v>
      </c>
      <c r="F117" s="1">
        <v>0.27900000000000003</v>
      </c>
      <c r="H117" s="81" t="s">
        <v>106</v>
      </c>
      <c r="I117" s="55">
        <v>0.25</v>
      </c>
      <c r="J117" s="141">
        <f>($F$120 - $M$121) * $F$122</f>
        <v>3.3839947819999998</v>
      </c>
      <c r="K117" s="141">
        <f>($F$121 - $M$121) * $F$122</f>
        <v>3.3223947819999999</v>
      </c>
      <c r="L117" s="57"/>
      <c r="M117" s="144">
        <f>IFERROR(AVERAGE(J117:L117),"")</f>
        <v>3.3531947820000001</v>
      </c>
      <c r="N117" s="64">
        <f>IFERROR(STDEV(J117:L117),"")</f>
        <v>4.3557777721091241E-2</v>
      </c>
    </row>
    <row r="118" spans="1:22" x14ac:dyDescent="0.25">
      <c r="A118" s="1" t="s">
        <v>63</v>
      </c>
      <c r="B118" s="1" t="s">
        <v>75</v>
      </c>
      <c r="C118" s="1" t="s">
        <v>76</v>
      </c>
      <c r="D118" s="1">
        <v>14050000</v>
      </c>
      <c r="E118" s="1">
        <v>11060000</v>
      </c>
      <c r="F118" s="1">
        <v>1.27</v>
      </c>
      <c r="H118" s="82" t="s">
        <v>107</v>
      </c>
      <c r="I118" s="29">
        <v>7.4999999999999997E-2</v>
      </c>
      <c r="J118" s="131">
        <f>($F$116 - $M$121) * $F$122</f>
        <v>1.1391947819999999</v>
      </c>
      <c r="K118" s="131">
        <f>($F$117 - $M$121) * $F$122</f>
        <v>1.115994782</v>
      </c>
      <c r="L118" s="25"/>
      <c r="M118" s="133">
        <f>IFERROR(AVERAGE(J118:L118),"")</f>
        <v>1.1275947820000001</v>
      </c>
      <c r="N118" s="127">
        <f>IFERROR(STDEV(J118:L118),"")</f>
        <v>1.6404877323527821E-2</v>
      </c>
    </row>
    <row r="119" spans="1:22" x14ac:dyDescent="0.25">
      <c r="A119" s="1" t="s">
        <v>64</v>
      </c>
      <c r="B119" s="1" t="s">
        <v>75</v>
      </c>
      <c r="C119" s="1" t="s">
        <v>76</v>
      </c>
      <c r="D119" s="1">
        <v>13880000</v>
      </c>
      <c r="E119" s="1">
        <v>11170000</v>
      </c>
      <c r="F119" s="1">
        <v>1.242</v>
      </c>
      <c r="H119" s="82" t="s">
        <v>108</v>
      </c>
      <c r="I119" s="27">
        <v>0.25</v>
      </c>
      <c r="J119" s="131">
        <f>($F$118 - $M$121) * $F$122</f>
        <v>5.079994782</v>
      </c>
      <c r="K119" s="131">
        <f>($F$119 - $M$121) * $F$122</f>
        <v>4.9679947819999999</v>
      </c>
      <c r="L119" s="25"/>
      <c r="M119" s="133">
        <f>IFERROR(AVERAGE(J119:L119),"")</f>
        <v>5.0239947819999999</v>
      </c>
      <c r="N119" s="127">
        <f>IFERROR(STDEV(J119:L119),"")</f>
        <v>7.9195959492893389E-2</v>
      </c>
    </row>
    <row r="120" spans="1:22" x14ac:dyDescent="0.25">
      <c r="A120" s="1" t="s">
        <v>43</v>
      </c>
      <c r="B120" s="1" t="s">
        <v>75</v>
      </c>
      <c r="C120" s="1" t="s">
        <v>76</v>
      </c>
      <c r="D120" s="1">
        <v>8751000</v>
      </c>
      <c r="E120" s="1">
        <v>10340000</v>
      </c>
      <c r="F120" s="1">
        <v>0.84599999999999997</v>
      </c>
      <c r="H120" s="82" t="s">
        <v>109</v>
      </c>
      <c r="I120" s="25"/>
      <c r="J120" s="25"/>
      <c r="K120" s="25"/>
      <c r="L120" s="25"/>
      <c r="M120" s="25"/>
      <c r="N120" s="58"/>
    </row>
    <row r="121" spans="1:22" ht="15.75" thickBot="1" x14ac:dyDescent="0.3">
      <c r="A121" s="1" t="s">
        <v>44</v>
      </c>
      <c r="B121" s="1" t="s">
        <v>75</v>
      </c>
      <c r="C121" s="1" t="s">
        <v>76</v>
      </c>
      <c r="D121" s="1">
        <v>8726000</v>
      </c>
      <c r="E121" s="1">
        <v>10510000</v>
      </c>
      <c r="F121" s="1">
        <v>0.8306</v>
      </c>
      <c r="H121" s="83" t="s">
        <v>110</v>
      </c>
      <c r="I121" s="53"/>
      <c r="J121" s="54">
        <f>IF($G$108&lt;&gt;"","Point Deleted",$F$108)</f>
        <v>1.0070000000000001E-6</v>
      </c>
      <c r="K121" s="54">
        <f>IF($G$109&lt;&gt;"","Point Deleted",$F$109)</f>
        <v>1.6020000000000001E-6</v>
      </c>
      <c r="L121" s="53"/>
      <c r="M121" s="54">
        <f t="shared" ref="M121:M126" si="8">IFERROR(AVERAGE(J121:L121),"")</f>
        <v>1.3045E-6</v>
      </c>
      <c r="N121" s="67">
        <f t="shared" ref="N121:N126" si="9">IFERROR(STDEV(J121:L121),"")</f>
        <v>4.207285348059958E-7</v>
      </c>
    </row>
    <row r="122" spans="1:22" ht="66.75" thickTop="1" thickBot="1" x14ac:dyDescent="0.3">
      <c r="C122" s="75"/>
      <c r="E122" s="17" t="s">
        <v>4</v>
      </c>
      <c r="F122" s="18">
        <v>4</v>
      </c>
      <c r="H122" s="84" t="s">
        <v>111</v>
      </c>
      <c r="I122" s="52"/>
      <c r="J122" s="72">
        <f>IFERROR(IF(ISTEXT($J$118),NA(),($J$118 * $I$118) / ($F$124 * 3600)),"")</f>
        <v>1.1866612312499997E-5</v>
      </c>
      <c r="K122" s="61">
        <f>IFERROR(IF(ISTEXT($K$118),NA(),($K$118 * $I$118) / ($F$124 * 3600)),"")</f>
        <v>1.1624945645833333E-5</v>
      </c>
      <c r="L122" s="52"/>
      <c r="M122" s="61">
        <f t="shared" si="8"/>
        <v>1.1745778979166665E-5</v>
      </c>
      <c r="N122" s="68">
        <f t="shared" si="9"/>
        <v>1.7088413878674756E-7</v>
      </c>
      <c r="P122" s="85" t="s">
        <v>117</v>
      </c>
      <c r="Q122" s="86" t="s">
        <v>118</v>
      </c>
      <c r="R122" s="87" t="s">
        <v>91</v>
      </c>
      <c r="S122" s="87" t="s">
        <v>119</v>
      </c>
      <c r="T122" s="87" t="s">
        <v>120</v>
      </c>
      <c r="U122" s="87" t="s">
        <v>121</v>
      </c>
      <c r="V122" s="87" t="s">
        <v>113</v>
      </c>
    </row>
    <row r="123" spans="1:22" ht="18.75" thickTop="1" x14ac:dyDescent="0.35">
      <c r="C123" s="75"/>
      <c r="E123" s="19" t="s">
        <v>102</v>
      </c>
      <c r="F123" s="20">
        <v>0.11</v>
      </c>
      <c r="H123" s="82" t="s">
        <v>112</v>
      </c>
      <c r="I123" s="25"/>
      <c r="J123" s="138">
        <f>IFERROR(IF(ISTEXT($J$119),NA(),$J$119),"")</f>
        <v>5.079994782</v>
      </c>
      <c r="K123" s="133">
        <f>IFERROR(IF(ISTEXT($K$119),NA(),$K$119),"")</f>
        <v>4.9679947819999999</v>
      </c>
      <c r="L123" s="25"/>
      <c r="M123" s="133">
        <f t="shared" si="8"/>
        <v>5.0239947819999999</v>
      </c>
      <c r="N123" s="127">
        <f t="shared" si="9"/>
        <v>7.9195959492893389E-2</v>
      </c>
      <c r="Q123" s="88"/>
      <c r="R123" s="88" t="s">
        <v>105</v>
      </c>
      <c r="S123" s="92">
        <f>$J$114</f>
        <v>30.564499341833969</v>
      </c>
      <c r="T123" s="92">
        <f>$K$114</f>
        <v>28.31354174890506</v>
      </c>
      <c r="U123" s="88" t="str">
        <f>$L$114</f>
        <v/>
      </c>
      <c r="V123" s="93">
        <f>$M$113</f>
        <v>0.64784054983149575</v>
      </c>
    </row>
    <row r="124" spans="1:22" ht="30" x14ac:dyDescent="0.25">
      <c r="C124" s="75"/>
      <c r="E124" s="19" t="s">
        <v>103</v>
      </c>
      <c r="F124" s="21">
        <v>2</v>
      </c>
      <c r="H124" s="82" t="s">
        <v>113</v>
      </c>
      <c r="I124" s="25"/>
      <c r="J124" s="50">
        <f>IFERROR(IF(OR(ISTEXT($J$117),ISTEXT($J$118),ISTEXT($J$119)),NA(),(($J$117 * $I$117) + ($J$118 * $I$118)) / $J$119 / $I$119),"")</f>
        <v>0.73341674085995145</v>
      </c>
      <c r="K124" s="38">
        <f>IFERROR(IF(OR(ISTEXT($K$117),ISTEXT($K$118),ISTEXT($K$119)),NA(),(($K$117 * $I$117) + ($K$118 * $I$118)) / $K$119 / $I$119),"")</f>
        <v>0.73615077653678584</v>
      </c>
      <c r="L124" s="25" t="str">
        <f>IFERROR(IF(OR(ISTEXT($L$117),ISTEXT($L$118),ISTEXT($L$119)),NA(),(($L$117 * $I$117) + ($L$118 * $I$118)) / $L$119 / $I$119),"")</f>
        <v/>
      </c>
      <c r="M124" s="38">
        <f t="shared" si="8"/>
        <v>0.73478375869836865</v>
      </c>
      <c r="N124" s="146">
        <f t="shared" si="9"/>
        <v>1.9332551670955492E-3</v>
      </c>
      <c r="P124" s="89" t="str">
        <f>$B$106</f>
        <v>DTXSID7034250</v>
      </c>
      <c r="Q124" s="94">
        <f>$F$125</f>
        <v>10</v>
      </c>
      <c r="R124" s="88" t="s">
        <v>116</v>
      </c>
      <c r="S124" s="92">
        <f>$J$125</f>
        <v>21.23590640924402</v>
      </c>
      <c r="T124" s="92">
        <f>$K$125</f>
        <v>21.272430566137885</v>
      </c>
      <c r="U124" s="88" t="str">
        <f>$L$125</f>
        <v/>
      </c>
      <c r="V124" s="93">
        <f>$M$124</f>
        <v>0.73478375869836865</v>
      </c>
    </row>
    <row r="125" spans="1:22" ht="18.75" thickBot="1" x14ac:dyDescent="0.4">
      <c r="C125" s="75"/>
      <c r="E125" s="22" t="s">
        <v>104</v>
      </c>
      <c r="F125" s="23">
        <v>10</v>
      </c>
      <c r="H125" s="83" t="s">
        <v>115</v>
      </c>
      <c r="I125" s="53"/>
      <c r="J125" s="153">
        <f>IFERROR($J$122 / $J$119 / $F$123 * 1000000,"")</f>
        <v>21.23590640924402</v>
      </c>
      <c r="K125" s="152">
        <f>IFERROR($K$122 / $K$119 / $F$123 * 1000000,"")</f>
        <v>21.272430566137885</v>
      </c>
      <c r="L125" s="53" t="str">
        <f>IFERROR($L$122 / $L$119 / $F$123 * 1000000,"")</f>
        <v/>
      </c>
      <c r="M125" s="152">
        <f t="shared" si="8"/>
        <v>21.254168487690954</v>
      </c>
      <c r="N125" s="114">
        <f t="shared" si="9"/>
        <v>2.5826479016773339E-2</v>
      </c>
      <c r="P125" s="90"/>
      <c r="Q125" s="96"/>
      <c r="R125" s="97" t="s">
        <v>87</v>
      </c>
      <c r="S125" s="98">
        <f>$J$126</f>
        <v>0.69478993167011249</v>
      </c>
      <c r="T125" s="98">
        <f>$K$126</f>
        <v>0.75131648151932573</v>
      </c>
      <c r="U125" s="97" t="str">
        <f>$L$126</f>
        <v/>
      </c>
      <c r="V125" s="97"/>
    </row>
    <row r="126" spans="1:22" ht="15.75" thickBot="1" x14ac:dyDescent="0.3">
      <c r="H126" s="59" t="s">
        <v>87</v>
      </c>
      <c r="I126" s="60"/>
      <c r="J126" s="63">
        <f>IFERROR($J$125 / $J$114,"")</f>
        <v>0.69478993167011249</v>
      </c>
      <c r="K126" s="63">
        <f>IFERROR($K$125 / $K$114,"")</f>
        <v>0.75131648151932573</v>
      </c>
      <c r="L126" s="60" t="str">
        <f>IFERROR($L$125 / $L$114,"")</f>
        <v/>
      </c>
      <c r="M126" s="63">
        <f t="shared" si="8"/>
        <v>0.72305320659471906</v>
      </c>
      <c r="N126" s="115">
        <f t="shared" si="9"/>
        <v>3.9970306715458093E-2</v>
      </c>
      <c r="P126" s="91"/>
      <c r="Q126" s="99"/>
      <c r="R126" s="88"/>
      <c r="S126" s="88"/>
      <c r="T126" s="88"/>
      <c r="U126" s="88"/>
      <c r="V126" s="88"/>
    </row>
    <row r="127" spans="1:22" ht="15.75" thickTop="1" x14ac:dyDescent="0.25"/>
  </sheetData>
  <sortState ref="A2:X81">
    <sortCondition ref="K2:K81"/>
    <sortCondition ref="B2:B81"/>
    <sortCondition ref="G2:G81"/>
    <sortCondition ref="H2:H81"/>
    <sortCondition descending="1" ref="I2:I81"/>
    <sortCondition ref="J2:J81"/>
  </sortState>
  <conditionalFormatting sqref="J6">
    <cfRule type="expression" dxfId="79" priority="80">
      <formula>ISTEXT($J$6)</formula>
    </cfRule>
  </conditionalFormatting>
  <conditionalFormatting sqref="K6">
    <cfRule type="expression" dxfId="78" priority="79">
      <formula>ISTEXT($K$6)</formula>
    </cfRule>
  </conditionalFormatting>
  <conditionalFormatting sqref="J17">
    <cfRule type="expression" dxfId="77" priority="78">
      <formula>ISTEXT($J$17)</formula>
    </cfRule>
  </conditionalFormatting>
  <conditionalFormatting sqref="K17">
    <cfRule type="expression" dxfId="76" priority="77">
      <formula>ISTEXT($K$17)</formula>
    </cfRule>
  </conditionalFormatting>
  <conditionalFormatting sqref="J3">
    <cfRule type="expression" dxfId="75" priority="76">
      <formula>ISTEXT($J$3)</formula>
    </cfRule>
  </conditionalFormatting>
  <conditionalFormatting sqref="K3">
    <cfRule type="expression" dxfId="74" priority="75">
      <formula>ISTEXT($K$3)</formula>
    </cfRule>
  </conditionalFormatting>
  <conditionalFormatting sqref="J4">
    <cfRule type="expression" dxfId="73" priority="74">
      <formula>ISTEXT($J$4)</formula>
    </cfRule>
  </conditionalFormatting>
  <conditionalFormatting sqref="K4">
    <cfRule type="expression" dxfId="72" priority="73">
      <formula>ISTEXT($K$4)</formula>
    </cfRule>
  </conditionalFormatting>
  <conditionalFormatting sqref="J2">
    <cfRule type="expression" dxfId="71" priority="72">
      <formula>ISTEXT($J$2)</formula>
    </cfRule>
  </conditionalFormatting>
  <conditionalFormatting sqref="K2">
    <cfRule type="expression" dxfId="70" priority="71">
      <formula>ISTEXT($K$2)</formula>
    </cfRule>
  </conditionalFormatting>
  <conditionalFormatting sqref="J14">
    <cfRule type="expression" dxfId="69" priority="70">
      <formula>ISTEXT($J$14)</formula>
    </cfRule>
  </conditionalFormatting>
  <conditionalFormatting sqref="K14">
    <cfRule type="expression" dxfId="68" priority="69">
      <formula>ISTEXT($K$14)</formula>
    </cfRule>
  </conditionalFormatting>
  <conditionalFormatting sqref="J15">
    <cfRule type="expression" dxfId="67" priority="68">
      <formula>ISTEXT($J$15)</formula>
    </cfRule>
  </conditionalFormatting>
  <conditionalFormatting sqref="K15">
    <cfRule type="expression" dxfId="66" priority="67">
      <formula>ISTEXT($K$15)</formula>
    </cfRule>
  </conditionalFormatting>
  <conditionalFormatting sqref="J13">
    <cfRule type="expression" dxfId="65" priority="66">
      <formula>ISTEXT($J$13)</formula>
    </cfRule>
  </conditionalFormatting>
  <conditionalFormatting sqref="K13">
    <cfRule type="expression" dxfId="64" priority="65">
      <formula>ISTEXT($K$13)</formula>
    </cfRule>
  </conditionalFormatting>
  <conditionalFormatting sqref="J32">
    <cfRule type="expression" dxfId="63" priority="64">
      <formula>ISTEXT($J$32)</formula>
    </cfRule>
  </conditionalFormatting>
  <conditionalFormatting sqref="K32">
    <cfRule type="expression" dxfId="62" priority="63">
      <formula>ISTEXT($K$32)</formula>
    </cfRule>
  </conditionalFormatting>
  <conditionalFormatting sqref="J43">
    <cfRule type="expression" dxfId="61" priority="62">
      <formula>ISTEXT($J$43)</formula>
    </cfRule>
  </conditionalFormatting>
  <conditionalFormatting sqref="K43">
    <cfRule type="expression" dxfId="60" priority="61">
      <formula>ISTEXT($K$43)</formula>
    </cfRule>
  </conditionalFormatting>
  <conditionalFormatting sqref="J29">
    <cfRule type="expression" dxfId="59" priority="60">
      <formula>ISTEXT($J$29)</formula>
    </cfRule>
  </conditionalFormatting>
  <conditionalFormatting sqref="K29">
    <cfRule type="expression" dxfId="58" priority="59">
      <formula>ISTEXT($K$29)</formula>
    </cfRule>
  </conditionalFormatting>
  <conditionalFormatting sqref="J30">
    <cfRule type="expression" dxfId="57" priority="58">
      <formula>ISTEXT($J$30)</formula>
    </cfRule>
  </conditionalFormatting>
  <conditionalFormatting sqref="K30">
    <cfRule type="expression" dxfId="56" priority="57">
      <formula>ISTEXT($K$30)</formula>
    </cfRule>
  </conditionalFormatting>
  <conditionalFormatting sqref="J28">
    <cfRule type="expression" dxfId="55" priority="56">
      <formula>ISTEXT($J$28)</formula>
    </cfRule>
  </conditionalFormatting>
  <conditionalFormatting sqref="K28">
    <cfRule type="expression" dxfId="54" priority="55">
      <formula>ISTEXT($K$28)</formula>
    </cfRule>
  </conditionalFormatting>
  <conditionalFormatting sqref="J40">
    <cfRule type="expression" dxfId="53" priority="54">
      <formula>ISTEXT($J$40)</formula>
    </cfRule>
  </conditionalFormatting>
  <conditionalFormatting sqref="K40">
    <cfRule type="expression" dxfId="52" priority="53">
      <formula>ISTEXT($K$40)</formula>
    </cfRule>
  </conditionalFormatting>
  <conditionalFormatting sqref="J41">
    <cfRule type="expression" dxfId="51" priority="52">
      <formula>ISTEXT($J$41)</formula>
    </cfRule>
  </conditionalFormatting>
  <conditionalFormatting sqref="K41">
    <cfRule type="expression" dxfId="50" priority="51">
      <formula>ISTEXT($K$41)</formula>
    </cfRule>
  </conditionalFormatting>
  <conditionalFormatting sqref="J39">
    <cfRule type="expression" dxfId="49" priority="50">
      <formula>ISTEXT($J$39)</formula>
    </cfRule>
  </conditionalFormatting>
  <conditionalFormatting sqref="K39">
    <cfRule type="expression" dxfId="48" priority="49">
      <formula>ISTEXT($K$39)</formula>
    </cfRule>
  </conditionalFormatting>
  <conditionalFormatting sqref="J58">
    <cfRule type="expression" dxfId="47" priority="48">
      <formula>ISTEXT($J$58)</formula>
    </cfRule>
  </conditionalFormatting>
  <conditionalFormatting sqref="K58">
    <cfRule type="expression" dxfId="46" priority="47">
      <formula>ISTEXT($K$58)</formula>
    </cfRule>
  </conditionalFormatting>
  <conditionalFormatting sqref="J69">
    <cfRule type="expression" dxfId="45" priority="46">
      <formula>ISTEXT($J$69)</formula>
    </cfRule>
  </conditionalFormatting>
  <conditionalFormatting sqref="K69">
    <cfRule type="expression" dxfId="44" priority="45">
      <formula>ISTEXT($K$69)</formula>
    </cfRule>
  </conditionalFormatting>
  <conditionalFormatting sqref="J55">
    <cfRule type="expression" dxfId="43" priority="44">
      <formula>ISTEXT($J$55)</formula>
    </cfRule>
  </conditionalFormatting>
  <conditionalFormatting sqref="K55">
    <cfRule type="expression" dxfId="42" priority="43">
      <formula>ISTEXT($K$55)</formula>
    </cfRule>
  </conditionalFormatting>
  <conditionalFormatting sqref="J56">
    <cfRule type="expression" dxfId="41" priority="42">
      <formula>ISTEXT($J$56)</formula>
    </cfRule>
  </conditionalFormatting>
  <conditionalFormatting sqref="K56">
    <cfRule type="expression" dxfId="40" priority="41">
      <formula>ISTEXT($K$56)</formula>
    </cfRule>
  </conditionalFormatting>
  <conditionalFormatting sqref="J54">
    <cfRule type="expression" dxfId="39" priority="40">
      <formula>ISTEXT($J$54)</formula>
    </cfRule>
  </conditionalFormatting>
  <conditionalFormatting sqref="K54">
    <cfRule type="expression" dxfId="38" priority="39">
      <formula>ISTEXT($K$54)</formula>
    </cfRule>
  </conditionalFormatting>
  <conditionalFormatting sqref="J66">
    <cfRule type="expression" dxfId="37" priority="38">
      <formula>ISTEXT($J$66)</formula>
    </cfRule>
  </conditionalFormatting>
  <conditionalFormatting sqref="K66">
    <cfRule type="expression" dxfId="36" priority="37">
      <formula>ISTEXT($K$66)</formula>
    </cfRule>
  </conditionalFormatting>
  <conditionalFormatting sqref="J67">
    <cfRule type="expression" dxfId="35" priority="36">
      <formula>ISTEXT($J$67)</formula>
    </cfRule>
  </conditionalFormatting>
  <conditionalFormatting sqref="K67">
    <cfRule type="expression" dxfId="34" priority="35">
      <formula>ISTEXT($K$67)</formula>
    </cfRule>
  </conditionalFormatting>
  <conditionalFormatting sqref="J65">
    <cfRule type="expression" dxfId="33" priority="34">
      <formula>ISTEXT($J$65)</formula>
    </cfRule>
  </conditionalFormatting>
  <conditionalFormatting sqref="K65">
    <cfRule type="expression" dxfId="32" priority="33">
      <formula>ISTEXT($K$65)</formula>
    </cfRule>
  </conditionalFormatting>
  <conditionalFormatting sqref="J84">
    <cfRule type="expression" dxfId="31" priority="32">
      <formula>ISTEXT($J$84)</formula>
    </cfRule>
  </conditionalFormatting>
  <conditionalFormatting sqref="K84">
    <cfRule type="expression" dxfId="30" priority="31">
      <formula>ISTEXT($K$84)</formula>
    </cfRule>
  </conditionalFormatting>
  <conditionalFormatting sqref="J95">
    <cfRule type="expression" dxfId="29" priority="30">
      <formula>ISTEXT($J$95)</formula>
    </cfRule>
  </conditionalFormatting>
  <conditionalFormatting sqref="K95">
    <cfRule type="expression" dxfId="28" priority="29">
      <formula>ISTEXT($K$95)</formula>
    </cfRule>
  </conditionalFormatting>
  <conditionalFormatting sqref="J81">
    <cfRule type="expression" dxfId="27" priority="28">
      <formula>ISTEXT($J$81)</formula>
    </cfRule>
  </conditionalFormatting>
  <conditionalFormatting sqref="K81">
    <cfRule type="expression" dxfId="26" priority="27">
      <formula>ISTEXT($K$81)</formula>
    </cfRule>
  </conditionalFormatting>
  <conditionalFormatting sqref="J82">
    <cfRule type="expression" dxfId="25" priority="26">
      <formula>ISTEXT($J$82)</formula>
    </cfRule>
  </conditionalFormatting>
  <conditionalFormatting sqref="K82">
    <cfRule type="expression" dxfId="24" priority="25">
      <formula>ISTEXT($K$82)</formula>
    </cfRule>
  </conditionalFormatting>
  <conditionalFormatting sqref="J80">
    <cfRule type="expression" dxfId="23" priority="24">
      <formula>ISTEXT($J$80)</formula>
    </cfRule>
  </conditionalFormatting>
  <conditionalFormatting sqref="K80">
    <cfRule type="expression" dxfId="22" priority="23">
      <formula>ISTEXT($K$80)</formula>
    </cfRule>
  </conditionalFormatting>
  <conditionalFormatting sqref="J92">
    <cfRule type="expression" dxfId="21" priority="22">
      <formula>ISTEXT($J$92)</formula>
    </cfRule>
  </conditionalFormatting>
  <conditionalFormatting sqref="K92">
    <cfRule type="expression" dxfId="20" priority="21">
      <formula>ISTEXT($K$92)</formula>
    </cfRule>
  </conditionalFormatting>
  <conditionalFormatting sqref="J93">
    <cfRule type="expression" dxfId="19" priority="20">
      <formula>ISTEXT($J$93)</formula>
    </cfRule>
  </conditionalFormatting>
  <conditionalFormatting sqref="K93">
    <cfRule type="expression" dxfId="18" priority="19">
      <formula>ISTEXT($K$93)</formula>
    </cfRule>
  </conditionalFormatting>
  <conditionalFormatting sqref="J91">
    <cfRule type="expression" dxfId="17" priority="18">
      <formula>ISTEXT($J$91)</formula>
    </cfRule>
  </conditionalFormatting>
  <conditionalFormatting sqref="K91">
    <cfRule type="expression" dxfId="16" priority="17">
      <formula>ISTEXT($K$91)</formula>
    </cfRule>
  </conditionalFormatting>
  <conditionalFormatting sqref="J110">
    <cfRule type="expression" dxfId="15" priority="16">
      <formula>ISTEXT($J$110)</formula>
    </cfRule>
  </conditionalFormatting>
  <conditionalFormatting sqref="K110">
    <cfRule type="expression" dxfId="14" priority="15">
      <formula>ISTEXT($K$110)</formula>
    </cfRule>
  </conditionalFormatting>
  <conditionalFormatting sqref="J121">
    <cfRule type="expression" dxfId="13" priority="14">
      <formula>ISTEXT($J$121)</formula>
    </cfRule>
  </conditionalFormatting>
  <conditionalFormatting sqref="K121">
    <cfRule type="expression" dxfId="12" priority="13">
      <formula>ISTEXT($K$121)</formula>
    </cfRule>
  </conditionalFormatting>
  <conditionalFormatting sqref="J107">
    <cfRule type="expression" dxfId="11" priority="12">
      <formula>ISTEXT($J$107)</formula>
    </cfRule>
  </conditionalFormatting>
  <conditionalFormatting sqref="K107">
    <cfRule type="expression" dxfId="10" priority="11">
      <formula>ISTEXT($K$107)</formula>
    </cfRule>
  </conditionalFormatting>
  <conditionalFormatting sqref="J108">
    <cfRule type="expression" dxfId="9" priority="10">
      <formula>ISTEXT($J$108)</formula>
    </cfRule>
  </conditionalFormatting>
  <conditionalFormatting sqref="K108">
    <cfRule type="expression" dxfId="8" priority="9">
      <formula>ISTEXT($K$108)</formula>
    </cfRule>
  </conditionalFormatting>
  <conditionalFormatting sqref="J106">
    <cfRule type="expression" dxfId="7" priority="8">
      <formula>ISTEXT($J$106)</formula>
    </cfRule>
  </conditionalFormatting>
  <conditionalFormatting sqref="K106">
    <cfRule type="expression" dxfId="6" priority="7">
      <formula>ISTEXT($K$106)</formula>
    </cfRule>
  </conditionalFormatting>
  <conditionalFormatting sqref="J118">
    <cfRule type="expression" dxfId="5" priority="6">
      <formula>ISTEXT($J$118)</formula>
    </cfRule>
  </conditionalFormatting>
  <conditionalFormatting sqref="K118">
    <cfRule type="expression" dxfId="4" priority="5">
      <formula>ISTEXT($K$118)</formula>
    </cfRule>
  </conditionalFormatting>
  <conditionalFormatting sqref="J119">
    <cfRule type="expression" dxfId="3" priority="4">
      <formula>ISTEXT($J$119)</formula>
    </cfRule>
  </conditionalFormatting>
  <conditionalFormatting sqref="K119">
    <cfRule type="expression" dxfId="2" priority="3">
      <formula>ISTEXT($K$119)</formula>
    </cfRule>
  </conditionalFormatting>
  <conditionalFormatting sqref="J117">
    <cfRule type="expression" dxfId="1" priority="2">
      <formula>ISTEXT($J$117)</formula>
    </cfRule>
  </conditionalFormatting>
  <conditionalFormatting sqref="K117">
    <cfRule type="expression" dxfId="0" priority="1">
      <formula>ISTEXT($K$117)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Summary</vt:lpstr>
      <vt:lpstr>Data</vt:lpstr>
      <vt:lpstr>Individual1</vt:lpstr>
      <vt:lpstr>Summary1</vt:lpstr>
      <vt:lpstr>Summary2G1</vt:lpstr>
      <vt:lpstr>Summary3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Parashar</dc:creator>
  <cp:lastModifiedBy>David Ayres</cp:lastModifiedBy>
  <dcterms:created xsi:type="dcterms:W3CDTF">2020-06-30T14:05:38Z</dcterms:created>
  <dcterms:modified xsi:type="dcterms:W3CDTF">2020-06-30T18:23:32Z</dcterms:modified>
</cp:coreProperties>
</file>