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jiangli/LKJ/Z_李克江课程资料/Blast_Furnace_Calculation_model/"/>
    </mc:Choice>
  </mc:AlternateContent>
  <xr:revisionPtr revIDLastSave="0" documentId="13_ncr:1_{A8C91368-5CC6-EB49-BB90-BBDBEB2123F3}" xr6:coauthVersionLast="47" xr6:coauthVersionMax="47" xr10:uidLastSave="{00000000-0000-0000-0000-000000000000}"/>
  <bookViews>
    <workbookView xWindow="0" yWindow="500" windowWidth="51200" windowHeight="267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0" i="1" l="1"/>
  <c r="C140" i="1"/>
  <c r="D109" i="1"/>
  <c r="D105" i="1"/>
  <c r="D98" i="1"/>
  <c r="D92" i="1"/>
  <c r="D90" i="1"/>
  <c r="C52" i="1"/>
  <c r="B21" i="1" l="1"/>
  <c r="D103" i="1" s="1"/>
  <c r="G217" i="1" l="1"/>
  <c r="G215" i="1"/>
  <c r="G213" i="1"/>
  <c r="G312" i="1"/>
  <c r="G310" i="1"/>
  <c r="G308" i="1"/>
  <c r="E301" i="1"/>
  <c r="E298" i="1"/>
  <c r="C304" i="1" s="1"/>
  <c r="Q271" i="1"/>
  <c r="G267" i="1"/>
  <c r="F180" i="1"/>
  <c r="F184" i="1" s="1"/>
  <c r="D177" i="1"/>
  <c r="I180" i="1" s="1"/>
  <c r="D176" i="1"/>
  <c r="C157" i="1"/>
  <c r="C158" i="1" s="1"/>
  <c r="C156" i="1"/>
  <c r="C144" i="1"/>
  <c r="C142" i="1"/>
  <c r="C164" i="1"/>
  <c r="F173" i="1" s="1"/>
  <c r="F183" i="1" s="1"/>
  <c r="D102" i="1"/>
  <c r="C159" i="1" l="1"/>
  <c r="E299" i="1"/>
  <c r="C180" i="1" l="1"/>
  <c r="C184" i="1" s="1"/>
  <c r="F187" i="1" s="1"/>
  <c r="C165" i="1"/>
  <c r="C160" i="1"/>
  <c r="M180" i="1" s="1"/>
  <c r="D100" i="1" l="1"/>
  <c r="D99" i="1"/>
  <c r="D91" i="1"/>
  <c r="Z9" i="1"/>
  <c r="L21" i="1" l="1"/>
  <c r="E62" i="1"/>
  <c r="Z8" i="1" l="1"/>
  <c r="Z11" i="1"/>
  <c r="Z12" i="1"/>
  <c r="Z13" i="1"/>
  <c r="Z7" i="1"/>
  <c r="C17" i="1"/>
  <c r="L10" i="1"/>
  <c r="Z10" i="1" s="1"/>
  <c r="K17" i="1" l="1"/>
  <c r="G43" i="1" l="1"/>
  <c r="G44" i="1"/>
  <c r="G45" i="1"/>
  <c r="G42" i="1"/>
  <c r="C131" i="1"/>
  <c r="C128" i="1"/>
  <c r="C129" i="1"/>
  <c r="C127" i="1"/>
  <c r="D101" i="1"/>
  <c r="G102" i="1" s="1"/>
  <c r="D122" i="1" l="1"/>
  <c r="E130" i="1" s="1"/>
  <c r="D94" i="1"/>
  <c r="C130" i="1"/>
  <c r="M25" i="1" l="1"/>
  <c r="F46" i="1"/>
  <c r="F47" i="1"/>
  <c r="D59" i="1" s="1"/>
  <c r="F48" i="1"/>
  <c r="D60" i="1" s="1"/>
  <c r="F43" i="1"/>
  <c r="F44" i="1"/>
  <c r="F45" i="1"/>
  <c r="E143" i="1" s="1"/>
  <c r="F42" i="1"/>
  <c r="C36" i="1"/>
  <c r="J277" i="1" s="1"/>
  <c r="P277" i="1" s="1"/>
  <c r="C35" i="1"/>
  <c r="D113" i="1" s="1"/>
  <c r="C268" i="1" l="1"/>
  <c r="C150" i="1"/>
  <c r="K180" i="1" s="1"/>
  <c r="I181" i="1" s="1"/>
  <c r="I184" i="1" s="1"/>
  <c r="I187" i="1" s="1"/>
  <c r="G283" i="1"/>
  <c r="J278" i="1"/>
  <c r="D58" i="1"/>
  <c r="D76" i="1" s="1"/>
  <c r="G76" i="1" s="1"/>
  <c r="E144" i="1"/>
  <c r="C37" i="1"/>
  <c r="J274" i="1" s="1"/>
  <c r="P274" i="1" s="1"/>
  <c r="D104" i="1"/>
  <c r="D106" i="1" s="1"/>
  <c r="F107" i="1" s="1"/>
  <c r="E128" i="1"/>
  <c r="H76" i="1"/>
  <c r="H59" i="1"/>
  <c r="F59" i="1"/>
  <c r="G59" i="1"/>
  <c r="E59" i="1"/>
  <c r="D29" i="1"/>
  <c r="C339" i="1" l="1"/>
  <c r="C341" i="1" s="1"/>
  <c r="D345" i="1" s="1"/>
  <c r="D96" i="1"/>
  <c r="D108" i="1" s="1"/>
  <c r="D111" i="1" s="1"/>
  <c r="D114" i="1" s="1"/>
  <c r="C305" i="1"/>
  <c r="C308" i="1" s="1"/>
  <c r="D295" i="1"/>
  <c r="E58" i="1"/>
  <c r="F58" i="1"/>
  <c r="E76" i="1"/>
  <c r="H58" i="1"/>
  <c r="G58" i="1"/>
  <c r="F76" i="1"/>
  <c r="G29" i="1"/>
  <c r="D120" i="1" s="1"/>
  <c r="D116" i="1"/>
  <c r="C267" i="1"/>
  <c r="C335" i="1" s="1"/>
  <c r="I274" i="1"/>
  <c r="C70" i="1"/>
  <c r="F70" i="1"/>
  <c r="C270" i="1" l="1"/>
  <c r="C277" i="1" s="1"/>
  <c r="C312" i="1"/>
  <c r="C310" i="1"/>
  <c r="C275" i="1"/>
  <c r="C269" i="1"/>
  <c r="C276" i="1" s="1"/>
  <c r="H29" i="1"/>
  <c r="C331" i="1" l="1"/>
  <c r="C336" i="1" s="1"/>
  <c r="F193" i="1" l="1"/>
  <c r="E302" i="1" l="1"/>
  <c r="E292" i="1"/>
  <c r="F292" i="1"/>
  <c r="G292" i="1"/>
  <c r="H292" i="1"/>
  <c r="I292" i="1"/>
  <c r="J292" i="1"/>
  <c r="K292" i="1"/>
  <c r="L292" i="1"/>
  <c r="M292" i="1"/>
  <c r="N292" i="1"/>
  <c r="D292" i="1"/>
  <c r="N291" i="1"/>
  <c r="M291" i="1"/>
  <c r="L291" i="1"/>
  <c r="K291" i="1"/>
  <c r="J291" i="1"/>
  <c r="I291" i="1"/>
  <c r="H291" i="1"/>
  <c r="G291" i="1"/>
  <c r="F291" i="1"/>
  <c r="E291" i="1"/>
  <c r="D291" i="1"/>
  <c r="F271" i="1"/>
  <c r="F272" i="1" s="1"/>
  <c r="P276" i="1"/>
  <c r="E265" i="1"/>
  <c r="E264" i="1"/>
  <c r="H131" i="1"/>
  <c r="R275" i="1" l="1"/>
  <c r="R276" i="1"/>
  <c r="P275" i="1"/>
  <c r="H125" i="1"/>
  <c r="F106" i="1"/>
  <c r="H105" i="1"/>
  <c r="H106" i="1" s="1"/>
  <c r="F108" i="1"/>
  <c r="G105" i="1"/>
  <c r="G93" i="1"/>
  <c r="G96" i="1"/>
  <c r="E131" i="1"/>
  <c r="I278" i="1" l="1"/>
  <c r="R278" i="1" s="1"/>
  <c r="R274" i="1"/>
  <c r="I277" i="1"/>
  <c r="R277" i="1" s="1"/>
  <c r="I157" i="1"/>
  <c r="E236" i="1"/>
  <c r="F236" i="1"/>
  <c r="G236" i="1"/>
  <c r="H236" i="1"/>
  <c r="I236" i="1"/>
  <c r="J236" i="1"/>
  <c r="K236" i="1"/>
  <c r="L236" i="1"/>
  <c r="M236" i="1"/>
  <c r="N236" i="1"/>
  <c r="D236" i="1"/>
  <c r="E235" i="1"/>
  <c r="F235" i="1"/>
  <c r="G235" i="1"/>
  <c r="H235" i="1"/>
  <c r="I235" i="1"/>
  <c r="J235" i="1"/>
  <c r="K235" i="1"/>
  <c r="L235" i="1"/>
  <c r="M235" i="1"/>
  <c r="N235" i="1"/>
  <c r="D235" i="1"/>
  <c r="R279" i="1" l="1"/>
  <c r="C283" i="1" s="1"/>
  <c r="E286" i="1" s="1"/>
  <c r="F200" i="1"/>
  <c r="D184" i="1"/>
  <c r="D187" i="1" s="1"/>
  <c r="E184" i="1"/>
  <c r="G184" i="1"/>
  <c r="G187" i="1" s="1"/>
  <c r="H184" i="1"/>
  <c r="D183" i="1"/>
  <c r="D186" i="1" s="1"/>
  <c r="E183" i="1"/>
  <c r="E186" i="1" s="1"/>
  <c r="G183" i="1"/>
  <c r="G186" i="1" s="1"/>
  <c r="H183" i="1"/>
  <c r="O172" i="1"/>
  <c r="O174" i="1" s="1"/>
  <c r="O162" i="1"/>
  <c r="O166" i="1" s="1"/>
  <c r="Q166" i="1" s="1"/>
  <c r="S166" i="1" s="1"/>
  <c r="E145" i="1"/>
  <c r="E146" i="1"/>
  <c r="C149" i="1"/>
  <c r="C148" i="1"/>
  <c r="C48" i="1"/>
  <c r="C47" i="1"/>
  <c r="C141" i="1"/>
  <c r="C143" i="1"/>
  <c r="C145" i="1"/>
  <c r="C146" i="1"/>
  <c r="B141" i="1"/>
  <c r="B142" i="1"/>
  <c r="B143" i="1"/>
  <c r="B145" i="1"/>
  <c r="B146" i="1"/>
  <c r="B140" i="1"/>
  <c r="O168" i="1" l="1"/>
  <c r="Q168" i="1" s="1"/>
  <c r="S168" i="1" s="1"/>
  <c r="O164" i="1"/>
  <c r="Q164" i="1" s="1"/>
  <c r="S164" i="1" s="1"/>
  <c r="O165" i="1"/>
  <c r="Q165" i="1" s="1"/>
  <c r="S165" i="1" s="1"/>
  <c r="V165" i="1" s="1"/>
  <c r="O177" i="1"/>
  <c r="Q177" i="1" s="1"/>
  <c r="S177" i="1" s="1"/>
  <c r="O179" i="1"/>
  <c r="Q179" i="1" s="1"/>
  <c r="S179" i="1" s="1"/>
  <c r="V179" i="1" s="1"/>
  <c r="O175" i="1"/>
  <c r="Q175" i="1" s="1"/>
  <c r="S175" i="1" s="1"/>
  <c r="V175" i="1" s="1"/>
  <c r="O169" i="1"/>
  <c r="Q169" i="1" s="1"/>
  <c r="S169" i="1" s="1"/>
  <c r="V169" i="1" s="1"/>
  <c r="O167" i="1"/>
  <c r="Q167" i="1" s="1"/>
  <c r="S167" i="1" s="1"/>
  <c r="O178" i="1"/>
  <c r="Q178" i="1" s="1"/>
  <c r="S178" i="1" s="1"/>
  <c r="O176" i="1"/>
  <c r="Q176" i="1" s="1"/>
  <c r="S176" i="1" s="1"/>
  <c r="Q174" i="1"/>
  <c r="S174" i="1" s="1"/>
  <c r="G101" i="1"/>
  <c r="V170" i="1" l="1"/>
  <c r="V180" i="1"/>
  <c r="C163" i="1" l="1"/>
  <c r="C166" i="1" s="1"/>
  <c r="C173" i="1" s="1"/>
  <c r="C183" i="1" s="1"/>
  <c r="F186" i="1" s="1"/>
  <c r="K173" i="1"/>
  <c r="C80" i="1"/>
  <c r="D80" i="1"/>
  <c r="E80" i="1" s="1"/>
  <c r="C81" i="1"/>
  <c r="D81" i="1"/>
  <c r="C82" i="1"/>
  <c r="C83" i="1"/>
  <c r="C84" i="1"/>
  <c r="C79" i="1"/>
  <c r="G80" i="1" l="1"/>
  <c r="F80" i="1"/>
  <c r="H80" i="1"/>
  <c r="H84" i="1" s="1"/>
  <c r="D65" i="1"/>
  <c r="C55" i="1"/>
  <c r="C73" i="1" s="1"/>
  <c r="C56" i="1"/>
  <c r="C74" i="1" s="1"/>
  <c r="C57" i="1"/>
  <c r="C75" i="1" s="1"/>
  <c r="C59" i="1"/>
  <c r="C77" i="1" s="1"/>
  <c r="C60" i="1"/>
  <c r="C78" i="1" s="1"/>
  <c r="C54" i="1"/>
  <c r="C72" i="1" s="1"/>
  <c r="D43" i="1"/>
  <c r="D44" i="1"/>
  <c r="D45" i="1"/>
  <c r="D42" i="1"/>
  <c r="C43" i="1"/>
  <c r="C44" i="1"/>
  <c r="C45" i="1"/>
  <c r="C42" i="1"/>
  <c r="E42" i="1" l="1"/>
  <c r="E45" i="1"/>
  <c r="E43" i="1"/>
  <c r="C325" i="1"/>
  <c r="C326" i="1"/>
  <c r="E140" i="1"/>
  <c r="D78" i="1"/>
  <c r="G78" i="1" s="1"/>
  <c r="H60" i="1"/>
  <c r="F60" i="1"/>
  <c r="G60" i="1"/>
  <c r="E60" i="1"/>
  <c r="H65" i="1"/>
  <c r="F65" i="1"/>
  <c r="D83" i="1"/>
  <c r="G65" i="1"/>
  <c r="E65" i="1"/>
  <c r="D77" i="1"/>
  <c r="G77" i="1" s="1"/>
  <c r="E44" i="1"/>
  <c r="E49" i="1" s="1"/>
  <c r="E141" i="1"/>
  <c r="C327" i="1" l="1"/>
  <c r="D346" i="1" s="1"/>
  <c r="C271" i="1"/>
  <c r="C278" i="1" s="1"/>
  <c r="F83" i="1"/>
  <c r="E83" i="1"/>
  <c r="D54" i="1"/>
  <c r="G54" i="1" s="1"/>
  <c r="H42" i="1"/>
  <c r="I42" i="1" s="1"/>
  <c r="E77" i="1"/>
  <c r="H77" i="1"/>
  <c r="F77" i="1"/>
  <c r="H78" i="1"/>
  <c r="F78" i="1"/>
  <c r="E78" i="1"/>
  <c r="D64" i="1"/>
  <c r="E64" i="1" s="1"/>
  <c r="D57" i="1"/>
  <c r="H45" i="1"/>
  <c r="I45" i="1" s="1"/>
  <c r="D55" i="1"/>
  <c r="H43" i="1"/>
  <c r="I43" i="1" s="1"/>
  <c r="E142" i="1"/>
  <c r="C152" i="1" l="1"/>
  <c r="C169" i="1" s="1"/>
  <c r="I173" i="1" s="1"/>
  <c r="M173" i="1" s="1"/>
  <c r="I183" i="1" s="1"/>
  <c r="I186" i="1" s="1"/>
  <c r="I189" i="1" s="1"/>
  <c r="H57" i="1"/>
  <c r="F57" i="1"/>
  <c r="G57" i="1"/>
  <c r="E57" i="1"/>
  <c r="H64" i="1"/>
  <c r="H66" i="1" s="1"/>
  <c r="D66" i="1"/>
  <c r="C330" i="1"/>
  <c r="C332" i="1" s="1"/>
  <c r="C346" i="1" s="1"/>
  <c r="C348" i="1" s="1"/>
  <c r="C351" i="1" s="1"/>
  <c r="C354" i="1" s="1"/>
  <c r="D82" i="1"/>
  <c r="E82" i="1" s="1"/>
  <c r="D121" i="1"/>
  <c r="D118" i="1"/>
  <c r="I70" i="1"/>
  <c r="E66" i="1"/>
  <c r="F64" i="1"/>
  <c r="F66" i="1" s="1"/>
  <c r="E54" i="1"/>
  <c r="D72" i="1"/>
  <c r="H54" i="1"/>
  <c r="F54" i="1"/>
  <c r="G64" i="1"/>
  <c r="G66" i="1" s="1"/>
  <c r="H44" i="1"/>
  <c r="I44" i="1" s="1"/>
  <c r="I49" i="1" s="1"/>
  <c r="D56" i="1"/>
  <c r="H55" i="1"/>
  <c r="F55" i="1"/>
  <c r="D73" i="1"/>
  <c r="G55" i="1"/>
  <c r="E55" i="1"/>
  <c r="D75" i="1"/>
  <c r="C358" i="1" l="1"/>
  <c r="C356" i="1"/>
  <c r="F207" i="1"/>
  <c r="F206" i="1"/>
  <c r="I190" i="1"/>
  <c r="C209" i="1" s="1"/>
  <c r="H73" i="1"/>
  <c r="G73" i="1"/>
  <c r="F72" i="1"/>
  <c r="H72" i="1"/>
  <c r="G72" i="1"/>
  <c r="E72" i="1"/>
  <c r="H75" i="1"/>
  <c r="G75" i="1"/>
  <c r="E129" i="1"/>
  <c r="E132" i="1" s="1"/>
  <c r="E84" i="1"/>
  <c r="D84" i="1"/>
  <c r="G82" i="1"/>
  <c r="G84" i="1" s="1"/>
  <c r="F82" i="1"/>
  <c r="F84" i="1" s="1"/>
  <c r="P278" i="1"/>
  <c r="P279" i="1" s="1"/>
  <c r="C279" i="1" s="1"/>
  <c r="C132" i="1"/>
  <c r="C133" i="1" s="1"/>
  <c r="F75" i="1"/>
  <c r="E75" i="1"/>
  <c r="G56" i="1"/>
  <c r="G61" i="1" s="1"/>
  <c r="G67" i="1" s="1"/>
  <c r="E56" i="1"/>
  <c r="C199" i="1" s="1"/>
  <c r="D74" i="1"/>
  <c r="H56" i="1"/>
  <c r="H61" i="1" s="1"/>
  <c r="H67" i="1" s="1"/>
  <c r="F56" i="1"/>
  <c r="F61" i="1" s="1"/>
  <c r="F67" i="1" s="1"/>
  <c r="E61" i="1"/>
  <c r="E67" i="1" s="1"/>
  <c r="F73" i="1"/>
  <c r="E73" i="1"/>
  <c r="C192" i="1" l="1"/>
  <c r="C210" i="1"/>
  <c r="C193" i="1"/>
  <c r="C213" i="1" s="1"/>
  <c r="I193" i="1"/>
  <c r="H74" i="1"/>
  <c r="H79" i="1" s="1"/>
  <c r="H85" i="1" s="1"/>
  <c r="E74" i="1"/>
  <c r="E79" i="1" s="1"/>
  <c r="E85" i="1" s="1"/>
  <c r="G74" i="1"/>
  <c r="C134" i="1"/>
  <c r="E134" i="1" s="1"/>
  <c r="C198" i="1"/>
  <c r="C200" i="1" s="1"/>
  <c r="G79" i="1"/>
  <c r="G85" i="1" s="1"/>
  <c r="F74" i="1"/>
  <c r="F79" i="1" s="1"/>
  <c r="F85" i="1" s="1"/>
  <c r="C217" i="1" l="1"/>
  <c r="C215" i="1"/>
  <c r="C195" i="1"/>
  <c r="C280" i="1"/>
  <c r="C282" i="1" s="1"/>
  <c r="E285" i="1" s="1"/>
  <c r="E293" i="1" l="1"/>
  <c r="E294" i="1" s="1"/>
  <c r="F293" i="1"/>
  <c r="F294" i="1" s="1"/>
  <c r="D293" i="1"/>
  <c r="D294" i="1" s="1"/>
  <c r="H293" i="1"/>
  <c r="H294" i="1" s="1"/>
  <c r="K293" i="1"/>
  <c r="K294" i="1" s="1"/>
  <c r="L293" i="1"/>
  <c r="L294" i="1" s="1"/>
  <c r="G293" i="1"/>
  <c r="G294" i="1" s="1"/>
  <c r="N293" i="1"/>
  <c r="N294" i="1" s="1"/>
  <c r="J293" i="1"/>
  <c r="J294" i="1" s="1"/>
  <c r="M293" i="1"/>
  <c r="M294" i="1" s="1"/>
  <c r="I293" i="1"/>
  <c r="I294" i="1" s="1"/>
</calcChain>
</file>

<file path=xl/sharedStrings.xml><?xml version="1.0" encoding="utf-8"?>
<sst xmlns="http://schemas.openxmlformats.org/spreadsheetml/2006/main" count="703" uniqueCount="415">
  <si>
    <t>名称</t>
  </si>
  <si>
    <t>焦炭</t>
  </si>
  <si>
    <t>煤粉</t>
  </si>
  <si>
    <t>烧结矿</t>
  </si>
  <si>
    <t>球团矿</t>
  </si>
  <si>
    <t>锰矿</t>
  </si>
  <si>
    <t>萤石</t>
  </si>
  <si>
    <r>
      <t>湿料消耗</t>
    </r>
    <r>
      <rPr>
        <sz val="10.5"/>
        <color theme="1"/>
        <rFont val="Times New Roman"/>
        <family val="1"/>
      </rPr>
      <t>/(t/t)</t>
    </r>
  </si>
  <si>
    <r>
      <t>水分</t>
    </r>
    <r>
      <rPr>
        <sz val="10.5"/>
        <color theme="1"/>
        <rFont val="Times New Roman"/>
        <family val="1"/>
      </rPr>
      <t>/%</t>
    </r>
  </si>
  <si>
    <t>/</t>
  </si>
  <si>
    <r>
      <t>Fe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O</t>
    </r>
    <r>
      <rPr>
        <vertAlign val="subscript"/>
        <sz val="10.5"/>
        <color theme="1"/>
        <rFont val="Times New Roman"/>
        <family val="1"/>
      </rPr>
      <t>3</t>
    </r>
  </si>
  <si>
    <t>FeO</t>
  </si>
  <si>
    <r>
      <t>FeS</t>
    </r>
    <r>
      <rPr>
        <vertAlign val="subscript"/>
        <sz val="10.5"/>
        <color theme="1"/>
        <rFont val="Times New Roman"/>
        <family val="1"/>
      </rPr>
      <t>2</t>
    </r>
  </si>
  <si>
    <t>FeS</t>
  </si>
  <si>
    <r>
      <t>MnO</t>
    </r>
    <r>
      <rPr>
        <vertAlign val="subscript"/>
        <sz val="10.5"/>
        <color theme="1"/>
        <rFont val="Times New Roman"/>
        <family val="1"/>
      </rPr>
      <t>2</t>
    </r>
  </si>
  <si>
    <t>MnO</t>
  </si>
  <si>
    <r>
      <t>P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O</t>
    </r>
    <r>
      <rPr>
        <vertAlign val="subscript"/>
        <sz val="10.5"/>
        <color theme="1"/>
        <rFont val="Times New Roman"/>
        <family val="1"/>
      </rPr>
      <t>5</t>
    </r>
  </si>
  <si>
    <r>
      <t>SiO</t>
    </r>
    <r>
      <rPr>
        <vertAlign val="subscript"/>
        <sz val="10.5"/>
        <color theme="1"/>
        <rFont val="Times New Roman"/>
        <family val="1"/>
      </rPr>
      <t>2</t>
    </r>
  </si>
  <si>
    <r>
      <t>Al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O</t>
    </r>
    <r>
      <rPr>
        <vertAlign val="subscript"/>
        <sz val="10.5"/>
        <color theme="1"/>
        <rFont val="Times New Roman"/>
        <family val="1"/>
      </rPr>
      <t>3</t>
    </r>
  </si>
  <si>
    <t>CaO</t>
  </si>
  <si>
    <t>MgO</t>
  </si>
  <si>
    <r>
      <t>CO</t>
    </r>
    <r>
      <rPr>
        <vertAlign val="subscript"/>
        <sz val="10.5"/>
        <color theme="1"/>
        <rFont val="Times New Roman"/>
        <family val="1"/>
      </rPr>
      <t>2</t>
    </r>
  </si>
  <si>
    <r>
      <t>H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O</t>
    </r>
    <r>
      <rPr>
        <vertAlign val="subscript"/>
        <sz val="10.5"/>
        <color theme="1"/>
        <rFont val="宋体"/>
        <family val="3"/>
        <charset val="134"/>
      </rPr>
      <t>化</t>
    </r>
  </si>
  <si>
    <r>
      <t>C</t>
    </r>
    <r>
      <rPr>
        <vertAlign val="subscript"/>
        <sz val="10.5"/>
        <color theme="1"/>
        <rFont val="宋体"/>
        <family val="3"/>
        <charset val="134"/>
      </rPr>
      <t>全</t>
    </r>
  </si>
  <si>
    <t>S</t>
  </si>
  <si>
    <t>O</t>
  </si>
  <si>
    <t>H</t>
  </si>
  <si>
    <t>N</t>
  </si>
  <si>
    <t>合计</t>
  </si>
  <si>
    <t>SiO2</t>
  </si>
  <si>
    <t>Al2O3</t>
  </si>
  <si>
    <t>TiO2</t>
  </si>
  <si>
    <t>V2O5</t>
  </si>
  <si>
    <t>S/2</t>
  </si>
  <si>
    <t>Fe</t>
  </si>
  <si>
    <t>C</t>
  </si>
  <si>
    <t>Si</t>
  </si>
  <si>
    <t>Mn</t>
  </si>
  <si>
    <t>P</t>
  </si>
  <si>
    <t>Ti</t>
  </si>
  <si>
    <t>V</t>
  </si>
  <si>
    <t>产量/(kg/t)</t>
    <phoneticPr fontId="1" type="noConversion"/>
  </si>
  <si>
    <t>3.炉渣产量及消耗量</t>
    <phoneticPr fontId="1" type="noConversion"/>
  </si>
  <si>
    <t>Fe2O3</t>
  </si>
  <si>
    <t>P2O3</t>
  </si>
  <si>
    <t>CO2</t>
  </si>
  <si>
    <t>CO</t>
  </si>
  <si>
    <t>H2</t>
  </si>
  <si>
    <t>CH4</t>
  </si>
  <si>
    <t>N2</t>
  </si>
  <si>
    <t>第一部分：原始数据</t>
    <phoneticPr fontId="1" type="noConversion"/>
  </si>
  <si>
    <t>5.煤气产量及消耗量</t>
    <phoneticPr fontId="1" type="noConversion"/>
  </si>
  <si>
    <t>第二部分：计算部分</t>
    <phoneticPr fontId="1" type="noConversion"/>
  </si>
  <si>
    <t>1. 每吨生铁消耗的干料和炉料带入的水分</t>
    <phoneticPr fontId="1" type="noConversion"/>
  </si>
  <si>
    <t>炉料</t>
  </si>
  <si>
    <t>湿料消耗/Kg/t</t>
    <phoneticPr fontId="1" type="noConversion"/>
  </si>
  <si>
    <t>水分/%</t>
    <phoneticPr fontId="1" type="noConversion"/>
  </si>
  <si>
    <t>(物理水)/kg/t</t>
    <phoneticPr fontId="1" type="noConversion"/>
  </si>
  <si>
    <t>干料消耗/Kg/t</t>
    <phoneticPr fontId="1" type="noConversion"/>
  </si>
  <si>
    <t>水分/%</t>
    <phoneticPr fontId="1" type="noConversion"/>
  </si>
  <si>
    <t>(化学水)/Kg/t</t>
    <phoneticPr fontId="1" type="noConversion"/>
  </si>
  <si>
    <t>总水分量/Kg/t</t>
    <phoneticPr fontId="1" type="noConversion"/>
  </si>
  <si>
    <t>物料</t>
    <phoneticPr fontId="1" type="noConversion"/>
  </si>
  <si>
    <t>收入项</t>
    <phoneticPr fontId="1" type="noConversion"/>
  </si>
  <si>
    <t>干料消耗</t>
    <phoneticPr fontId="1" type="noConversion"/>
  </si>
  <si>
    <t>生铁</t>
    <phoneticPr fontId="1" type="noConversion"/>
  </si>
  <si>
    <t>回收铁</t>
    <phoneticPr fontId="1" type="noConversion"/>
  </si>
  <si>
    <t>炉渣</t>
    <phoneticPr fontId="1" type="noConversion"/>
  </si>
  <si>
    <t>炉尘</t>
    <phoneticPr fontId="1" type="noConversion"/>
  </si>
  <si>
    <t>支出项</t>
    <phoneticPr fontId="1" type="noConversion"/>
  </si>
  <si>
    <t>渣量</t>
    <phoneticPr fontId="1" type="noConversion"/>
  </si>
  <si>
    <t>合计</t>
    <phoneticPr fontId="1" type="noConversion"/>
  </si>
  <si>
    <t>合计</t>
    <phoneticPr fontId="1" type="noConversion"/>
  </si>
  <si>
    <t>误差</t>
    <phoneticPr fontId="1" type="noConversion"/>
  </si>
  <si>
    <t>2.造渣氧化物平衡和渣量</t>
    <phoneticPr fontId="1" type="noConversion"/>
  </si>
  <si>
    <t>3.生铁中Fe,Mn,S,P等元素的平衡及渣铁分配比和回收率</t>
    <phoneticPr fontId="1" type="noConversion"/>
  </si>
  <si>
    <t>Lfe</t>
    <phoneticPr fontId="1" type="noConversion"/>
  </si>
  <si>
    <t>Fe</t>
    <phoneticPr fontId="1" type="noConversion"/>
  </si>
  <si>
    <t>Mn</t>
    <phoneticPr fontId="1" type="noConversion"/>
  </si>
  <si>
    <t xml:space="preserve">S </t>
    <phoneticPr fontId="1" type="noConversion"/>
  </si>
  <si>
    <t>P</t>
    <phoneticPr fontId="1" type="noConversion"/>
  </si>
  <si>
    <t>LMn</t>
    <phoneticPr fontId="1" type="noConversion"/>
  </si>
  <si>
    <t>Ls</t>
    <phoneticPr fontId="1" type="noConversion"/>
  </si>
  <si>
    <t>（1）入炉总碳量（元素碳）</t>
    <phoneticPr fontId="1" type="noConversion"/>
  </si>
  <si>
    <t>（2）铁水中渗碳</t>
    <phoneticPr fontId="1" type="noConversion"/>
  </si>
  <si>
    <t>（3）炉尘带走碳</t>
    <phoneticPr fontId="1" type="noConversion"/>
  </si>
  <si>
    <t>C气化</t>
    <phoneticPr fontId="1" type="noConversion"/>
  </si>
  <si>
    <t>V煤气</t>
    <phoneticPr fontId="1" type="noConversion"/>
  </si>
  <si>
    <t>干料消耗/kg</t>
    <phoneticPr fontId="1" type="noConversion"/>
  </si>
  <si>
    <t>SiO2/kg</t>
    <phoneticPr fontId="1" type="noConversion"/>
  </si>
  <si>
    <t>CaO/kg</t>
    <phoneticPr fontId="1" type="noConversion"/>
  </si>
  <si>
    <t>Al2O3/kg</t>
    <phoneticPr fontId="1" type="noConversion"/>
  </si>
  <si>
    <t>MgO/kg</t>
    <phoneticPr fontId="1" type="noConversion"/>
  </si>
  <si>
    <t>kg/t</t>
    <phoneticPr fontId="1" type="noConversion"/>
  </si>
  <si>
    <t>Nm3/t</t>
  </si>
  <si>
    <t>Nm3/t</t>
    <phoneticPr fontId="1" type="noConversion"/>
  </si>
  <si>
    <t>炉料带入总氧量</t>
    <phoneticPr fontId="1" type="noConversion"/>
  </si>
  <si>
    <t>(2)炉料中H需氧量</t>
    <phoneticPr fontId="1" type="noConversion"/>
  </si>
  <si>
    <t>需要从鼓风中来的氧量</t>
    <phoneticPr fontId="1" type="noConversion"/>
  </si>
  <si>
    <t>Nm3/t</t>
    <phoneticPr fontId="1" type="noConversion"/>
  </si>
  <si>
    <t>富氧率</t>
    <phoneticPr fontId="1" type="noConversion"/>
  </si>
  <si>
    <t>%</t>
    <phoneticPr fontId="1" type="noConversion"/>
  </si>
  <si>
    <t>（1）渣量系数ui及已知项U1的计算</t>
    <phoneticPr fontId="1" type="noConversion"/>
  </si>
  <si>
    <t>原料</t>
    <phoneticPr fontId="1" type="noConversion"/>
  </si>
  <si>
    <t>渣量系数</t>
    <phoneticPr fontId="1" type="noConversion"/>
  </si>
  <si>
    <t>kg/kg</t>
    <phoneticPr fontId="1" type="noConversion"/>
  </si>
  <si>
    <t>煤粉</t>
    <phoneticPr fontId="1" type="noConversion"/>
  </si>
  <si>
    <t>锰矿</t>
    <phoneticPr fontId="1" type="noConversion"/>
  </si>
  <si>
    <t>萤石</t>
    <phoneticPr fontId="1" type="noConversion"/>
  </si>
  <si>
    <t>生铁渗碳</t>
    <phoneticPr fontId="1" type="noConversion"/>
  </si>
  <si>
    <t>炉尘带走碳</t>
    <phoneticPr fontId="1" type="noConversion"/>
  </si>
  <si>
    <t>kg</t>
    <phoneticPr fontId="1" type="noConversion"/>
  </si>
  <si>
    <t>用量</t>
    <phoneticPr fontId="1" type="noConversion"/>
  </si>
  <si>
    <t xml:space="preserve">  </t>
    <phoneticPr fontId="1" type="noConversion"/>
  </si>
  <si>
    <t>m3/kgC</t>
    <phoneticPr fontId="1" type="noConversion"/>
  </si>
  <si>
    <t>鼓风湿度</t>
    <phoneticPr fontId="1" type="noConversion"/>
  </si>
  <si>
    <t>高温区氢利用率</t>
    <phoneticPr fontId="1" type="noConversion"/>
  </si>
  <si>
    <t>kmol/kgC</t>
    <phoneticPr fontId="1" type="noConversion"/>
  </si>
  <si>
    <t>kmol</t>
    <phoneticPr fontId="1" type="noConversion"/>
  </si>
  <si>
    <t>燃烧1kg碳需风量Vb</t>
    <phoneticPr fontId="1" type="noConversion"/>
  </si>
  <si>
    <t>燃烧1kg碳由鼓风带入氢量VH2'</t>
    <phoneticPr fontId="1" type="noConversion"/>
  </si>
  <si>
    <t>喷吹煤粉带入还原氢量H2.r(M)</t>
    <phoneticPr fontId="1" type="noConversion"/>
  </si>
  <si>
    <t>鼓风中O2量(O2)b</t>
    <phoneticPr fontId="1" type="noConversion"/>
  </si>
  <si>
    <t>喷吹煤粉带入碳量Cb,M</t>
    <phoneticPr fontId="1" type="noConversion"/>
  </si>
  <si>
    <t>（3）高温区每千克风口碳的综合热量</t>
    <phoneticPr fontId="1" type="noConversion"/>
  </si>
  <si>
    <t>Cp=</t>
    <phoneticPr fontId="15" type="noConversion"/>
  </si>
  <si>
    <t>a</t>
    <phoneticPr fontId="15" type="noConversion"/>
  </si>
  <si>
    <t>+</t>
    <phoneticPr fontId="15" type="noConversion"/>
  </si>
  <si>
    <t>b</t>
    <phoneticPr fontId="15" type="noConversion"/>
  </si>
  <si>
    <t>*T</t>
  </si>
  <si>
    <t>CO2</t>
    <phoneticPr fontId="15" type="noConversion"/>
  </si>
  <si>
    <t>N2</t>
    <phoneticPr fontId="15" type="noConversion"/>
  </si>
  <si>
    <t>H2</t>
    <phoneticPr fontId="15" type="noConversion"/>
  </si>
  <si>
    <t>CO</t>
    <phoneticPr fontId="15" type="noConversion"/>
  </si>
  <si>
    <t>H2O</t>
    <phoneticPr fontId="15" type="noConversion"/>
  </si>
  <si>
    <t>O2</t>
    <phoneticPr fontId="15" type="noConversion"/>
  </si>
  <si>
    <t>干空气</t>
    <phoneticPr fontId="1" type="noConversion"/>
  </si>
  <si>
    <t>比热</t>
    <phoneticPr fontId="1" type="noConversion"/>
  </si>
  <si>
    <t>计算温度</t>
    <phoneticPr fontId="1" type="noConversion"/>
  </si>
  <si>
    <t>kJ/mol</t>
    <phoneticPr fontId="1" type="noConversion"/>
  </si>
  <si>
    <t>kJ/m3</t>
  </si>
  <si>
    <t>kJ/m3</t>
    <phoneticPr fontId="1" type="noConversion"/>
  </si>
  <si>
    <t>kcal/m3</t>
  </si>
  <si>
    <t>kcal/m3</t>
    <phoneticPr fontId="1" type="noConversion"/>
  </si>
  <si>
    <t>kcal/m3</t>
    <phoneticPr fontId="1" type="noConversion"/>
  </si>
  <si>
    <t>kJ/m3</t>
    <phoneticPr fontId="1" type="noConversion"/>
  </si>
  <si>
    <t>风温</t>
    <phoneticPr fontId="1" type="noConversion"/>
  </si>
  <si>
    <t>℃</t>
    <phoneticPr fontId="1" type="noConversion"/>
  </si>
  <si>
    <t>K</t>
    <phoneticPr fontId="1" type="noConversion"/>
  </si>
  <si>
    <t>kcal/kgC</t>
    <phoneticPr fontId="1" type="noConversion"/>
  </si>
  <si>
    <t>高温区1kg风口C热量qc.h</t>
    <phoneticPr fontId="1" type="noConversion"/>
  </si>
  <si>
    <t>焦炭因其灰分成渣的自身耗热qk</t>
    <phoneticPr fontId="1" type="noConversion"/>
  </si>
  <si>
    <t>1kg风口C鼓风带入氢还原耗热</t>
    <phoneticPr fontId="1" type="noConversion"/>
  </si>
  <si>
    <t>1kg焦炭提供给高温区综合热量q</t>
    <phoneticPr fontId="1" type="noConversion"/>
  </si>
  <si>
    <t>Qhdl</t>
    <phoneticPr fontId="1" type="noConversion"/>
  </si>
  <si>
    <t>利用系数</t>
    <phoneticPr fontId="1" type="noConversion"/>
  </si>
  <si>
    <t>T/(m3.d)</t>
    <phoneticPr fontId="1" type="noConversion"/>
  </si>
  <si>
    <t>kcal</t>
    <phoneticPr fontId="1" type="noConversion"/>
  </si>
  <si>
    <t>（5）列解联立方程</t>
    <phoneticPr fontId="1" type="noConversion"/>
  </si>
  <si>
    <t>1）热平衡方程</t>
    <phoneticPr fontId="1" type="noConversion"/>
  </si>
  <si>
    <t>-</t>
    <phoneticPr fontId="1" type="noConversion"/>
  </si>
  <si>
    <t>q</t>
    <phoneticPr fontId="1" type="noConversion"/>
  </si>
  <si>
    <r>
      <t>×C</t>
    </r>
    <r>
      <rPr>
        <sz val="9"/>
        <color theme="1"/>
        <rFont val="Calibri"/>
        <family val="3"/>
        <charset val="134"/>
        <scheme val="minor"/>
      </rPr>
      <t>b.k</t>
    </r>
    <phoneticPr fontId="1" type="noConversion"/>
  </si>
  <si>
    <r>
      <t>×C</t>
    </r>
    <r>
      <rPr>
        <sz val="9"/>
        <color theme="1"/>
        <rFont val="Calibri"/>
        <family val="3"/>
        <charset val="134"/>
        <scheme val="minor"/>
      </rPr>
      <t>dFe</t>
    </r>
    <phoneticPr fontId="1" type="noConversion"/>
  </si>
  <si>
    <t>=</t>
    <phoneticPr fontId="1" type="noConversion"/>
  </si>
  <si>
    <t>Qhdl</t>
    <phoneticPr fontId="1" type="noConversion"/>
  </si>
  <si>
    <r>
      <t>×C</t>
    </r>
    <r>
      <rPr>
        <sz val="9"/>
        <color theme="1"/>
        <rFont val="Calibri"/>
        <family val="3"/>
        <charset val="134"/>
        <scheme val="minor"/>
      </rPr>
      <t>dFe</t>
    </r>
    <phoneticPr fontId="1" type="noConversion"/>
  </si>
  <si>
    <r>
      <t>C</t>
    </r>
    <r>
      <rPr>
        <sz val="9"/>
        <color theme="1"/>
        <rFont val="Calibri"/>
        <family val="3"/>
        <charset val="134"/>
        <scheme val="minor"/>
      </rPr>
      <t>b.M</t>
    </r>
    <r>
      <rPr>
        <sz val="11"/>
        <color theme="1"/>
        <rFont val="Calibri"/>
        <family val="2"/>
        <charset val="134"/>
        <scheme val="minor"/>
      </rPr>
      <t>×q</t>
    </r>
    <r>
      <rPr>
        <sz val="9"/>
        <color theme="1"/>
        <rFont val="Calibri"/>
        <family val="3"/>
        <charset val="134"/>
        <scheme val="minor"/>
      </rPr>
      <t>c.h</t>
    </r>
    <phoneticPr fontId="1" type="noConversion"/>
  </si>
  <si>
    <t>矿石带入氧量</t>
    <phoneticPr fontId="1" type="noConversion"/>
  </si>
  <si>
    <t>OA1</t>
    <phoneticPr fontId="1" type="noConversion"/>
  </si>
  <si>
    <t>2)高温区碳氧平衡方程</t>
    <phoneticPr fontId="1" type="noConversion"/>
  </si>
  <si>
    <t>(1/(12*3.237)+VH2')</t>
    <phoneticPr fontId="1" type="noConversion"/>
  </si>
  <si>
    <t>+</t>
    <phoneticPr fontId="1" type="noConversion"/>
  </si>
  <si>
    <t>4.237/(12*3.237)</t>
    <phoneticPr fontId="1" type="noConversion"/>
  </si>
  <si>
    <t>OA2/16</t>
    <phoneticPr fontId="1" type="noConversion"/>
  </si>
  <si>
    <r>
      <t>H</t>
    </r>
    <r>
      <rPr>
        <sz val="9"/>
        <color theme="1"/>
        <rFont val="Calibri"/>
        <family val="3"/>
        <charset val="134"/>
        <scheme val="minor"/>
      </rPr>
      <t>2rM</t>
    </r>
    <phoneticPr fontId="1" type="noConversion"/>
  </si>
  <si>
    <r>
      <t>(C</t>
    </r>
    <r>
      <rPr>
        <sz val="9"/>
        <color theme="1"/>
        <rFont val="Calibri"/>
        <family val="3"/>
        <charset val="134"/>
        <scheme val="minor"/>
      </rPr>
      <t>b.M</t>
    </r>
    <r>
      <rPr>
        <sz val="11"/>
        <color theme="1"/>
        <rFont val="Calibri"/>
        <family val="2"/>
        <charset val="134"/>
        <scheme val="minor"/>
      </rPr>
      <t>+C</t>
    </r>
    <r>
      <rPr>
        <sz val="9"/>
        <color theme="1"/>
        <rFont val="Calibri"/>
        <family val="3"/>
        <charset val="134"/>
        <scheme val="minor"/>
      </rPr>
      <t>da</t>
    </r>
    <r>
      <rPr>
        <sz val="11"/>
        <color theme="1"/>
        <rFont val="Calibri"/>
        <family val="2"/>
        <charset val="134"/>
        <scheme val="minor"/>
      </rPr>
      <t>)/(12*3.237)</t>
    </r>
    <phoneticPr fontId="1" type="noConversion"/>
  </si>
  <si>
    <t>OA2</t>
    <phoneticPr fontId="1" type="noConversion"/>
  </si>
  <si>
    <t>合金元素还原耗碳Cda</t>
    <phoneticPr fontId="1" type="noConversion"/>
  </si>
  <si>
    <t>CdFe</t>
    <phoneticPr fontId="1" type="noConversion"/>
  </si>
  <si>
    <t>Cb.k</t>
    <phoneticPr fontId="1" type="noConversion"/>
  </si>
  <si>
    <r>
      <t>(3</t>
    </r>
    <r>
      <rPr>
        <sz val="11"/>
        <color theme="1"/>
        <rFont val="Calibri"/>
        <family val="2"/>
        <charset val="134"/>
        <scheme val="minor"/>
      </rPr>
      <t>030+q</t>
    </r>
    <r>
      <rPr>
        <sz val="10"/>
        <color theme="1"/>
        <rFont val="Calibri"/>
        <family val="3"/>
        <charset val="134"/>
        <scheme val="minor"/>
      </rPr>
      <t>k)</t>
    </r>
    <phoneticPr fontId="1" type="noConversion"/>
  </si>
  <si>
    <t>此时的焦比为</t>
    <phoneticPr fontId="1" type="noConversion"/>
  </si>
  <si>
    <t>考虑炉尘损失焦比为</t>
    <phoneticPr fontId="1" type="noConversion"/>
  </si>
  <si>
    <t>实际焦比</t>
    <phoneticPr fontId="1" type="noConversion"/>
  </si>
  <si>
    <t>&lt;---&gt;</t>
    <phoneticPr fontId="1" type="noConversion"/>
  </si>
  <si>
    <t>（6）碱度校核、溶剂用量及追加焦比计算</t>
    <phoneticPr fontId="1" type="noConversion"/>
  </si>
  <si>
    <t>进渣中的CaO</t>
    <phoneticPr fontId="1" type="noConversion"/>
  </si>
  <si>
    <t>进渣中的SiO2</t>
    <phoneticPr fontId="1" type="noConversion"/>
  </si>
  <si>
    <t>炉渣碱度R</t>
    <phoneticPr fontId="1" type="noConversion"/>
  </si>
  <si>
    <t>实际碱度</t>
    <phoneticPr fontId="1" type="noConversion"/>
  </si>
  <si>
    <t>原料中有锰矿和萤石，应该会增加焦比，具体计算还有待讨论！</t>
    <phoneticPr fontId="1" type="noConversion"/>
  </si>
  <si>
    <t>（7）直接还原度与煤气利用率的计算</t>
    <phoneticPr fontId="1" type="noConversion"/>
  </si>
  <si>
    <t>rd=</t>
    <phoneticPr fontId="1" type="noConversion"/>
  </si>
  <si>
    <t>rc=</t>
    <phoneticPr fontId="1" type="noConversion"/>
  </si>
  <si>
    <t>(16*CdFe)/(12*OA1)</t>
    <phoneticPr fontId="1" type="noConversion"/>
  </si>
  <si>
    <t>(16*CdFe)/(12*OA2)</t>
    <phoneticPr fontId="1" type="noConversion"/>
  </si>
  <si>
    <t>C氧化</t>
    <phoneticPr fontId="1" type="noConversion"/>
  </si>
  <si>
    <t>煤气利用率ηCO</t>
    <phoneticPr fontId="1" type="noConversion"/>
  </si>
  <si>
    <t>差值</t>
    <phoneticPr fontId="1" type="noConversion"/>
  </si>
  <si>
    <t>第四部分：直接还原度--碳消耗图解法——炼铁学教科书</t>
    <phoneticPr fontId="1" type="noConversion"/>
  </si>
  <si>
    <t>（1）作为还原剂消耗的碳素</t>
    <phoneticPr fontId="1" type="noConversion"/>
  </si>
  <si>
    <t>直接还原：</t>
    <phoneticPr fontId="1" type="noConversion"/>
  </si>
  <si>
    <t>FeO</t>
    <phoneticPr fontId="1" type="noConversion"/>
  </si>
  <si>
    <t>+</t>
    <phoneticPr fontId="1" type="noConversion"/>
  </si>
  <si>
    <t xml:space="preserve">C </t>
    <phoneticPr fontId="1" type="noConversion"/>
  </si>
  <si>
    <t>=</t>
    <phoneticPr fontId="1" type="noConversion"/>
  </si>
  <si>
    <t>Fe</t>
    <phoneticPr fontId="1" type="noConversion"/>
  </si>
  <si>
    <t>CO</t>
    <phoneticPr fontId="1" type="noConversion"/>
  </si>
  <si>
    <t>w(Cd)=</t>
    <phoneticPr fontId="1" type="noConversion"/>
  </si>
  <si>
    <r>
      <t>×C</t>
    </r>
    <r>
      <rPr>
        <sz val="9"/>
        <color theme="1"/>
        <rFont val="Calibri"/>
        <family val="3"/>
        <charset val="134"/>
        <scheme val="minor"/>
      </rPr>
      <t>dFe</t>
    </r>
    <phoneticPr fontId="1" type="noConversion"/>
  </si>
  <si>
    <t>rd</t>
    <phoneticPr fontId="1" type="noConversion"/>
  </si>
  <si>
    <t>12/56×w(Fe)×</t>
    <phoneticPr fontId="1" type="noConversion"/>
  </si>
  <si>
    <t>间接还原：</t>
    <phoneticPr fontId="1" type="noConversion"/>
  </si>
  <si>
    <t xml:space="preserve">nCO </t>
    <phoneticPr fontId="1" type="noConversion"/>
  </si>
  <si>
    <t>CO2</t>
    <phoneticPr fontId="1" type="noConversion"/>
  </si>
  <si>
    <t>(n-1)CO</t>
    <phoneticPr fontId="1" type="noConversion"/>
  </si>
  <si>
    <t>w(Ci)=</t>
    <phoneticPr fontId="1" type="noConversion"/>
  </si>
  <si>
    <t>n×12/56×w(Fe)×</t>
    <phoneticPr fontId="1" type="noConversion"/>
  </si>
  <si>
    <t>(1-rd)</t>
    <phoneticPr fontId="1" type="noConversion"/>
  </si>
  <si>
    <t>w(Cd)</t>
    <phoneticPr fontId="1" type="noConversion"/>
  </si>
  <si>
    <t>w(Ci)</t>
    <phoneticPr fontId="1" type="noConversion"/>
  </si>
  <si>
    <t>温度/℃</t>
    <phoneticPr fontId="1" type="noConversion"/>
  </si>
  <si>
    <t>过剩系数n</t>
    <phoneticPr fontId="1" type="noConversion"/>
  </si>
  <si>
    <t>过剩系数n随温度关系</t>
    <phoneticPr fontId="1" type="noConversion"/>
  </si>
  <si>
    <t>温度为1200℃的情况：</t>
    <phoneticPr fontId="1" type="noConversion"/>
  </si>
  <si>
    <t>（2）求解作为热量消耗的碳量</t>
    <phoneticPr fontId="1" type="noConversion"/>
  </si>
  <si>
    <t>用第二种法计算全炉热平衡</t>
    <phoneticPr fontId="1" type="noConversion"/>
  </si>
  <si>
    <t xml:space="preserve">1)风口前碳素燃烧放热  qC风 </t>
    <phoneticPr fontId="1" type="noConversion"/>
  </si>
  <si>
    <t xml:space="preserve">2)直接还原C氧化成CO　   qCd </t>
    <phoneticPr fontId="1" type="noConversion"/>
  </si>
  <si>
    <t>收      入      项</t>
  </si>
  <si>
    <t>支      出      项</t>
  </si>
  <si>
    <t>名      称</t>
  </si>
  <si>
    <t>kg/t铁</t>
  </si>
  <si>
    <t>生      铁</t>
  </si>
  <si>
    <t>炉      渣</t>
  </si>
  <si>
    <t>煤  气 (干)</t>
  </si>
  <si>
    <t>煤气中水分</t>
  </si>
  <si>
    <t>鼓      风</t>
  </si>
  <si>
    <t>炉      尘</t>
  </si>
  <si>
    <t>总      计</t>
  </si>
  <si>
    <t>总    计</t>
  </si>
  <si>
    <t>绝对误差</t>
  </si>
  <si>
    <t>相对误差</t>
  </si>
  <si>
    <t>生产高炉物料平衡表</t>
    <phoneticPr fontId="1" type="noConversion"/>
  </si>
  <si>
    <t>烧结矿</t>
    <phoneticPr fontId="1" type="noConversion"/>
  </si>
  <si>
    <t>球团矿</t>
    <phoneticPr fontId="1" type="noConversion"/>
  </si>
  <si>
    <t>焦炭</t>
    <phoneticPr fontId="1" type="noConversion"/>
  </si>
  <si>
    <t>喷吹煤粉</t>
    <phoneticPr fontId="1" type="noConversion"/>
  </si>
  <si>
    <t>V鼓风(湿风)</t>
    <phoneticPr fontId="1" type="noConversion"/>
  </si>
  <si>
    <t>鼓风(湿风)中氧气浓度</t>
    <phoneticPr fontId="1" type="noConversion"/>
  </si>
  <si>
    <t>鼓风(湿风)比重</t>
    <phoneticPr fontId="1" type="noConversion"/>
  </si>
  <si>
    <t>鼓风重量</t>
    <phoneticPr fontId="1" type="noConversion"/>
  </si>
  <si>
    <t>煤气比重</t>
    <phoneticPr fontId="1" type="noConversion"/>
  </si>
  <si>
    <t>kg/Nm3</t>
    <phoneticPr fontId="1" type="noConversion"/>
  </si>
  <si>
    <t>kg/t</t>
    <phoneticPr fontId="1" type="noConversion"/>
  </si>
  <si>
    <t>煤气重量</t>
    <phoneticPr fontId="1" type="noConversion"/>
  </si>
  <si>
    <t>kg</t>
    <phoneticPr fontId="1" type="noConversion"/>
  </si>
  <si>
    <t>还原生成H2O进入煤气</t>
    <phoneticPr fontId="1" type="noConversion"/>
  </si>
  <si>
    <t>kg</t>
    <phoneticPr fontId="1" type="noConversion"/>
  </si>
  <si>
    <t>不知是否正确</t>
    <phoneticPr fontId="1" type="noConversion"/>
  </si>
  <si>
    <t>1kg C</t>
    <phoneticPr fontId="1" type="noConversion"/>
  </si>
  <si>
    <t>C风口</t>
    <phoneticPr fontId="1" type="noConversion"/>
  </si>
  <si>
    <t>kg</t>
    <phoneticPr fontId="1" type="noConversion"/>
  </si>
  <si>
    <t>基本热工数据</t>
    <phoneticPr fontId="15" type="noConversion"/>
  </si>
  <si>
    <t>(1)碳素氧化C-&gt;CO</t>
    <phoneticPr fontId="15" type="noConversion"/>
  </si>
  <si>
    <t>kJ/kg C</t>
    <phoneticPr fontId="15" type="noConversion"/>
  </si>
  <si>
    <t>(2)CO-&gt;CO2</t>
    <phoneticPr fontId="15" type="noConversion"/>
  </si>
  <si>
    <t>kJ/Nm3</t>
    <phoneticPr fontId="15" type="noConversion"/>
  </si>
  <si>
    <t>kJ/kg</t>
    <phoneticPr fontId="15" type="noConversion"/>
  </si>
  <si>
    <t>(3)H2-&gt;H2O</t>
    <phoneticPr fontId="15" type="noConversion"/>
  </si>
  <si>
    <t>鼓风中O2</t>
    <phoneticPr fontId="1" type="noConversion"/>
  </si>
  <si>
    <t>鼓风中H2O</t>
    <phoneticPr fontId="1" type="noConversion"/>
  </si>
  <si>
    <t>鼓风中N2</t>
    <phoneticPr fontId="1" type="noConversion"/>
  </si>
  <si>
    <t>风中气体/mol</t>
    <phoneticPr fontId="1" type="noConversion"/>
  </si>
  <si>
    <t>所带热量</t>
    <phoneticPr fontId="1" type="noConversion"/>
  </si>
  <si>
    <t>kJ</t>
    <phoneticPr fontId="1" type="noConversion"/>
  </si>
  <si>
    <t>风温</t>
    <phoneticPr fontId="1" type="noConversion"/>
  </si>
  <si>
    <t>K</t>
    <phoneticPr fontId="1" type="noConversion"/>
  </si>
  <si>
    <t>直接还原耗碳量CdFe</t>
    <phoneticPr fontId="1" type="noConversion"/>
  </si>
  <si>
    <t>CdSi,Mn,P,S,V等</t>
    <phoneticPr fontId="1" type="noConversion"/>
  </si>
  <si>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family val="3"/>
        <charset val="134"/>
      </rPr>
      <t>）间接还原</t>
    </r>
    <r>
      <rPr>
        <sz val="10"/>
        <color indexed="8"/>
        <rFont val="Times New Roman"/>
        <family val="1"/>
      </rPr>
      <t>CO</t>
    </r>
    <r>
      <rPr>
        <sz val="10"/>
        <color indexed="8"/>
        <rFont val="宋体"/>
        <family val="3"/>
        <charset val="134"/>
      </rPr>
      <t>氧化成</t>
    </r>
    <r>
      <rPr>
        <sz val="10"/>
        <color indexed="8"/>
        <rFont val="Times New Roman"/>
        <family val="1"/>
      </rPr>
      <t xml:space="preserve">CO2    </t>
    </r>
    <r>
      <rPr>
        <sz val="10"/>
        <color indexed="8"/>
        <rFont val="宋体"/>
        <family val="3"/>
        <charset val="134"/>
      </rPr>
      <t>q</t>
    </r>
    <r>
      <rPr>
        <sz val="10"/>
        <color indexed="8"/>
        <rFont val="Times New Roman"/>
        <family val="1"/>
      </rPr>
      <t>iCO</t>
    </r>
    <phoneticPr fontId="15" type="noConversion"/>
  </si>
  <si>
    <r>
      <rPr>
        <sz val="10"/>
        <color indexed="8"/>
        <rFont val="Times New Roman"/>
        <family val="1"/>
      </rPr>
      <t>4)</t>
    </r>
    <r>
      <rPr>
        <sz val="10"/>
        <color indexed="8"/>
        <rFont val="宋体"/>
        <family val="3"/>
        <charset val="134"/>
      </rPr>
      <t>间接还原</t>
    </r>
    <r>
      <rPr>
        <sz val="10"/>
        <color indexed="8"/>
        <rFont val="Times New Roman"/>
        <family val="1"/>
      </rPr>
      <t>H2</t>
    </r>
    <r>
      <rPr>
        <sz val="10"/>
        <color indexed="8"/>
        <rFont val="宋体"/>
        <family val="3"/>
        <charset val="134"/>
      </rPr>
      <t>氧化成</t>
    </r>
    <r>
      <rPr>
        <sz val="10"/>
        <color indexed="8"/>
        <rFont val="Times New Roman"/>
        <family val="1"/>
      </rPr>
      <t>H2O</t>
    </r>
    <r>
      <rPr>
        <sz val="10"/>
        <color indexed="8"/>
        <rFont val="宋体"/>
        <family val="3"/>
        <charset val="134"/>
      </rPr>
      <t>　q</t>
    </r>
    <r>
      <rPr>
        <sz val="10"/>
        <color indexed="8"/>
        <rFont val="Times New Roman"/>
        <family val="1"/>
      </rPr>
      <t>iH2</t>
    </r>
    <r>
      <rPr>
        <sz val="10"/>
        <color indexed="8"/>
        <rFont val="宋体"/>
        <family val="3"/>
        <charset val="134"/>
      </rPr>
      <t xml:space="preserve"> </t>
    </r>
    <phoneticPr fontId="1" type="noConversion"/>
  </si>
  <si>
    <t xml:space="preserve">5)鼓风带入物理热　　 q热风 </t>
    <phoneticPr fontId="1" type="noConversion"/>
  </si>
  <si>
    <t>kJ/t</t>
    <phoneticPr fontId="1" type="noConversion"/>
  </si>
  <si>
    <t>间接还原的CO量</t>
    <phoneticPr fontId="1" type="noConversion"/>
  </si>
  <si>
    <t>Nm3</t>
    <phoneticPr fontId="1" type="noConversion"/>
  </si>
  <si>
    <t>间接还原的H2量</t>
    <phoneticPr fontId="1" type="noConversion"/>
  </si>
  <si>
    <t>Nm4</t>
  </si>
  <si>
    <t>总收入</t>
    <phoneticPr fontId="1" type="noConversion"/>
  </si>
  <si>
    <t>冶炼1kgFe需要的热量Q</t>
    <phoneticPr fontId="1" type="noConversion"/>
  </si>
  <si>
    <t>产量/(Nm3/t)</t>
    <phoneticPr fontId="1" type="noConversion"/>
  </si>
  <si>
    <t>kJ/kgFe</t>
    <phoneticPr fontId="1" type="noConversion"/>
  </si>
  <si>
    <t>风口前燃烧1kgC时热风带入的热量q风</t>
    <phoneticPr fontId="1" type="noConversion"/>
  </si>
  <si>
    <t>kJ/KgC</t>
    <phoneticPr fontId="1" type="noConversion"/>
  </si>
  <si>
    <t>1kgC需要风量</t>
    <phoneticPr fontId="1" type="noConversion"/>
  </si>
  <si>
    <t>Nm3/kgC</t>
    <phoneticPr fontId="1" type="noConversion"/>
  </si>
  <si>
    <t>1kgC需要鼓风</t>
    <phoneticPr fontId="1" type="noConversion"/>
  </si>
  <si>
    <t>1kgC需要鼓风热量</t>
    <phoneticPr fontId="1" type="noConversion"/>
  </si>
  <si>
    <t>A=(Q-5076)/(9800+q风)</t>
    <phoneticPr fontId="1" type="noConversion"/>
  </si>
  <si>
    <t>=</t>
    <phoneticPr fontId="1" type="noConversion"/>
  </si>
  <si>
    <t>w(C热)=</t>
    <phoneticPr fontId="1" type="noConversion"/>
  </si>
  <si>
    <t>A+Brd</t>
    <phoneticPr fontId="1" type="noConversion"/>
  </si>
  <si>
    <t>y = -0.8829x + 0.8829</t>
    <phoneticPr fontId="1" type="noConversion"/>
  </si>
  <si>
    <t>y = 0.2143x</t>
    <phoneticPr fontId="1" type="noConversion"/>
  </si>
  <si>
    <t>x=</t>
    <phoneticPr fontId="1" type="noConversion"/>
  </si>
  <si>
    <t>y=</t>
    <phoneticPr fontId="1" type="noConversion"/>
  </si>
  <si>
    <t>方程组</t>
    <phoneticPr fontId="1" type="noConversion"/>
  </si>
  <si>
    <t>从图可知既满足能量消耗和还原剂消耗的最低直接还原度rd=</t>
    <phoneticPr fontId="1" type="noConversion"/>
  </si>
  <si>
    <t>最低的燃料比为：</t>
    <phoneticPr fontId="1" type="noConversion"/>
  </si>
  <si>
    <t>报表中的燃料比为</t>
    <phoneticPr fontId="1" type="noConversion"/>
  </si>
  <si>
    <t>O</t>
    <phoneticPr fontId="1" type="noConversion"/>
  </si>
  <si>
    <t>最低的理论碳素消耗量为</t>
    <phoneticPr fontId="1" type="noConversion"/>
  </si>
  <si>
    <t>最低的理论焦比为</t>
    <phoneticPr fontId="1" type="noConversion"/>
  </si>
  <si>
    <t>最低的理论燃料比为</t>
    <phoneticPr fontId="1" type="noConversion"/>
  </si>
  <si>
    <t>最低的综合焦比为</t>
    <phoneticPr fontId="1" type="noConversion"/>
  </si>
  <si>
    <t>报表中的焦比为</t>
    <phoneticPr fontId="1" type="noConversion"/>
  </si>
  <si>
    <t>报表中的综合焦比为</t>
    <phoneticPr fontId="1" type="noConversion"/>
  </si>
  <si>
    <t>第五部分：Rist操作线方法计算理论焦比</t>
    <phoneticPr fontId="1" type="noConversion"/>
  </si>
  <si>
    <t>（1）计算三种来源的氧求出纵坐标m(O)/m(Fe)</t>
    <phoneticPr fontId="1" type="noConversion"/>
  </si>
  <si>
    <t>kg</t>
    <phoneticPr fontId="1" type="noConversion"/>
  </si>
  <si>
    <t>yA=</t>
    <phoneticPr fontId="1" type="noConversion"/>
  </si>
  <si>
    <t>1)铁氧化物还原夺取的氧</t>
    <phoneticPr fontId="1" type="noConversion"/>
  </si>
  <si>
    <t>铁氧化物中的O：</t>
    <phoneticPr fontId="1" type="noConversion"/>
  </si>
  <si>
    <t>铁氧化物中的Fe:</t>
    <phoneticPr fontId="1" type="noConversion"/>
  </si>
  <si>
    <t>2)少量元素还原夺取的氧</t>
    <phoneticPr fontId="1" type="noConversion"/>
  </si>
  <si>
    <t>铁水中的Fe:</t>
    <phoneticPr fontId="1" type="noConversion"/>
  </si>
  <si>
    <t>yf=</t>
    <phoneticPr fontId="1" type="noConversion"/>
  </si>
  <si>
    <t>3)风口前碳氧化夺取的氧</t>
    <phoneticPr fontId="1" type="noConversion"/>
  </si>
  <si>
    <t>w(CdSi,Mn,P,S)：</t>
    <phoneticPr fontId="1" type="noConversion"/>
  </si>
  <si>
    <t>w（C）风口：</t>
    <phoneticPr fontId="1" type="noConversion"/>
  </si>
  <si>
    <t>yb=</t>
    <phoneticPr fontId="1" type="noConversion"/>
  </si>
  <si>
    <t>（2）计算煤气的m(O)/m(C)</t>
    <phoneticPr fontId="1" type="noConversion"/>
  </si>
  <si>
    <t>煤气中的CO</t>
    <phoneticPr fontId="1" type="noConversion"/>
  </si>
  <si>
    <t>煤气中的CO2</t>
    <phoneticPr fontId="1" type="noConversion"/>
  </si>
  <si>
    <t>%</t>
    <phoneticPr fontId="1" type="noConversion"/>
  </si>
  <si>
    <t>xA=</t>
    <phoneticPr fontId="1" type="noConversion"/>
  </si>
  <si>
    <t>（3）绘制高炉操作线</t>
    <phoneticPr fontId="1" type="noConversion"/>
  </si>
  <si>
    <t>x</t>
    <phoneticPr fontId="1" type="noConversion"/>
  </si>
  <si>
    <t>y</t>
    <phoneticPr fontId="1" type="noConversion"/>
  </si>
  <si>
    <t>单位Fe原子消耗C原子=</t>
    <phoneticPr fontId="1" type="noConversion"/>
  </si>
  <si>
    <t>个</t>
    <phoneticPr fontId="1" type="noConversion"/>
  </si>
  <si>
    <t>最低的理论碳素消耗量为</t>
  </si>
  <si>
    <t>kg</t>
    <phoneticPr fontId="1" type="noConversion"/>
  </si>
  <si>
    <t>B=(5076+0.215q风)/(9800+q风)</t>
    <phoneticPr fontId="1" type="noConversion"/>
  </si>
  <si>
    <t>报表中的数值都明显小于理论计算值，说明现场数据不真实，有弄虚作假的嫌疑</t>
    <phoneticPr fontId="1" type="noConversion"/>
  </si>
  <si>
    <t>1. 原燃料消耗及其平均成分</t>
    <phoneticPr fontId="1" type="noConversion"/>
  </si>
  <si>
    <t>2.生铁产量及成分</t>
    <phoneticPr fontId="1" type="noConversion"/>
  </si>
  <si>
    <t>产量</t>
    <phoneticPr fontId="1" type="noConversion"/>
  </si>
  <si>
    <t>4.炉尘产量及消耗量</t>
    <phoneticPr fontId="1" type="noConversion"/>
  </si>
  <si>
    <t>6.冶炼条件</t>
    <phoneticPr fontId="1" type="noConversion"/>
  </si>
  <si>
    <t>TiO2</t>
    <phoneticPr fontId="1" type="noConversion"/>
  </si>
  <si>
    <t>V2O5</t>
    <phoneticPr fontId="1" type="noConversion"/>
  </si>
  <si>
    <t>CO2/(CO2+CO)</t>
    <phoneticPr fontId="1" type="noConversion"/>
  </si>
  <si>
    <t>产量/(kg/t)</t>
    <phoneticPr fontId="1" type="noConversion"/>
  </si>
  <si>
    <t>块矿</t>
    <phoneticPr fontId="1" type="noConversion"/>
  </si>
  <si>
    <t>报表中实际渣量：</t>
    <phoneticPr fontId="1" type="noConversion"/>
  </si>
  <si>
    <t>块矿</t>
    <phoneticPr fontId="1" type="noConversion"/>
  </si>
  <si>
    <t>sum</t>
    <phoneticPr fontId="1" type="noConversion"/>
  </si>
  <si>
    <t>块矿</t>
    <phoneticPr fontId="1" type="noConversion"/>
  </si>
  <si>
    <t>(1)焦炭带入氧量（能与C反应）</t>
    <phoneticPr fontId="1" type="noConversion"/>
  </si>
  <si>
    <t>（2）煤粉带入氧量（能与C反应）</t>
    <phoneticPr fontId="1" type="noConversion"/>
  </si>
  <si>
    <t>（3）烧结矿带入氧量（能与C反应）</t>
    <phoneticPr fontId="1" type="noConversion"/>
  </si>
  <si>
    <t>（4）球团矿带入氧量（能与C反应）</t>
    <phoneticPr fontId="1" type="noConversion"/>
  </si>
  <si>
    <t>（1）煤气需要氧量（碳燃烧）</t>
    <phoneticPr fontId="1" type="noConversion"/>
  </si>
  <si>
    <t>（煤气量只能计算）</t>
    <phoneticPr fontId="1" type="noConversion"/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</si>
  <si>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</si>
  <si>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湿料消耗</t>
    </r>
    <r>
      <rPr>
        <sz val="11"/>
        <color theme="1"/>
        <rFont val="Times New Roman"/>
        <family val="1"/>
      </rPr>
      <t>/(t/t)</t>
    </r>
  </si>
  <si>
    <r>
      <rPr>
        <sz val="11"/>
        <color theme="1"/>
        <rFont val="宋体"/>
        <family val="3"/>
        <charset val="134"/>
      </rPr>
      <t>水分</t>
    </r>
    <r>
      <rPr>
        <sz val="11"/>
        <color theme="1"/>
        <rFont val="Times New Roman"/>
        <family val="1"/>
      </rPr>
      <t>/%</t>
    </r>
  </si>
  <si>
    <r>
      <rPr>
        <sz val="11"/>
        <color theme="1"/>
        <rFont val="宋体"/>
        <family val="3"/>
        <charset val="134"/>
      </rPr>
      <t>干料消耗</t>
    </r>
    <r>
      <rPr>
        <sz val="11"/>
        <color theme="1"/>
        <rFont val="Times New Roman"/>
        <family val="1"/>
      </rPr>
      <t>/(kg/t)</t>
    </r>
    <phoneticPr fontId="1" type="noConversion"/>
  </si>
  <si>
    <r>
      <t>Fe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</si>
  <si>
    <r>
      <t>FeS</t>
    </r>
    <r>
      <rPr>
        <vertAlign val="subscript"/>
        <sz val="11"/>
        <color theme="1"/>
        <rFont val="Times New Roman"/>
        <family val="1"/>
      </rPr>
      <t>2</t>
    </r>
  </si>
  <si>
    <r>
      <t>MnO</t>
    </r>
    <r>
      <rPr>
        <vertAlign val="subscript"/>
        <sz val="11"/>
        <color theme="1"/>
        <rFont val="Times New Roman"/>
        <family val="1"/>
      </rPr>
      <t>2</t>
    </r>
  </si>
  <si>
    <r>
      <t>P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</t>
    </r>
  </si>
  <si>
    <r>
      <t>SiO</t>
    </r>
    <r>
      <rPr>
        <vertAlign val="subscript"/>
        <sz val="11"/>
        <color theme="1"/>
        <rFont val="Times New Roman"/>
        <family val="1"/>
      </rPr>
      <t>2</t>
    </r>
  </si>
  <si>
    <r>
      <t>Al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</si>
  <si>
    <r>
      <t>CO</t>
    </r>
    <r>
      <rPr>
        <vertAlign val="subscript"/>
        <sz val="11"/>
        <color theme="1"/>
        <rFont val="Times New Roman"/>
        <family val="1"/>
      </rPr>
      <t>2</t>
    </r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</si>
  <si>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宋体"/>
        <family val="3"/>
        <charset val="134"/>
      </rPr>
      <t>化</t>
    </r>
  </si>
  <si>
    <r>
      <t>C</t>
    </r>
    <r>
      <rPr>
        <vertAlign val="subscript"/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</si>
  <si>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合计</t>
    </r>
    <phoneticPr fontId="1" type="noConversion"/>
  </si>
  <si>
    <r>
      <rPr>
        <sz val="11"/>
        <color theme="1"/>
        <rFont val="宋体"/>
        <family val="3"/>
        <charset val="134"/>
      </rPr>
      <t>焦炭</t>
    </r>
  </si>
  <si>
    <r>
      <rPr>
        <sz val="11"/>
        <color theme="1"/>
        <rFont val="宋体"/>
        <family val="3"/>
        <charset val="134"/>
      </rPr>
      <t>煤粉</t>
    </r>
  </si>
  <si>
    <r>
      <rPr>
        <sz val="11"/>
        <color theme="1"/>
        <rFont val="宋体"/>
        <family val="3"/>
        <charset val="134"/>
      </rPr>
      <t>烧结矿</t>
    </r>
  </si>
  <si>
    <r>
      <rPr>
        <sz val="11"/>
        <color theme="1"/>
        <rFont val="宋体"/>
        <family val="3"/>
        <charset val="134"/>
      </rPr>
      <t>球团矿</t>
    </r>
  </si>
  <si>
    <r>
      <rPr>
        <sz val="11"/>
        <color theme="1"/>
        <rFont val="宋体"/>
        <family val="3"/>
        <charset val="134"/>
      </rPr>
      <t>块矿</t>
    </r>
    <phoneticPr fontId="1" type="noConversion"/>
  </si>
  <si>
    <r>
      <rPr>
        <sz val="11"/>
        <color theme="1"/>
        <rFont val="宋体"/>
        <family val="3"/>
        <charset val="134"/>
      </rPr>
      <t>锰矿</t>
    </r>
  </si>
  <si>
    <r>
      <rPr>
        <sz val="11"/>
        <color theme="1"/>
        <rFont val="宋体"/>
        <family val="3"/>
        <charset val="134"/>
      </rPr>
      <t>萤石</t>
    </r>
  </si>
  <si>
    <t>sum</t>
    <phoneticPr fontId="1" type="noConversion"/>
  </si>
  <si>
    <t>&lt;--&gt;报表中的风量：</t>
    <phoneticPr fontId="1" type="noConversion"/>
  </si>
  <si>
    <t>1222.46 m3/t</t>
    <phoneticPr fontId="1" type="noConversion"/>
  </si>
  <si>
    <t>(6)合金元素氧残留W(O)Si,Mn,P,S</t>
    <phoneticPr fontId="1" type="noConversion"/>
  </si>
  <si>
    <t>（7）炉渣带走</t>
    <phoneticPr fontId="1" type="noConversion"/>
  </si>
  <si>
    <t>（8）炉尘带走</t>
    <phoneticPr fontId="1" type="noConversion"/>
  </si>
  <si>
    <t>(5)块矿带入氧量</t>
    <phoneticPr fontId="1" type="noConversion"/>
  </si>
  <si>
    <t>块矿</t>
    <phoneticPr fontId="1" type="noConversion"/>
  </si>
  <si>
    <r>
      <t xml:space="preserve">4.煤气量和风量计算 </t>
    </r>
    <r>
      <rPr>
        <sz val="14"/>
        <color rgb="FF00B0F0"/>
        <rFont val="Calibri"/>
        <family val="3"/>
        <charset val="134"/>
        <scheme val="minor"/>
      </rPr>
      <t>&lt;注：需要用到报表中的焦比</t>
    </r>
    <phoneticPr fontId="1" type="noConversion"/>
  </si>
  <si>
    <r>
      <t>第三部分：炼铁焦比联合计算法--那树人方法</t>
    </r>
    <r>
      <rPr>
        <b/>
        <sz val="16"/>
        <color rgb="FFFF0000"/>
        <rFont val="Calibri"/>
        <family val="3"/>
        <charset val="134"/>
        <scheme val="minor"/>
      </rPr>
      <t>&lt;注：也需要用到报表中的焦比，不怎么科学</t>
    </r>
    <phoneticPr fontId="1" type="noConversion"/>
  </si>
  <si>
    <t>有些问题，都偏高</t>
    <phoneticPr fontId="1" type="noConversion"/>
  </si>
  <si>
    <t>报表中风量：</t>
    <phoneticPr fontId="1" type="noConversion"/>
  </si>
  <si>
    <t>m3/t</t>
    <phoneticPr fontId="1" type="noConversion"/>
  </si>
  <si>
    <t>（煤气量也是由报表中焦比计算的）</t>
    <phoneticPr fontId="1" type="noConversion"/>
  </si>
  <si>
    <r>
      <t>解</t>
    </r>
    <r>
      <rPr>
        <sz val="11"/>
        <color rgb="FFFF0000"/>
        <rFont val="Calibri"/>
        <family val="3"/>
        <charset val="134"/>
        <scheme val="minor"/>
      </rPr>
      <t>（需手工输入）</t>
    </r>
    <phoneticPr fontId="1" type="noConversion"/>
  </si>
  <si>
    <t>y = 0.3958x + 0.361</t>
    <phoneticPr fontId="1" type="noConversion"/>
  </si>
  <si>
    <t>（已经加了渗碳和其它元素还原消耗）</t>
    <phoneticPr fontId="1" type="noConversion"/>
  </si>
  <si>
    <t>&lt;--&gt;</t>
    <phoneticPr fontId="1" type="noConversion"/>
  </si>
  <si>
    <t>w(C热)</t>
    <phoneticPr fontId="1" type="noConversion"/>
  </si>
  <si>
    <t>w(C热)+f(Cfe+Cds…）</t>
    <phoneticPr fontId="1" type="noConversion"/>
  </si>
  <si>
    <t>f(Cfe+Cds…)=</t>
    <phoneticPr fontId="1" type="noConversion"/>
  </si>
  <si>
    <t>------------------------</t>
    <phoneticPr fontId="1" type="noConversion"/>
  </si>
  <si>
    <t>396kg/t</t>
    <phoneticPr fontId="1" type="noConversion"/>
  </si>
  <si>
    <t>（2）煤粉中还原氢量的计算</t>
    <phoneticPr fontId="1" type="noConversion"/>
  </si>
  <si>
    <t>（4）高温区已知项的热耗</t>
    <phoneticPr fontId="1" type="noConversion"/>
  </si>
  <si>
    <t>已知项渣量U1</t>
    <phoneticPr fontId="1" type="noConversion"/>
  </si>
  <si>
    <t>Blast Furnace Calculation</t>
  </si>
  <si>
    <t>Kejiang Li of USTB, Contact: likejiang@ustb.edu.cn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</si>
</sst>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_ "/>
    <numFmt numFmtId="165" formatCode="0.00_ "/>
    <numFmt numFmtId="166" formatCode="0.000_);[Red]\(0.000\)"/>
    <numFmt numFmtId="167" formatCode="0.00_);[Red]\(0.00\)"/>
    <numFmt numFmtId="168" formatCode="0_);[Red]\(0\)"/>
    <numFmt numFmtId="169" formatCode="0.000_ "/>
  </numFmts>
  <fonts count="3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22"/>
      <color theme="1"/>
      <name val="Calibri"/>
      <family val="2"/>
      <charset val="134"/>
      <scheme val="minor"/>
    </font>
    <font>
      <sz val="22"/>
      <color theme="1"/>
      <name val="Calibri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vertAlign val="subscript"/>
      <sz val="10.5"/>
      <color theme="1"/>
      <name val="Times New Roman"/>
      <family val="1"/>
    </font>
    <font>
      <vertAlign val="subscript"/>
      <sz val="10.5"/>
      <color theme="1"/>
      <name val="宋体"/>
      <family val="3"/>
      <charset val="134"/>
    </font>
    <font>
      <b/>
      <sz val="16"/>
      <color rgb="FF92D05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2"/>
      <charset val="134"/>
    </font>
    <font>
      <sz val="14"/>
      <color rgb="FF00B0F0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theme="5" tint="-0.249977111117893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theme="9" tint="-0.499984740745262"/>
      </left>
      <right style="thin">
        <color auto="1"/>
      </right>
      <top style="medium">
        <color theme="9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 style="thin">
        <color auto="1"/>
      </bottom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 style="thin">
        <color auto="1"/>
      </bottom>
      <diagonal/>
    </border>
    <border>
      <left style="medium">
        <color theme="9" tint="-0.499984740745262"/>
      </left>
      <right style="thin">
        <color auto="1"/>
      </right>
      <top style="thin">
        <color auto="1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9" tint="-0.499984740745262"/>
      </bottom>
      <diagonal/>
    </border>
    <border>
      <left style="thin">
        <color auto="1"/>
      </left>
      <right style="medium">
        <color theme="9" tint="-0.499984740745262"/>
      </right>
      <top style="thin">
        <color auto="1"/>
      </top>
      <bottom style="medium">
        <color theme="9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/>
      <top style="double">
        <color theme="9" tint="-0.499984740745262"/>
      </top>
      <bottom style="double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30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8" borderId="13" xfId="0" applyFill="1" applyBorder="1">
      <alignment vertical="center"/>
    </xf>
    <xf numFmtId="0" fontId="0" fillId="8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 applyAlignment="1">
      <alignment horizont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0" xfId="0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12" xfId="0" applyFill="1" applyBorder="1">
      <alignment vertical="center"/>
    </xf>
    <xf numFmtId="0" fontId="0" fillId="9" borderId="13" xfId="0" applyFill="1" applyBorder="1">
      <alignment vertical="center"/>
    </xf>
    <xf numFmtId="0" fontId="0" fillId="12" borderId="8" xfId="0" applyFill="1" applyBorder="1" applyAlignment="1">
      <alignment vertical="center" wrapText="1"/>
    </xf>
    <xf numFmtId="0" fontId="0" fillId="12" borderId="1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18" fillId="0" borderId="6" xfId="0" applyFont="1" applyBorder="1">
      <alignment vertical="center"/>
    </xf>
    <xf numFmtId="0" fontId="0" fillId="0" borderId="6" xfId="0" applyBorder="1" applyAlignment="1">
      <alignment horizontal="center"/>
    </xf>
    <xf numFmtId="0" fontId="0" fillId="12" borderId="12" xfId="0" applyFill="1" applyBorder="1">
      <alignment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vertical="center" wrapText="1"/>
    </xf>
    <xf numFmtId="0" fontId="0" fillId="0" borderId="37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>
      <alignment vertical="center"/>
    </xf>
    <xf numFmtId="0" fontId="19" fillId="13" borderId="33" xfId="0" applyFont="1" applyFill="1" applyBorder="1">
      <alignment vertical="center"/>
    </xf>
    <xf numFmtId="0" fontId="19" fillId="13" borderId="34" xfId="0" applyFont="1" applyFill="1" applyBorder="1">
      <alignment vertical="center"/>
    </xf>
    <xf numFmtId="0" fontId="19" fillId="13" borderId="35" xfId="0" applyFont="1" applyFill="1" applyBorder="1">
      <alignment vertical="center"/>
    </xf>
    <xf numFmtId="0" fontId="19" fillId="13" borderId="36" xfId="0" applyFont="1" applyFill="1" applyBorder="1">
      <alignment vertical="center"/>
    </xf>
    <xf numFmtId="0" fontId="19" fillId="13" borderId="37" xfId="0" applyFont="1" applyFill="1" applyBorder="1">
      <alignment vertical="center"/>
    </xf>
    <xf numFmtId="0" fontId="19" fillId="13" borderId="38" xfId="0" applyFont="1" applyFill="1" applyBorder="1">
      <alignment vertical="center"/>
    </xf>
    <xf numFmtId="0" fontId="0" fillId="14" borderId="11" xfId="0" applyFill="1" applyBorder="1">
      <alignment vertical="center"/>
    </xf>
    <xf numFmtId="0" fontId="0" fillId="14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0" fontId="0" fillId="0" borderId="12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0" fillId="0" borderId="0" xfId="0" applyFont="1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1" fillId="0" borderId="9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24" fillId="0" borderId="8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52" xfId="0" applyBorder="1" applyAlignment="1">
      <alignment vertical="center" wrapText="1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15" borderId="55" xfId="0" applyFill="1" applyBorder="1" applyAlignment="1">
      <alignment horizontal="center" vertical="center" wrapText="1"/>
    </xf>
    <xf numFmtId="0" fontId="0" fillId="15" borderId="56" xfId="0" applyFill="1" applyBorder="1" applyAlignment="1">
      <alignment horizontal="center" vertical="center"/>
    </xf>
    <xf numFmtId="0" fontId="0" fillId="15" borderId="57" xfId="0" applyFill="1" applyBorder="1" applyAlignment="1">
      <alignment horizontal="center" vertical="center"/>
    </xf>
    <xf numFmtId="0" fontId="0" fillId="14" borderId="58" xfId="0" applyFill="1" applyBorder="1">
      <alignment vertical="center"/>
    </xf>
    <xf numFmtId="0" fontId="0" fillId="14" borderId="59" xfId="0" applyFill="1" applyBorder="1">
      <alignment vertical="center"/>
    </xf>
    <xf numFmtId="0" fontId="0" fillId="14" borderId="6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8" xfId="0" applyFont="1" applyBorder="1" applyAlignment="1"/>
    <xf numFmtId="0" fontId="23" fillId="0" borderId="10" xfId="0" applyFont="1" applyBorder="1" applyAlignment="1"/>
    <xf numFmtId="0" fontId="23" fillId="0" borderId="11" xfId="0" applyFont="1" applyBorder="1" applyAlignment="1"/>
    <xf numFmtId="0" fontId="23" fillId="0" borderId="13" xfId="0" applyFont="1" applyBorder="1" applyAlignment="1"/>
    <xf numFmtId="0" fontId="0" fillId="15" borderId="0" xfId="0" applyFill="1">
      <alignment vertical="center"/>
    </xf>
    <xf numFmtId="0" fontId="0" fillId="15" borderId="45" xfId="0" applyFill="1" applyBorder="1">
      <alignment vertical="center"/>
    </xf>
    <xf numFmtId="0" fontId="0" fillId="15" borderId="46" xfId="0" applyFill="1" applyBorder="1">
      <alignment vertical="center"/>
    </xf>
    <xf numFmtId="0" fontId="0" fillId="15" borderId="47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6" fontId="0" fillId="3" borderId="11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0" fontId="0" fillId="10" borderId="12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27" fillId="4" borderId="6" xfId="0" applyNumberFormat="1" applyFont="1" applyFill="1" applyBorder="1" applyAlignment="1">
      <alignment horizontal="center" vertical="center"/>
    </xf>
    <xf numFmtId="167" fontId="27" fillId="0" borderId="9" xfId="0" applyNumberFormat="1" applyFont="1" applyBorder="1" applyAlignment="1">
      <alignment horizontal="center" vertical="center"/>
    </xf>
    <xf numFmtId="167" fontId="27" fillId="0" borderId="10" xfId="0" applyNumberFormat="1" applyFont="1" applyBorder="1" applyAlignment="1">
      <alignment horizontal="center" vertical="center"/>
    </xf>
    <xf numFmtId="167" fontId="27" fillId="4" borderId="9" xfId="0" applyNumberFormat="1" applyFont="1" applyFill="1" applyBorder="1" applyAlignment="1">
      <alignment horizontal="center" vertical="center"/>
    </xf>
    <xf numFmtId="167" fontId="27" fillId="4" borderId="12" xfId="0" applyNumberFormat="1" applyFont="1" applyFill="1" applyBorder="1" applyAlignment="1">
      <alignment horizontal="center" vertical="center"/>
    </xf>
    <xf numFmtId="167" fontId="27" fillId="0" borderId="13" xfId="0" applyNumberFormat="1" applyFont="1" applyBorder="1" applyAlignment="1">
      <alignment horizontal="center" vertical="center"/>
    </xf>
    <xf numFmtId="167" fontId="27" fillId="0" borderId="5" xfId="0" applyNumberFormat="1" applyFont="1" applyBorder="1" applyAlignment="1">
      <alignment horizontal="center" vertical="center" wrapText="1"/>
    </xf>
    <xf numFmtId="167" fontId="27" fillId="0" borderId="6" xfId="0" applyNumberFormat="1" applyFont="1" applyBorder="1" applyAlignment="1">
      <alignment horizontal="center" vertical="center" wrapText="1"/>
    </xf>
    <xf numFmtId="167" fontId="27" fillId="3" borderId="6" xfId="0" applyNumberFormat="1" applyFont="1" applyFill="1" applyBorder="1" applyAlignment="1">
      <alignment horizontal="center" vertical="center" wrapText="1"/>
    </xf>
    <xf numFmtId="167" fontId="27" fillId="0" borderId="7" xfId="0" applyNumberFormat="1" applyFont="1" applyBorder="1" applyAlignment="1">
      <alignment horizontal="center" vertical="center" wrapText="1"/>
    </xf>
    <xf numFmtId="167" fontId="27" fillId="0" borderId="8" xfId="0" applyNumberFormat="1" applyFont="1" applyBorder="1" applyAlignment="1">
      <alignment horizontal="center" vertical="center" wrapText="1"/>
    </xf>
    <xf numFmtId="167" fontId="27" fillId="0" borderId="9" xfId="0" applyNumberFormat="1" applyFont="1" applyBorder="1" applyAlignment="1">
      <alignment horizontal="center" vertical="center" wrapText="1"/>
    </xf>
    <xf numFmtId="167" fontId="27" fillId="3" borderId="9" xfId="0" applyNumberFormat="1" applyFont="1" applyFill="1" applyBorder="1" applyAlignment="1">
      <alignment horizontal="center" vertical="center" wrapText="1"/>
    </xf>
    <xf numFmtId="167" fontId="27" fillId="0" borderId="11" xfId="0" applyNumberFormat="1" applyFont="1" applyBorder="1" applyAlignment="1">
      <alignment horizontal="center" vertical="center" wrapText="1"/>
    </xf>
    <xf numFmtId="167" fontId="27" fillId="0" borderId="12" xfId="0" applyNumberFormat="1" applyFont="1" applyBorder="1" applyAlignment="1">
      <alignment horizontal="center" vertical="center" wrapText="1"/>
    </xf>
    <xf numFmtId="167" fontId="27" fillId="3" borderId="12" xfId="0" applyNumberFormat="1" applyFont="1" applyFill="1" applyBorder="1" applyAlignment="1">
      <alignment horizontal="center" vertical="center" wrapText="1"/>
    </xf>
    <xf numFmtId="167" fontId="0" fillId="0" borderId="6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13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67" fontId="0" fillId="0" borderId="5" xfId="0" applyNumberFormat="1" applyBorder="1">
      <alignment vertical="center"/>
    </xf>
    <xf numFmtId="167" fontId="0" fillId="0" borderId="6" xfId="0" applyNumberFormat="1" applyBorder="1">
      <alignment vertical="center"/>
    </xf>
    <xf numFmtId="167" fontId="0" fillId="0" borderId="7" xfId="0" applyNumberFormat="1" applyBorder="1">
      <alignment vertical="center"/>
    </xf>
    <xf numFmtId="167" fontId="0" fillId="0" borderId="8" xfId="0" applyNumberFormat="1" applyBorder="1">
      <alignment vertical="center"/>
    </xf>
    <xf numFmtId="167" fontId="0" fillId="0" borderId="9" xfId="0" applyNumberFormat="1" applyBorder="1">
      <alignment vertical="center"/>
    </xf>
    <xf numFmtId="167" fontId="0" fillId="0" borderId="9" xfId="0" applyNumberFormat="1" applyBorder="1" applyAlignment="1">
      <alignment horizontal="left" vertical="center"/>
    </xf>
    <xf numFmtId="167" fontId="0" fillId="0" borderId="10" xfId="0" applyNumberFormat="1" applyBorder="1">
      <alignment vertical="center"/>
    </xf>
    <xf numFmtId="167" fontId="0" fillId="0" borderId="11" xfId="0" applyNumberFormat="1" applyBorder="1">
      <alignment vertical="center"/>
    </xf>
    <xf numFmtId="167" fontId="0" fillId="0" borderId="12" xfId="0" applyNumberFormat="1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167" fontId="0" fillId="0" borderId="5" xfId="0" applyNumberFormat="1" applyBorder="1" applyAlignment="1">
      <alignment horizontal="center" vertical="center"/>
    </xf>
    <xf numFmtId="167" fontId="0" fillId="5" borderId="9" xfId="0" applyNumberForma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0" xfId="0" applyNumberFormat="1" applyFill="1" applyBorder="1" applyAlignment="1">
      <alignment horizontal="center" vertical="center"/>
    </xf>
    <xf numFmtId="165" fontId="0" fillId="0" borderId="6" xfId="0" applyNumberFormat="1" applyBorder="1">
      <alignment vertical="center"/>
    </xf>
    <xf numFmtId="165" fontId="0" fillId="0" borderId="9" xfId="0" applyNumberFormat="1" applyBorder="1">
      <alignment vertical="center"/>
    </xf>
    <xf numFmtId="165" fontId="0" fillId="7" borderId="9" xfId="0" applyNumberFormat="1" applyFill="1" applyBorder="1">
      <alignment vertical="center"/>
    </xf>
    <xf numFmtId="165" fontId="0" fillId="8" borderId="12" xfId="0" applyNumberFormat="1" applyFill="1" applyBorder="1">
      <alignment vertical="center"/>
    </xf>
    <xf numFmtId="165" fontId="0" fillId="0" borderId="0" xfId="0" applyNumberFormat="1">
      <alignment vertical="center"/>
    </xf>
    <xf numFmtId="165" fontId="0" fillId="8" borderId="9" xfId="0" applyNumberFormat="1" applyFill="1" applyBorder="1">
      <alignment vertical="center"/>
    </xf>
    <xf numFmtId="165" fontId="0" fillId="0" borderId="23" xfId="0" applyNumberFormat="1" applyBorder="1">
      <alignment vertical="center"/>
    </xf>
    <xf numFmtId="165" fontId="0" fillId="6" borderId="12" xfId="0" applyNumberFormat="1" applyFill="1" applyBorder="1">
      <alignment vertical="center"/>
    </xf>
    <xf numFmtId="0" fontId="19" fillId="15" borderId="0" xfId="0" applyFont="1" applyFill="1">
      <alignment vertical="center"/>
    </xf>
    <xf numFmtId="0" fontId="19" fillId="15" borderId="0" xfId="0" applyFont="1" applyFill="1" applyAlignment="1">
      <alignment horizontal="right" vertical="center"/>
    </xf>
    <xf numFmtId="168" fontId="19" fillId="15" borderId="0" xfId="0" applyNumberFormat="1" applyFont="1" applyFill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67" fontId="18" fillId="0" borderId="9" xfId="0" applyNumberFormat="1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165" fontId="18" fillId="0" borderId="68" xfId="0" applyNumberFormat="1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167" fontId="18" fillId="0" borderId="56" xfId="0" applyNumberFormat="1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10" fontId="18" fillId="0" borderId="57" xfId="0" applyNumberFormat="1" applyFont="1" applyBorder="1" applyAlignment="1">
      <alignment horizontal="center" vertical="center"/>
    </xf>
    <xf numFmtId="169" fontId="0" fillId="0" borderId="9" xfId="0" applyNumberFormat="1" applyBorder="1">
      <alignment vertical="center"/>
    </xf>
    <xf numFmtId="169" fontId="0" fillId="0" borderId="12" xfId="0" applyNumberFormat="1" applyBorder="1">
      <alignment vertical="center"/>
    </xf>
    <xf numFmtId="0" fontId="19" fillId="15" borderId="5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19" fillId="15" borderId="11" xfId="0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169" fontId="0" fillId="0" borderId="6" xfId="0" applyNumberFormat="1" applyBorder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3" fillId="0" borderId="9" xfId="0" applyFont="1" applyBorder="1" applyAlignment="1"/>
    <xf numFmtId="0" fontId="23" fillId="0" borderId="12" xfId="0" applyFont="1" applyBorder="1" applyAlignment="1"/>
    <xf numFmtId="0" fontId="31" fillId="0" borderId="0" xfId="0" applyFont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167" fontId="0" fillId="0" borderId="0" xfId="0" applyNumberFormat="1">
      <alignment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 applyAlignment="1">
      <alignment horizontal="right" vertical="center"/>
    </xf>
    <xf numFmtId="0" fontId="0" fillId="2" borderId="13" xfId="0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167" fontId="0" fillId="0" borderId="34" xfId="0" applyNumberFormat="1" applyBorder="1">
      <alignment vertical="center"/>
    </xf>
    <xf numFmtId="0" fontId="0" fillId="15" borderId="35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15" borderId="50" xfId="0" applyFill="1" applyBorder="1" applyAlignment="1">
      <alignment horizontal="center" vertical="center"/>
    </xf>
    <xf numFmtId="167" fontId="0" fillId="15" borderId="9" xfId="0" applyNumberForma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51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7" borderId="69" xfId="0" applyFill="1" applyBorder="1">
      <alignment vertical="center"/>
    </xf>
    <xf numFmtId="0" fontId="0" fillId="17" borderId="70" xfId="0" applyFill="1" applyBorder="1">
      <alignment vertical="center"/>
    </xf>
    <xf numFmtId="165" fontId="0" fillId="12" borderId="9" xfId="0" applyNumberFormat="1" applyFill="1" applyBorder="1">
      <alignment vertical="center"/>
    </xf>
    <xf numFmtId="165" fontId="0" fillId="9" borderId="12" xfId="0" applyNumberFormat="1" applyFill="1" applyBorder="1">
      <alignment vertical="center"/>
    </xf>
    <xf numFmtId="165" fontId="0" fillId="0" borderId="33" xfId="0" applyNumberFormat="1" applyBorder="1">
      <alignment vertical="center"/>
    </xf>
    <xf numFmtId="165" fontId="0" fillId="0" borderId="34" xfId="0" applyNumberFormat="1" applyBorder="1">
      <alignment vertical="center"/>
    </xf>
    <xf numFmtId="165" fontId="0" fillId="0" borderId="34" xfId="0" applyNumberFormat="1" applyBorder="1" applyAlignment="1">
      <alignment horizontal="center" vertical="center"/>
    </xf>
    <xf numFmtId="165" fontId="0" fillId="0" borderId="35" xfId="0" applyNumberFormat="1" applyBorder="1">
      <alignment vertical="center"/>
    </xf>
    <xf numFmtId="165" fontId="0" fillId="0" borderId="36" xfId="0" applyNumberFormat="1" applyBorder="1">
      <alignment vertical="center"/>
    </xf>
    <xf numFmtId="165" fontId="0" fillId="0" borderId="37" xfId="0" applyNumberFormat="1" applyBorder="1">
      <alignment vertical="center"/>
    </xf>
    <xf numFmtId="165" fontId="0" fillId="0" borderId="37" xfId="0" applyNumberFormat="1" applyBorder="1" applyAlignment="1">
      <alignment horizontal="center" vertical="center"/>
    </xf>
    <xf numFmtId="165" fontId="0" fillId="0" borderId="38" xfId="0" applyNumberForma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1" fillId="10" borderId="45" xfId="0" applyFont="1" applyFill="1" applyBorder="1" applyAlignment="1">
      <alignment horizontal="center" vertical="center"/>
    </xf>
    <xf numFmtId="0" fontId="12" fillId="10" borderId="46" xfId="0" applyFont="1" applyFill="1" applyBorder="1" applyAlignment="1">
      <alignment horizontal="center" vertical="center"/>
    </xf>
    <xf numFmtId="0" fontId="12" fillId="10" borderId="47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0" fillId="16" borderId="9" xfId="0" applyFill="1" applyBorder="1" applyAlignment="1">
      <alignment horizontal="left" vertical="center"/>
    </xf>
    <xf numFmtId="0" fontId="0" fillId="16" borderId="10" xfId="0" applyFill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8" fillId="0" borderId="52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0" fillId="17" borderId="69" xfId="0" quotePrefix="1" applyFill="1" applyBorder="1" applyAlignment="1">
      <alignment horizontal="center" vertical="center"/>
    </xf>
    <xf numFmtId="0" fontId="0" fillId="17" borderId="70" xfId="0" applyFill="1" applyBorder="1" applyAlignment="1">
      <alignment horizontal="center" vertical="center"/>
    </xf>
    <xf numFmtId="0" fontId="0" fillId="17" borderId="69" xfId="0" applyFill="1" applyBorder="1" applyAlignment="1">
      <alignment horizontal="center" vertical="center"/>
    </xf>
    <xf numFmtId="0" fontId="33" fillId="18" borderId="9" xfId="0" applyFont="1" applyFill="1" applyBorder="1" applyAlignment="1">
      <alignment horizontal="center" vertical="center"/>
    </xf>
    <xf numFmtId="0" fontId="34" fillId="1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CN" altLang="en-US" sz="1400"/>
              <a:t>碳素消耗与直接还原度关系</a:t>
            </a:r>
          </a:p>
        </c:rich>
      </c:tx>
      <c:layout>
        <c:manualLayout>
          <c:xMode val="edge"/>
          <c:yMode val="edge"/>
          <c:x val="0.29075370050801524"/>
          <c:y val="2.307374462218236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325389805536934"/>
          <c:y val="0.12868972276208038"/>
          <c:w val="0.80284339978910291"/>
          <c:h val="0.7398005222293239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Sheet1!$C$235</c:f>
              <c:strCache>
                <c:ptCount val="1"/>
                <c:pt idx="0">
                  <c:v>w(Cd)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spPr>
              <a:ln w="25400">
                <a:solidFill>
                  <a:schemeClr val="accent1">
                    <a:lumMod val="75000"/>
                  </a:schemeClr>
                </a:solidFill>
              </a:ln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8770756780402462"/>
                  <c:y val="3.3299066783318752E-2"/>
                </c:manualLayout>
              </c:layout>
              <c:numFmt formatCode="General" sourceLinked="0"/>
            </c:trendlineLbl>
          </c:trendline>
          <c:xVal>
            <c:numRef>
              <c:f>Sheet1!$D$234:$N$234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Sheet1!$D$235:$N$235</c:f>
              <c:numCache>
                <c:formatCode>General</c:formatCode>
                <c:ptCount val="11"/>
                <c:pt idx="0">
                  <c:v>0</c:v>
                </c:pt>
                <c:pt idx="1">
                  <c:v>2.1428571428571429E-2</c:v>
                </c:pt>
                <c:pt idx="2">
                  <c:v>4.2857142857142858E-2</c:v>
                </c:pt>
                <c:pt idx="3">
                  <c:v>6.4285714285714279E-2</c:v>
                </c:pt>
                <c:pt idx="4">
                  <c:v>8.5714285714285715E-2</c:v>
                </c:pt>
                <c:pt idx="5">
                  <c:v>0.10714285714285714</c:v>
                </c:pt>
                <c:pt idx="6">
                  <c:v>0.12857142857142856</c:v>
                </c:pt>
                <c:pt idx="7">
                  <c:v>0.15</c:v>
                </c:pt>
                <c:pt idx="8">
                  <c:v>0.17142857142857143</c:v>
                </c:pt>
                <c:pt idx="9">
                  <c:v>0.19285714285714284</c:v>
                </c:pt>
                <c:pt idx="10">
                  <c:v>0.21428571428571427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88-074E-B748-05826178306F}"/>
            </c:ext>
          </c:extLst>
        </c:ser>
        <c:ser>
          <c:idx val="1"/>
          <c:order val="1"/>
          <c:tx>
            <c:strRef>
              <c:f>Sheet1!$C$236</c:f>
              <c:strCache>
                <c:ptCount val="1"/>
                <c:pt idx="0">
                  <c:v>w(Ci)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4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31096184206454103"/>
                  <c:y val="-0.45342153900379345"/>
                </c:manualLayout>
              </c:layout>
              <c:numFmt formatCode="General" sourceLinked="0"/>
            </c:trendlineLbl>
          </c:trendline>
          <c:xVal>
            <c:numRef>
              <c:f>Sheet1!$D$234:$N$234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Sheet1!$D$236:$N$236</c:f>
              <c:numCache>
                <c:formatCode>General</c:formatCode>
                <c:ptCount val="11"/>
                <c:pt idx="0">
                  <c:v>0.88285714285714278</c:v>
                </c:pt>
                <c:pt idx="1">
                  <c:v>0.79457142857142848</c:v>
                </c:pt>
                <c:pt idx="2">
                  <c:v>0.70628571428571429</c:v>
                </c:pt>
                <c:pt idx="3">
                  <c:v>0.61799999999999988</c:v>
                </c:pt>
                <c:pt idx="4">
                  <c:v>0.52971428571428569</c:v>
                </c:pt>
                <c:pt idx="5">
                  <c:v>0.44142857142857139</c:v>
                </c:pt>
                <c:pt idx="6">
                  <c:v>0.35314285714285715</c:v>
                </c:pt>
                <c:pt idx="7">
                  <c:v>0.2648571428571429</c:v>
                </c:pt>
                <c:pt idx="8">
                  <c:v>0.17657142857142852</c:v>
                </c:pt>
                <c:pt idx="9">
                  <c:v>8.8285714285714259E-2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88-074E-B748-058261783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51776"/>
        <c:axId val="75053696"/>
      </c:scatterChart>
      <c:valAx>
        <c:axId val="7505177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直接还原度</a:t>
                </a:r>
                <a:r>
                  <a:rPr lang="en-US" altLang="zh-CN"/>
                  <a:t>rd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75053696"/>
        <c:crosses val="autoZero"/>
        <c:crossBetween val="midCat"/>
        <c:majorUnit val="0.1"/>
      </c:valAx>
      <c:valAx>
        <c:axId val="7505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碳素消耗量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75051776"/>
        <c:crossesAt val="0"/>
        <c:crossBetween val="midCat"/>
      </c:valAx>
      <c:spPr>
        <a:ln>
          <a:solidFill>
            <a:schemeClr val="accent1">
              <a:lumMod val="75000"/>
            </a:schemeClr>
          </a:solidFill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7536532239492828"/>
          <c:y val="0.13494335451474063"/>
          <c:w val="0.15464223576934988"/>
          <c:h val="0.12807724353933625"/>
        </c:manualLayout>
      </c:layout>
      <c:overlay val="0"/>
      <c:spPr>
        <a:solidFill>
          <a:schemeClr val="accent2">
            <a:lumMod val="40000"/>
            <a:lumOff val="60000"/>
          </a:schemeClr>
        </a:solidFill>
      </c:sp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碳素消耗与直接还原度关系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2301728639060306"/>
          <c:y val="8.421052631578947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060393278022756"/>
          <c:y val="8.770462966261712E-2"/>
          <c:w val="0.75943862984205168"/>
          <c:h val="0.7634388739382259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Sheet1!$C$291</c:f>
              <c:strCache>
                <c:ptCount val="1"/>
                <c:pt idx="0">
                  <c:v>w(Cd)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spPr>
              <a:ln w="19050">
                <a:solidFill>
                  <a:schemeClr val="accent1">
                    <a:lumMod val="75000"/>
                  </a:schemeClr>
                </a:solidFill>
              </a:ln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735194356376212"/>
                  <c:y val="8.6201514252995243E-2"/>
                </c:manualLayout>
              </c:layout>
              <c:numFmt formatCode="General" sourceLinked="0"/>
            </c:trendlineLbl>
          </c:trendline>
          <c:xVal>
            <c:numRef>
              <c:f>Sheet1!$D$290:$N$290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Sheet1!$D$291:$N$291</c:f>
              <c:numCache>
                <c:formatCode>General</c:formatCode>
                <c:ptCount val="11"/>
                <c:pt idx="0">
                  <c:v>0</c:v>
                </c:pt>
                <c:pt idx="1">
                  <c:v>2.1428571428571429E-2</c:v>
                </c:pt>
                <c:pt idx="2">
                  <c:v>4.2857142857142858E-2</c:v>
                </c:pt>
                <c:pt idx="3">
                  <c:v>6.4285714285714279E-2</c:v>
                </c:pt>
                <c:pt idx="4">
                  <c:v>8.5714285714285715E-2</c:v>
                </c:pt>
                <c:pt idx="5">
                  <c:v>0.10714285714285714</c:v>
                </c:pt>
                <c:pt idx="6">
                  <c:v>0.12857142857142856</c:v>
                </c:pt>
                <c:pt idx="7">
                  <c:v>0.15</c:v>
                </c:pt>
                <c:pt idx="8">
                  <c:v>0.17142857142857143</c:v>
                </c:pt>
                <c:pt idx="9">
                  <c:v>0.19285714285714284</c:v>
                </c:pt>
                <c:pt idx="10">
                  <c:v>0.21428571428571427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6A-B14C-9C9D-648803C0B5E4}"/>
            </c:ext>
          </c:extLst>
        </c:ser>
        <c:ser>
          <c:idx val="1"/>
          <c:order val="1"/>
          <c:tx>
            <c:strRef>
              <c:f>Sheet1!$C$292</c:f>
              <c:strCache>
                <c:ptCount val="1"/>
                <c:pt idx="0">
                  <c:v>w(Ci)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4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49625130829780911"/>
                  <c:y val="-0.67349961695058691"/>
                </c:manualLayout>
              </c:layout>
              <c:numFmt formatCode="General" sourceLinked="0"/>
            </c:trendlineLbl>
          </c:trendline>
          <c:xVal>
            <c:numRef>
              <c:f>Sheet1!$D$290:$N$290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Sheet1!$D$292:$N$292</c:f>
              <c:numCache>
                <c:formatCode>General</c:formatCode>
                <c:ptCount val="11"/>
                <c:pt idx="0">
                  <c:v>0.88285714285714278</c:v>
                </c:pt>
                <c:pt idx="1">
                  <c:v>0.79457142857142848</c:v>
                </c:pt>
                <c:pt idx="2">
                  <c:v>0.70628571428571429</c:v>
                </c:pt>
                <c:pt idx="3">
                  <c:v>0.61799999999999988</c:v>
                </c:pt>
                <c:pt idx="4">
                  <c:v>0.52971428571428569</c:v>
                </c:pt>
                <c:pt idx="5">
                  <c:v>0.44142857142857139</c:v>
                </c:pt>
                <c:pt idx="6">
                  <c:v>0.35314285714285715</c:v>
                </c:pt>
                <c:pt idx="7">
                  <c:v>0.2648571428571429</c:v>
                </c:pt>
                <c:pt idx="8">
                  <c:v>0.17657142857142852</c:v>
                </c:pt>
                <c:pt idx="9">
                  <c:v>8.8285714285714259E-2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6A-B14C-9C9D-648803C0B5E4}"/>
            </c:ext>
          </c:extLst>
        </c:ser>
        <c:ser>
          <c:idx val="2"/>
          <c:order val="2"/>
          <c:tx>
            <c:strRef>
              <c:f>Sheet1!$C$293</c:f>
              <c:strCache>
                <c:ptCount val="1"/>
                <c:pt idx="0">
                  <c:v>w(C热)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</c:marker>
          <c:trendline>
            <c:spPr>
              <a:ln w="19050">
                <a:solidFill>
                  <a:srgbClr val="00B05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53888200050076962"/>
                  <c:y val="0.32778220135697683"/>
                </c:manualLayout>
              </c:layout>
              <c:numFmt formatCode="General" sourceLinked="0"/>
            </c:trendlineLbl>
          </c:trendline>
          <c:xVal>
            <c:numRef>
              <c:f>Sheet1!$D$290:$N$290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Sheet1!$D$293:$N$293</c:f>
              <c:numCache>
                <c:formatCode>General</c:formatCode>
                <c:ptCount val="11"/>
                <c:pt idx="0">
                  <c:v>0.34384979456412595</c:v>
                </c:pt>
                <c:pt idx="1">
                  <c:v>0.38343453375179404</c:v>
                </c:pt>
                <c:pt idx="2">
                  <c:v>0.42301927293946218</c:v>
                </c:pt>
                <c:pt idx="3">
                  <c:v>0.46260401212713032</c:v>
                </c:pt>
                <c:pt idx="4">
                  <c:v>0.50218875131479845</c:v>
                </c:pt>
                <c:pt idx="5">
                  <c:v>0.54177349050246648</c:v>
                </c:pt>
                <c:pt idx="6">
                  <c:v>0.58135822969013462</c:v>
                </c:pt>
                <c:pt idx="7">
                  <c:v>0.62094296887780276</c:v>
                </c:pt>
                <c:pt idx="8">
                  <c:v>0.66052770806547079</c:v>
                </c:pt>
                <c:pt idx="9">
                  <c:v>0.70011244725313904</c:v>
                </c:pt>
                <c:pt idx="10">
                  <c:v>0.73969718644080706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6A-B14C-9C9D-648803C0B5E4}"/>
            </c:ext>
          </c:extLst>
        </c:ser>
        <c:ser>
          <c:idx val="3"/>
          <c:order val="3"/>
          <c:tx>
            <c:v>总碳消耗</c:v>
          </c:tx>
          <c:spPr>
            <a:ln w="28575">
              <a:noFill/>
            </a:ln>
          </c:spPr>
          <c:marker>
            <c:symbol val="x"/>
            <c:size val="3"/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54396205400720787"/>
                  <c:y val="0.20760049510638415"/>
                </c:manualLayout>
              </c:layout>
              <c:numFmt formatCode="General" sourceLinked="0"/>
            </c:trendlineLbl>
          </c:trendline>
          <c:xVal>
            <c:numRef>
              <c:f>Sheet1!$D$290:$N$290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Sheet1!$D$294:$N$294</c:f>
              <c:numCache>
                <c:formatCode>General</c:formatCode>
                <c:ptCount val="11"/>
                <c:pt idx="0">
                  <c:v>0.40173482860377668</c:v>
                </c:pt>
                <c:pt idx="1">
                  <c:v>0.44131956779144477</c:v>
                </c:pt>
                <c:pt idx="2">
                  <c:v>0.48090430697911291</c:v>
                </c:pt>
                <c:pt idx="3">
                  <c:v>0.52048904616678104</c:v>
                </c:pt>
                <c:pt idx="4">
                  <c:v>0.56007378535444918</c:v>
                </c:pt>
                <c:pt idx="5">
                  <c:v>0.59965852454211721</c:v>
                </c:pt>
                <c:pt idx="6">
                  <c:v>0.63924326372978535</c:v>
                </c:pt>
                <c:pt idx="7">
                  <c:v>0.67882800291745349</c:v>
                </c:pt>
                <c:pt idx="8">
                  <c:v>0.71841274210512152</c:v>
                </c:pt>
                <c:pt idx="9">
                  <c:v>0.75799748129278977</c:v>
                </c:pt>
                <c:pt idx="10">
                  <c:v>0.79758222048045779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36A-B14C-9C9D-648803C0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6608"/>
        <c:axId val="100998528"/>
      </c:scatterChart>
      <c:valAx>
        <c:axId val="10099660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直接还原度</a:t>
                </a:r>
                <a:r>
                  <a:rPr lang="en-US" altLang="zh-CN"/>
                  <a:t>rd</a:t>
                </a:r>
                <a:endParaRPr lang="en-US" altLang="en-US"/>
              </a:p>
            </c:rich>
          </c:tx>
          <c:layout>
            <c:manualLayout>
              <c:xMode val="edge"/>
              <c:yMode val="edge"/>
              <c:x val="0.4507713079074992"/>
              <c:y val="0.9244251747012635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100998528"/>
        <c:crosses val="autoZero"/>
        <c:crossBetween val="midCat"/>
        <c:majorUnit val="0.1"/>
      </c:valAx>
      <c:valAx>
        <c:axId val="100998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碳素消耗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9159096882437024E-2"/>
              <c:y val="0.41717155608713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0996608"/>
        <c:crosses val="autoZero"/>
        <c:crossBetween val="midCat"/>
      </c:valAx>
      <c:spPr>
        <a:ln>
          <a:solidFill>
            <a:srgbClr val="00B050"/>
          </a:solidFill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434405445082081"/>
          <c:y val="0.40852755255509948"/>
          <c:w val="0.17047245180229267"/>
          <c:h val="0.22559571742111068"/>
        </c:manualLayout>
      </c:layout>
      <c:overlay val="0"/>
      <c:spPr>
        <a:solidFill>
          <a:schemeClr val="accent6">
            <a:lumMod val="60000"/>
            <a:lumOff val="40000"/>
          </a:schemeClr>
        </a:solidFill>
      </c:sp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操作线图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022199765136315"/>
          <c:y val="0.12700715656207717"/>
          <c:w val="0.73015827567008673"/>
          <c:h val="0.770997494779335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Sheet1!$C$345:$D$345</c:f>
              <c:numCache>
                <c:formatCode>General</c:formatCode>
                <c:ptCount val="2"/>
                <c:pt idx="0">
                  <c:v>0</c:v>
                </c:pt>
                <c:pt idx="1">
                  <c:v>1.3793</c:v>
                </c:pt>
              </c:numCache>
            </c:numRef>
          </c:xVal>
          <c:yVal>
            <c:numRef>
              <c:f>Sheet1!$C$346:$D$346</c:f>
              <c:numCache>
                <c:formatCode>General</c:formatCode>
                <c:ptCount val="2"/>
                <c:pt idx="0">
                  <c:v>-1.542658056742882</c:v>
                </c:pt>
                <c:pt idx="1">
                  <c:v>1.4536296378350373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E-3442-B93C-A215D636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1952"/>
        <c:axId val="101048704"/>
      </c:scatterChart>
      <c:valAx>
        <c:axId val="10102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m(O)/m(C)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4920478523072321"/>
              <c:y val="0.929675268938405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1048704"/>
        <c:crosses val="autoZero"/>
        <c:crossBetween val="midCat"/>
      </c:valAx>
      <c:valAx>
        <c:axId val="101048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m(O)/m(Fe)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21952"/>
        <c:crosses val="autoZero"/>
        <c:crossBetween val="midCat"/>
      </c:valAx>
      <c:spPr>
        <a:ln>
          <a:solidFill>
            <a:srgbClr val="7030A0"/>
          </a:solidFill>
        </a:ln>
      </c:spPr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819149</xdr:colOff>
      <xdr:row>237</xdr:row>
      <xdr:rowOff>71436</xdr:rowOff>
    </xdr:from>
    <xdr:to>
      <xdr:col>12</xdr:col>
      <xdr:colOff>85725</xdr:colOff>
      <xdr:row>258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295</xdr:row>
      <xdr:rowOff>66676</xdr:rowOff>
    </xdr:from>
    <xdr:to>
      <xdr:col>18</xdr:col>
      <xdr:colOff>495300</xdr:colOff>
      <xdr:row>319</xdr:row>
      <xdr:rowOff>47626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343</xdr:row>
      <xdr:rowOff>114299</xdr:rowOff>
    </xdr:from>
    <xdr:to>
      <xdr:col>13</xdr:col>
      <xdr:colOff>466726</xdr:colOff>
      <xdr:row>367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8"/>
  <sheetViews>
    <sheetView tabSelected="1" zoomScaleNormal="100" workbookViewId="0">
      <selection activeCell="H10" sqref="H10"/>
    </sheetView>
  </sheetViews>
  <sheetFormatPr baseColWidth="10" defaultColWidth="8.83203125" defaultRowHeight="15"/>
  <cols>
    <col min="2" max="2" width="24" customWidth="1"/>
    <col min="3" max="3" width="19" customWidth="1"/>
    <col min="4" max="4" width="12.83203125" customWidth="1"/>
    <col min="5" max="5" width="10.5" bestFit="1" customWidth="1"/>
    <col min="6" max="6" width="17.6640625" customWidth="1"/>
    <col min="7" max="7" width="12.6640625" bestFit="1" customWidth="1"/>
    <col min="9" max="9" width="11.6640625" bestFit="1" customWidth="1"/>
    <col min="11" max="11" width="13.6640625" customWidth="1"/>
    <col min="14" max="14" width="17.6640625" customWidth="1"/>
    <col min="17" max="17" width="9.5" bestFit="1" customWidth="1"/>
  </cols>
  <sheetData>
    <row r="1" spans="1:27" ht="29">
      <c r="A1" s="301" t="s">
        <v>413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  <c r="T1" s="301"/>
      <c r="U1" s="301"/>
      <c r="V1" s="301"/>
      <c r="W1" s="301"/>
      <c r="X1" s="301"/>
      <c r="Y1" s="301"/>
      <c r="Z1" s="301"/>
      <c r="AA1" s="301"/>
    </row>
    <row r="2" spans="1:27" ht="21">
      <c r="A2" s="302" t="s">
        <v>414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</row>
    <row r="3" spans="1:27" ht="14.25" customHeight="1" thickBo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7" ht="20.25" customHeight="1" thickTop="1">
      <c r="A4" s="271" t="s">
        <v>50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17"/>
    </row>
    <row r="5" spans="1:27" ht="20" thickBot="1">
      <c r="A5" s="264" t="s">
        <v>346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Y5" s="18"/>
      <c r="AA5" s="18"/>
    </row>
    <row r="6" spans="1:27" ht="30">
      <c r="A6" s="19"/>
      <c r="B6" s="142" t="s">
        <v>366</v>
      </c>
      <c r="C6" s="143" t="s">
        <v>367</v>
      </c>
      <c r="D6" s="143" t="s">
        <v>368</v>
      </c>
      <c r="E6" s="144" t="s">
        <v>369</v>
      </c>
      <c r="F6" s="143" t="s">
        <v>370</v>
      </c>
      <c r="G6" s="143" t="s">
        <v>11</v>
      </c>
      <c r="H6" s="143" t="s">
        <v>371</v>
      </c>
      <c r="I6" s="143" t="s">
        <v>13</v>
      </c>
      <c r="J6" s="143" t="s">
        <v>372</v>
      </c>
      <c r="K6" s="143" t="s">
        <v>15</v>
      </c>
      <c r="L6" s="143" t="s">
        <v>373</v>
      </c>
      <c r="M6" s="143" t="s">
        <v>374</v>
      </c>
      <c r="N6" s="143" t="s">
        <v>375</v>
      </c>
      <c r="O6" s="143" t="s">
        <v>19</v>
      </c>
      <c r="P6" s="143" t="s">
        <v>20</v>
      </c>
      <c r="Q6" s="136" t="s">
        <v>351</v>
      </c>
      <c r="R6" s="136" t="s">
        <v>352</v>
      </c>
      <c r="S6" s="143" t="s">
        <v>376</v>
      </c>
      <c r="T6" s="143" t="s">
        <v>377</v>
      </c>
      <c r="U6" s="143" t="s">
        <v>378</v>
      </c>
      <c r="V6" s="143" t="s">
        <v>24</v>
      </c>
      <c r="W6" s="143" t="s">
        <v>26</v>
      </c>
      <c r="X6" s="143" t="s">
        <v>27</v>
      </c>
      <c r="Y6" s="143" t="s">
        <v>311</v>
      </c>
      <c r="Z6" s="145" t="s">
        <v>379</v>
      </c>
      <c r="AA6" s="18"/>
    </row>
    <row r="7" spans="1:27">
      <c r="A7" s="19"/>
      <c r="B7" s="146" t="s">
        <v>380</v>
      </c>
      <c r="C7" s="147"/>
      <c r="D7" s="147"/>
      <c r="E7" s="148">
        <v>384.86900000000003</v>
      </c>
      <c r="F7" s="147"/>
      <c r="G7" s="147">
        <v>0.4</v>
      </c>
      <c r="H7" s="147"/>
      <c r="I7" s="147"/>
      <c r="J7" s="147"/>
      <c r="K7" s="147"/>
      <c r="L7" s="147">
        <v>0.02</v>
      </c>
      <c r="M7" s="147">
        <v>7.58</v>
      </c>
      <c r="N7" s="147">
        <v>3.14</v>
      </c>
      <c r="O7" s="147">
        <v>0.8</v>
      </c>
      <c r="P7" s="147">
        <v>0.2</v>
      </c>
      <c r="Q7" s="147"/>
      <c r="R7" s="147"/>
      <c r="S7" s="137"/>
      <c r="T7" s="137"/>
      <c r="U7" s="147">
        <v>85.142857142857139</v>
      </c>
      <c r="V7" s="147">
        <v>0.7</v>
      </c>
      <c r="W7" s="147">
        <v>1.22</v>
      </c>
      <c r="X7" s="147">
        <v>0.8</v>
      </c>
      <c r="Y7" s="147"/>
      <c r="Z7" s="138">
        <f>SUM(F7:Y7)</f>
        <v>100.00285714285714</v>
      </c>
      <c r="AA7" s="18"/>
    </row>
    <row r="8" spans="1:27">
      <c r="A8" s="19"/>
      <c r="B8" s="146" t="s">
        <v>381</v>
      </c>
      <c r="C8" s="147"/>
      <c r="D8" s="147"/>
      <c r="E8" s="148">
        <v>154.88654593300001</v>
      </c>
      <c r="F8" s="147"/>
      <c r="G8" s="147">
        <v>0.2</v>
      </c>
      <c r="H8" s="147"/>
      <c r="I8" s="147"/>
      <c r="J8" s="147"/>
      <c r="K8" s="147"/>
      <c r="L8" s="147">
        <v>0.03</v>
      </c>
      <c r="M8" s="147">
        <v>5.27</v>
      </c>
      <c r="N8" s="147">
        <v>6.77</v>
      </c>
      <c r="O8" s="147">
        <v>0.93</v>
      </c>
      <c r="P8" s="147">
        <v>0.23</v>
      </c>
      <c r="Q8" s="147"/>
      <c r="R8" s="147"/>
      <c r="S8" s="137"/>
      <c r="T8" s="137"/>
      <c r="U8" s="147">
        <v>70.27</v>
      </c>
      <c r="V8" s="147">
        <v>0.5</v>
      </c>
      <c r="W8" s="147">
        <v>4.92</v>
      </c>
      <c r="X8" s="147">
        <v>3.41</v>
      </c>
      <c r="Y8" s="147">
        <v>7.47</v>
      </c>
      <c r="Z8" s="138">
        <f t="shared" ref="Z8:Z12" si="0">SUM(F8:Y8)</f>
        <v>99.999999999999986</v>
      </c>
      <c r="AA8" s="18"/>
    </row>
    <row r="9" spans="1:27">
      <c r="A9" s="19"/>
      <c r="B9" s="146" t="s">
        <v>382</v>
      </c>
      <c r="C9" s="147"/>
      <c r="D9" s="147"/>
      <c r="E9" s="148">
        <v>1171.2690316696837</v>
      </c>
      <c r="F9" s="147">
        <v>65.205396825396804</v>
      </c>
      <c r="G9" s="147">
        <v>9.08</v>
      </c>
      <c r="H9" s="147"/>
      <c r="I9" s="147"/>
      <c r="J9" s="147"/>
      <c r="K9" s="147">
        <v>0.61</v>
      </c>
      <c r="L9" s="147">
        <v>0.167870967741935</v>
      </c>
      <c r="M9" s="147">
        <v>7.6</v>
      </c>
      <c r="N9" s="147">
        <v>0.54</v>
      </c>
      <c r="O9" s="147">
        <v>12.81</v>
      </c>
      <c r="P9" s="147">
        <v>2.92</v>
      </c>
      <c r="Q9" s="139">
        <v>0.49</v>
      </c>
      <c r="R9" s="139">
        <v>0.53700000000000003</v>
      </c>
      <c r="S9" s="147"/>
      <c r="T9" s="147"/>
      <c r="U9" s="147"/>
      <c r="V9" s="147">
        <v>3.6999999999999998E-2</v>
      </c>
      <c r="W9" s="147"/>
      <c r="X9" s="147"/>
      <c r="Y9" s="147"/>
      <c r="Z9" s="138">
        <f>SUM(F9:Y9)</f>
        <v>99.997267793138747</v>
      </c>
      <c r="AA9" s="18"/>
    </row>
    <row r="10" spans="1:27">
      <c r="A10" s="19"/>
      <c r="B10" s="146" t="s">
        <v>383</v>
      </c>
      <c r="C10" s="147"/>
      <c r="D10" s="147"/>
      <c r="E10" s="148">
        <v>490.21263277871395</v>
      </c>
      <c r="F10" s="147">
        <v>86.6432969975139</v>
      </c>
      <c r="G10" s="147">
        <v>0.60915662650602409</v>
      </c>
      <c r="H10" s="147"/>
      <c r="I10" s="147">
        <v>8.0000000000000002E-3</v>
      </c>
      <c r="J10" s="147"/>
      <c r="K10" s="147">
        <v>2.0990000000000002</v>
      </c>
      <c r="L10" s="147">
        <f>0.0303734939759036/62*142</f>
        <v>6.9565099106101785E-2</v>
      </c>
      <c r="M10" s="147">
        <v>5.3524096385542199</v>
      </c>
      <c r="N10" s="147">
        <v>2.1673417721519002</v>
      </c>
      <c r="O10" s="147">
        <v>2.3503614457831299</v>
      </c>
      <c r="P10" s="147">
        <v>0.553544303797468</v>
      </c>
      <c r="Q10" s="139">
        <v>0.12453012048192801</v>
      </c>
      <c r="R10" s="139"/>
      <c r="S10" s="147"/>
      <c r="T10" s="147"/>
      <c r="U10" s="147"/>
      <c r="V10" s="147">
        <v>1.8595238095238092E-2</v>
      </c>
      <c r="W10" s="147"/>
      <c r="X10" s="147"/>
      <c r="Y10" s="147"/>
      <c r="Z10" s="138">
        <f t="shared" si="0"/>
        <v>99.995801241989909</v>
      </c>
      <c r="AA10" s="18"/>
    </row>
    <row r="11" spans="1:27">
      <c r="A11" s="19"/>
      <c r="B11" s="146" t="s">
        <v>384</v>
      </c>
      <c r="C11" s="147"/>
      <c r="D11" s="147"/>
      <c r="E11" s="148">
        <v>83.04686992991806</v>
      </c>
      <c r="F11" s="147">
        <v>86.1</v>
      </c>
      <c r="G11" s="147">
        <v>0.88</v>
      </c>
      <c r="H11" s="147"/>
      <c r="I11" s="147"/>
      <c r="J11" s="147"/>
      <c r="K11" s="147"/>
      <c r="L11" s="147"/>
      <c r="M11" s="147">
        <v>6.2016666666666698</v>
      </c>
      <c r="N11" s="147">
        <v>4.4211111111111103</v>
      </c>
      <c r="O11" s="147">
        <v>1.39777777777777</v>
      </c>
      <c r="P11" s="147">
        <v>1.0024999999999999</v>
      </c>
      <c r="Q11" s="139"/>
      <c r="R11" s="139"/>
      <c r="S11" s="147"/>
      <c r="T11" s="147"/>
      <c r="U11" s="147"/>
      <c r="V11" s="147"/>
      <c r="W11" s="147"/>
      <c r="X11" s="147"/>
      <c r="Y11" s="147"/>
      <c r="Z11" s="138">
        <f t="shared" si="0"/>
        <v>100.00305555555555</v>
      </c>
      <c r="AA11" s="18"/>
    </row>
    <row r="12" spans="1:27">
      <c r="A12" s="19"/>
      <c r="B12" s="146" t="s">
        <v>385</v>
      </c>
      <c r="C12" s="147"/>
      <c r="D12" s="147"/>
      <c r="E12" s="148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39"/>
      <c r="R12" s="139"/>
      <c r="S12" s="147"/>
      <c r="T12" s="147"/>
      <c r="U12" s="147"/>
      <c r="V12" s="147"/>
      <c r="W12" s="147"/>
      <c r="X12" s="147"/>
      <c r="Y12" s="147"/>
      <c r="Z12" s="138">
        <f t="shared" si="0"/>
        <v>0</v>
      </c>
      <c r="AA12" s="18"/>
    </row>
    <row r="13" spans="1:27" ht="16" thickBot="1">
      <c r="A13" s="19"/>
      <c r="B13" s="149" t="s">
        <v>386</v>
      </c>
      <c r="C13" s="150"/>
      <c r="D13" s="150"/>
      <c r="E13" s="151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40"/>
      <c r="R13" s="140"/>
      <c r="S13" s="150"/>
      <c r="T13" s="150"/>
      <c r="U13" s="150"/>
      <c r="V13" s="150"/>
      <c r="W13" s="150"/>
      <c r="X13" s="150"/>
      <c r="Y13" s="150"/>
      <c r="Z13" s="141">
        <f t="shared" ref="Z13" si="1">SUM(F13:Y13)</f>
        <v>0</v>
      </c>
      <c r="AA13" s="18"/>
    </row>
    <row r="14" spans="1:27">
      <c r="A14" s="19"/>
      <c r="G14" s="93"/>
      <c r="Y14" s="18"/>
      <c r="AA14" s="18"/>
    </row>
    <row r="15" spans="1:27" ht="20" thickBot="1">
      <c r="A15" s="264" t="s">
        <v>347</v>
      </c>
      <c r="B15" s="26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Y15" s="18"/>
      <c r="AA15" s="18"/>
    </row>
    <row r="16" spans="1:27">
      <c r="A16" s="19"/>
      <c r="B16" s="9" t="s">
        <v>348</v>
      </c>
      <c r="C16" s="152" t="s">
        <v>34</v>
      </c>
      <c r="D16" s="152" t="s">
        <v>35</v>
      </c>
      <c r="E16" s="152" t="s">
        <v>36</v>
      </c>
      <c r="F16" s="152" t="s">
        <v>37</v>
      </c>
      <c r="G16" s="152" t="s">
        <v>38</v>
      </c>
      <c r="H16" s="152" t="s">
        <v>24</v>
      </c>
      <c r="I16" s="152" t="s">
        <v>39</v>
      </c>
      <c r="J16" s="152" t="s">
        <v>40</v>
      </c>
      <c r="K16" s="153" t="s">
        <v>387</v>
      </c>
      <c r="Y16" s="18"/>
      <c r="AA16" s="18"/>
    </row>
    <row r="17" spans="1:27" ht="16" thickBot="1">
      <c r="A17" s="19"/>
      <c r="B17" s="109">
        <v>1000</v>
      </c>
      <c r="C17" s="123">
        <f>100-SUM(D17:J17)</f>
        <v>94.494423183391007</v>
      </c>
      <c r="D17" s="123">
        <v>4.53</v>
      </c>
      <c r="E17" s="123">
        <v>0.49</v>
      </c>
      <c r="F17" s="123">
        <v>0.213219723183391</v>
      </c>
      <c r="G17" s="123">
        <v>0.1074368512110724</v>
      </c>
      <c r="H17" s="123">
        <v>1.8592387543252584E-2</v>
      </c>
      <c r="I17" s="123">
        <v>7.5517301038062382E-2</v>
      </c>
      <c r="J17" s="123">
        <v>7.0810553633217949E-2</v>
      </c>
      <c r="K17" s="135">
        <f>SUM(C17:J17)</f>
        <v>100</v>
      </c>
      <c r="Y17" s="18"/>
      <c r="AA17" s="18"/>
    </row>
    <row r="18" spans="1:27">
      <c r="A18" s="19"/>
      <c r="Y18" s="18"/>
      <c r="AA18" s="18"/>
    </row>
    <row r="19" spans="1:27" ht="20" thickBot="1">
      <c r="A19" s="264" t="s">
        <v>42</v>
      </c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Y19" s="18"/>
      <c r="AA19" s="18"/>
    </row>
    <row r="20" spans="1:27">
      <c r="A20" s="19"/>
      <c r="B20" s="121" t="s">
        <v>354</v>
      </c>
      <c r="C20" s="28" t="s">
        <v>29</v>
      </c>
      <c r="D20" s="28" t="s">
        <v>30</v>
      </c>
      <c r="E20" s="28" t="s">
        <v>19</v>
      </c>
      <c r="F20" s="28" t="s">
        <v>20</v>
      </c>
      <c r="G20" s="28" t="s">
        <v>15</v>
      </c>
      <c r="H20" s="28" t="s">
        <v>11</v>
      </c>
      <c r="I20" s="28" t="s">
        <v>31</v>
      </c>
      <c r="J20" s="28" t="s">
        <v>32</v>
      </c>
      <c r="K20" s="28" t="s">
        <v>33</v>
      </c>
      <c r="L20" s="155" t="s">
        <v>358</v>
      </c>
      <c r="Y20" s="18"/>
      <c r="AA20" s="18"/>
    </row>
    <row r="21" spans="1:27" ht="16" thickBot="1">
      <c r="A21" s="19"/>
      <c r="B21" s="126">
        <f>C52</f>
        <v>415.81056946960263</v>
      </c>
      <c r="C21" s="123">
        <v>35.590000000000003</v>
      </c>
      <c r="D21" s="123">
        <v>9.41</v>
      </c>
      <c r="E21" s="123">
        <v>39.729999999999997</v>
      </c>
      <c r="F21" s="123">
        <v>8.5500000000000007</v>
      </c>
      <c r="G21" s="29">
        <v>1.73</v>
      </c>
      <c r="H21" s="123">
        <v>0.61</v>
      </c>
      <c r="I21" s="123">
        <v>1.08</v>
      </c>
      <c r="J21" s="123">
        <v>2.82</v>
      </c>
      <c r="K21" s="29">
        <v>0.48</v>
      </c>
      <c r="L21" s="154">
        <f>SUM(C21:K21)</f>
        <v>99.999999999999986</v>
      </c>
      <c r="Y21" s="18"/>
      <c r="AA21" s="18"/>
    </row>
    <row r="22" spans="1:27" ht="18" customHeight="1">
      <c r="A22" s="19"/>
      <c r="B22" s="183" t="s">
        <v>356</v>
      </c>
      <c r="C22" s="184" t="s">
        <v>409</v>
      </c>
      <c r="Y22" s="18"/>
      <c r="AA22" s="18"/>
    </row>
    <row r="23" spans="1:27" ht="20" thickBot="1">
      <c r="A23" s="264" t="s">
        <v>349</v>
      </c>
      <c r="B23" s="26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Y23" s="18"/>
      <c r="AA23" s="18"/>
    </row>
    <row r="24" spans="1:27">
      <c r="A24" s="19"/>
      <c r="B24" s="124" t="s">
        <v>41</v>
      </c>
      <c r="C24" s="28" t="s">
        <v>43</v>
      </c>
      <c r="D24" s="28" t="s">
        <v>11</v>
      </c>
      <c r="E24" s="28" t="s">
        <v>15</v>
      </c>
      <c r="F24" s="28" t="s">
        <v>19</v>
      </c>
      <c r="G24" s="28" t="s">
        <v>20</v>
      </c>
      <c r="H24" s="28" t="s">
        <v>29</v>
      </c>
      <c r="I24" s="28" t="s">
        <v>30</v>
      </c>
      <c r="J24" s="28" t="s">
        <v>44</v>
      </c>
      <c r="K24" s="28" t="s">
        <v>35</v>
      </c>
      <c r="L24" s="28" t="s">
        <v>45</v>
      </c>
      <c r="M24" s="155" t="s">
        <v>358</v>
      </c>
      <c r="Y24" s="18"/>
      <c r="AA24" s="18"/>
    </row>
    <row r="25" spans="1:27" ht="16" thickBot="1">
      <c r="A25" s="19"/>
      <c r="B25" s="125">
        <v>25.5</v>
      </c>
      <c r="C25" s="29">
        <v>47.03</v>
      </c>
      <c r="D25" s="29">
        <v>6.82</v>
      </c>
      <c r="E25" s="29">
        <v>0.24</v>
      </c>
      <c r="F25" s="29">
        <v>8</v>
      </c>
      <c r="G25" s="29">
        <v>3.3</v>
      </c>
      <c r="H25" s="29">
        <v>9.8699999999999992</v>
      </c>
      <c r="I25" s="29">
        <v>2.62</v>
      </c>
      <c r="J25" s="29">
        <v>0.25</v>
      </c>
      <c r="K25" s="29">
        <v>20.25</v>
      </c>
      <c r="L25" s="29">
        <v>1.62</v>
      </c>
      <c r="M25" s="8">
        <f>SUM(C25:L25)</f>
        <v>100.00000000000001</v>
      </c>
      <c r="Y25" s="18"/>
      <c r="AA25" s="18"/>
    </row>
    <row r="26" spans="1:27">
      <c r="A26" s="19"/>
      <c r="Y26" s="18"/>
      <c r="AA26" s="18"/>
    </row>
    <row r="27" spans="1:27" ht="20" thickBot="1">
      <c r="A27" s="264" t="s">
        <v>51</v>
      </c>
      <c r="B27" s="265"/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Y27" s="18"/>
      <c r="AA27" s="18"/>
    </row>
    <row r="28" spans="1:27">
      <c r="A28" s="19"/>
      <c r="B28" s="121" t="s">
        <v>291</v>
      </c>
      <c r="C28" s="28" t="s">
        <v>45</v>
      </c>
      <c r="D28" s="28" t="s">
        <v>46</v>
      </c>
      <c r="E28" s="28" t="s">
        <v>47</v>
      </c>
      <c r="F28" s="28" t="s">
        <v>48</v>
      </c>
      <c r="G28" s="28" t="s">
        <v>49</v>
      </c>
      <c r="H28" s="155" t="s">
        <v>358</v>
      </c>
      <c r="I28" t="s">
        <v>353</v>
      </c>
      <c r="Y28" s="18"/>
      <c r="AA28" s="18"/>
    </row>
    <row r="29" spans="1:27" ht="16" thickBot="1">
      <c r="A29" s="19"/>
      <c r="B29" s="122"/>
      <c r="C29" s="29">
        <v>16.399999999999999</v>
      </c>
      <c r="D29" s="29">
        <f>C29/(I29/100)-C29</f>
        <v>26.837542842077511</v>
      </c>
      <c r="E29" s="29">
        <v>2.64</v>
      </c>
      <c r="F29" s="29">
        <v>0.3</v>
      </c>
      <c r="G29" s="29">
        <f>100-SUM(C29:F29)</f>
        <v>53.822457157922493</v>
      </c>
      <c r="H29" s="8">
        <f>SUM(C29:G29)</f>
        <v>100</v>
      </c>
      <c r="I29">
        <v>37.93</v>
      </c>
      <c r="Y29" s="18"/>
      <c r="AA29" s="18"/>
    </row>
    <row r="30" spans="1:27">
      <c r="A30" s="19"/>
      <c r="B30" s="19"/>
      <c r="Y30" s="18"/>
      <c r="AA30" s="18"/>
    </row>
    <row r="31" spans="1:27" ht="20" thickBot="1">
      <c r="A31" s="264" t="s">
        <v>350</v>
      </c>
      <c r="B31" s="265"/>
      <c r="C31" s="265"/>
      <c r="D31" s="265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5"/>
      <c r="P31" s="265"/>
      <c r="Y31" s="18"/>
      <c r="AA31" s="18"/>
    </row>
    <row r="32" spans="1:27">
      <c r="A32" s="19"/>
      <c r="B32" s="156" t="s">
        <v>100</v>
      </c>
      <c r="C32" s="157">
        <v>1.7</v>
      </c>
      <c r="D32" s="157" t="s">
        <v>101</v>
      </c>
      <c r="E32" s="157" t="s">
        <v>146</v>
      </c>
      <c r="F32" s="157">
        <v>1167</v>
      </c>
      <c r="G32" s="158" t="s">
        <v>147</v>
      </c>
      <c r="Y32" s="18"/>
      <c r="AA32" s="18"/>
    </row>
    <row r="33" spans="1:27">
      <c r="A33" s="19"/>
      <c r="B33" s="159" t="s">
        <v>115</v>
      </c>
      <c r="C33" s="160">
        <v>1.4880000000000001E-2</v>
      </c>
      <c r="D33" s="161">
        <v>1</v>
      </c>
      <c r="E33" s="160" t="s">
        <v>155</v>
      </c>
      <c r="F33" s="160">
        <v>2.375</v>
      </c>
      <c r="G33" s="162" t="s">
        <v>156</v>
      </c>
      <c r="Y33" s="18"/>
      <c r="AA33" s="18"/>
    </row>
    <row r="34" spans="1:27" ht="16" thickBot="1">
      <c r="A34" s="20"/>
      <c r="B34" s="159" t="s">
        <v>116</v>
      </c>
      <c r="C34" s="160">
        <v>0.45</v>
      </c>
      <c r="D34" s="160"/>
      <c r="E34" s="160"/>
      <c r="F34" s="160"/>
      <c r="G34" s="16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AA34" s="18"/>
    </row>
    <row r="35" spans="1:27" ht="16" thickTop="1">
      <c r="A35" s="19"/>
      <c r="B35" s="159" t="s">
        <v>271</v>
      </c>
      <c r="C35" s="160">
        <f>0.21+0.29*C33+C32/100</f>
        <v>0.2313152</v>
      </c>
      <c r="D35" s="160"/>
      <c r="E35" s="160"/>
      <c r="F35" s="160"/>
      <c r="G35" s="162"/>
      <c r="AA35" s="18"/>
    </row>
    <row r="36" spans="1:27">
      <c r="A36" s="19"/>
      <c r="B36" s="159" t="s">
        <v>272</v>
      </c>
      <c r="C36" s="162">
        <f>C33</f>
        <v>1.4880000000000001E-2</v>
      </c>
      <c r="D36" s="160"/>
      <c r="E36" s="160"/>
      <c r="F36" s="160"/>
      <c r="G36" s="162"/>
      <c r="AA36" s="18"/>
    </row>
    <row r="37" spans="1:27" ht="16" thickBot="1">
      <c r="A37" s="19"/>
      <c r="B37" s="163" t="s">
        <v>273</v>
      </c>
      <c r="C37" s="164">
        <f>1-C35-C36</f>
        <v>0.75380479999999994</v>
      </c>
      <c r="D37" s="164"/>
      <c r="E37" s="164"/>
      <c r="F37" s="164"/>
      <c r="G37" s="154"/>
      <c r="AA37" s="18"/>
    </row>
    <row r="38" spans="1:27" ht="16" thickBot="1">
      <c r="A38" s="19"/>
      <c r="AA38" s="18"/>
    </row>
    <row r="39" spans="1:27" ht="23" thickTop="1" thickBot="1">
      <c r="A39" s="268" t="s">
        <v>52</v>
      </c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70"/>
      <c r="AA39" s="18"/>
    </row>
    <row r="40" spans="1:27" ht="21" thickTop="1" thickBot="1">
      <c r="A40" s="264" t="s">
        <v>53</v>
      </c>
      <c r="B40" s="265"/>
      <c r="C40" s="265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AA40" s="18"/>
    </row>
    <row r="41" spans="1:27" ht="32">
      <c r="A41" s="19"/>
      <c r="B41" s="23" t="s">
        <v>54</v>
      </c>
      <c r="C41" s="24" t="s">
        <v>55</v>
      </c>
      <c r="D41" s="24" t="s">
        <v>56</v>
      </c>
      <c r="E41" s="24" t="s">
        <v>57</v>
      </c>
      <c r="F41" s="24" t="s">
        <v>58</v>
      </c>
      <c r="G41" s="24" t="s">
        <v>59</v>
      </c>
      <c r="H41" s="24" t="s">
        <v>60</v>
      </c>
      <c r="I41" s="25" t="s">
        <v>61</v>
      </c>
      <c r="AA41" s="18"/>
    </row>
    <row r="42" spans="1:27">
      <c r="A42" s="19"/>
      <c r="B42" s="26" t="s">
        <v>1</v>
      </c>
      <c r="C42" s="27">
        <f>C7*1000</f>
        <v>0</v>
      </c>
      <c r="D42" s="27">
        <f>D7</f>
        <v>0</v>
      </c>
      <c r="E42" s="27">
        <f>C42*D42/100</f>
        <v>0</v>
      </c>
      <c r="F42" s="27">
        <f t="shared" ref="F42:F48" si="2">E7</f>
        <v>384.86900000000003</v>
      </c>
      <c r="G42" s="27">
        <f>T7</f>
        <v>0</v>
      </c>
      <c r="H42" s="27">
        <f>F42*G42/100</f>
        <v>0</v>
      </c>
      <c r="I42" s="7">
        <f>E42+H42</f>
        <v>0</v>
      </c>
      <c r="AA42" s="18"/>
    </row>
    <row r="43" spans="1:27">
      <c r="A43" s="19"/>
      <c r="B43" s="26" t="s">
        <v>106</v>
      </c>
      <c r="C43" s="27">
        <f>C8*1000</f>
        <v>0</v>
      </c>
      <c r="D43" s="27">
        <f>D8</f>
        <v>0</v>
      </c>
      <c r="E43" s="27">
        <f t="shared" ref="E43:E45" si="3">C43*D43/100</f>
        <v>0</v>
      </c>
      <c r="F43" s="27">
        <f t="shared" si="2"/>
        <v>154.88654593300001</v>
      </c>
      <c r="G43" s="27">
        <f>T8</f>
        <v>0</v>
      </c>
      <c r="H43" s="27">
        <f t="shared" ref="H43:H45" si="4">F43*G43/100</f>
        <v>0</v>
      </c>
      <c r="I43" s="7">
        <f t="shared" ref="I43:I45" si="5">E43+H43</f>
        <v>0</v>
      </c>
      <c r="AA43" s="18"/>
    </row>
    <row r="44" spans="1:27">
      <c r="A44" s="19"/>
      <c r="B44" s="26" t="s">
        <v>3</v>
      </c>
      <c r="C44" s="27">
        <f>C9*1000</f>
        <v>0</v>
      </c>
      <c r="D44" s="27">
        <f>D9</f>
        <v>0</v>
      </c>
      <c r="E44" s="27">
        <f t="shared" si="3"/>
        <v>0</v>
      </c>
      <c r="F44" s="27">
        <f t="shared" si="2"/>
        <v>1171.2690316696837</v>
      </c>
      <c r="G44" s="27">
        <f>T9</f>
        <v>0</v>
      </c>
      <c r="H44" s="27">
        <f t="shared" si="4"/>
        <v>0</v>
      </c>
      <c r="I44" s="7">
        <f t="shared" si="5"/>
        <v>0</v>
      </c>
      <c r="AA44" s="18"/>
    </row>
    <row r="45" spans="1:27">
      <c r="A45" s="19"/>
      <c r="B45" s="26" t="s">
        <v>4</v>
      </c>
      <c r="C45" s="27">
        <f>C10*1000</f>
        <v>0</v>
      </c>
      <c r="D45" s="27">
        <f>D10</f>
        <v>0</v>
      </c>
      <c r="E45" s="27">
        <f t="shared" si="3"/>
        <v>0</v>
      </c>
      <c r="F45" s="27">
        <f t="shared" si="2"/>
        <v>490.21263277871395</v>
      </c>
      <c r="G45" s="27">
        <f>T10</f>
        <v>0</v>
      </c>
      <c r="H45" s="27">
        <f t="shared" si="4"/>
        <v>0</v>
      </c>
      <c r="I45" s="7">
        <f t="shared" si="5"/>
        <v>0</v>
      </c>
      <c r="AA45" s="18"/>
    </row>
    <row r="46" spans="1:27">
      <c r="A46" s="19"/>
      <c r="B46" s="37" t="s">
        <v>355</v>
      </c>
      <c r="C46" s="27"/>
      <c r="D46" s="38"/>
      <c r="E46" s="38"/>
      <c r="F46" s="27">
        <f t="shared" si="2"/>
        <v>83.04686992991806</v>
      </c>
      <c r="G46" s="38"/>
      <c r="H46" s="38"/>
      <c r="I46" s="39"/>
      <c r="AA46" s="18"/>
    </row>
    <row r="47" spans="1:27">
      <c r="A47" s="19"/>
      <c r="B47" s="37" t="s">
        <v>107</v>
      </c>
      <c r="C47" s="27">
        <f>C12*1000</f>
        <v>0</v>
      </c>
      <c r="D47" s="38"/>
      <c r="E47" s="38"/>
      <c r="F47" s="27">
        <f t="shared" si="2"/>
        <v>0</v>
      </c>
      <c r="G47" s="38"/>
      <c r="H47" s="38"/>
      <c r="I47" s="39"/>
      <c r="AA47" s="18"/>
    </row>
    <row r="48" spans="1:27">
      <c r="A48" s="19"/>
      <c r="B48" s="37" t="s">
        <v>108</v>
      </c>
      <c r="C48" s="27">
        <f>C13*1000</f>
        <v>0</v>
      </c>
      <c r="D48" s="38"/>
      <c r="E48" s="38"/>
      <c r="F48" s="27">
        <f t="shared" si="2"/>
        <v>0</v>
      </c>
      <c r="G48" s="38"/>
      <c r="H48" s="38"/>
      <c r="I48" s="39"/>
      <c r="AA48" s="18"/>
    </row>
    <row r="49" spans="1:27" ht="16" thickBot="1">
      <c r="A49" s="20"/>
      <c r="B49" s="165" t="s">
        <v>28</v>
      </c>
      <c r="C49" s="166"/>
      <c r="D49" s="166"/>
      <c r="E49" s="166">
        <f>SUM(E42:E45)</f>
        <v>0</v>
      </c>
      <c r="F49" s="166"/>
      <c r="G49" s="166"/>
      <c r="H49" s="166"/>
      <c r="I49" s="167">
        <f>SUM(I42:I45)</f>
        <v>0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2"/>
    </row>
    <row r="50" spans="1:27" ht="16" thickTop="1"/>
    <row r="51" spans="1:27" ht="19">
      <c r="A51" s="264" t="s">
        <v>74</v>
      </c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</row>
    <row r="52" spans="1:27" ht="16" thickBot="1">
      <c r="B52" s="14" t="s">
        <v>70</v>
      </c>
      <c r="C52" s="14">
        <f>(E7*O7+E8*O8+E9*O9+E10*O10+E11*O11+E12*O12+E13*O13-B25*F25)/100/(E21/100)</f>
        <v>415.81056946960263</v>
      </c>
    </row>
    <row r="53" spans="1:27" ht="16">
      <c r="B53" s="257" t="s">
        <v>62</v>
      </c>
      <c r="C53" s="245"/>
      <c r="D53" s="30" t="s">
        <v>88</v>
      </c>
      <c r="E53" s="30" t="s">
        <v>89</v>
      </c>
      <c r="F53" s="30" t="s">
        <v>90</v>
      </c>
      <c r="G53" s="30" t="s">
        <v>91</v>
      </c>
      <c r="H53" s="31" t="s">
        <v>92</v>
      </c>
    </row>
    <row r="54" spans="1:27">
      <c r="B54" s="258" t="s">
        <v>63</v>
      </c>
      <c r="C54" s="32" t="str">
        <f>B7</f>
        <v>焦炭</v>
      </c>
      <c r="D54" s="130">
        <f>F42</f>
        <v>384.86900000000003</v>
      </c>
      <c r="E54" s="130">
        <f t="shared" ref="E54:E60" si="6">D54*M7/100</f>
        <v>29.173070200000002</v>
      </c>
      <c r="F54" s="130">
        <f t="shared" ref="F54:F60" si="7">D54*O7/100</f>
        <v>3.0789520000000006</v>
      </c>
      <c r="G54" s="130">
        <f t="shared" ref="G54:G60" si="8">D54*N7/100</f>
        <v>12.084886600000003</v>
      </c>
      <c r="H54" s="131">
        <f t="shared" ref="H54:H60" si="9">D54*P7/100</f>
        <v>0.76973800000000014</v>
      </c>
    </row>
    <row r="55" spans="1:27">
      <c r="B55" s="258"/>
      <c r="C55" s="32" t="str">
        <f>B8</f>
        <v>煤粉</v>
      </c>
      <c r="D55" s="130">
        <f>F43</f>
        <v>154.88654593300001</v>
      </c>
      <c r="E55" s="130">
        <f t="shared" si="6"/>
        <v>8.1625209706690995</v>
      </c>
      <c r="F55" s="130">
        <f t="shared" si="7"/>
        <v>1.4404448771769001</v>
      </c>
      <c r="G55" s="130">
        <f t="shared" si="8"/>
        <v>10.4858191596641</v>
      </c>
      <c r="H55" s="131">
        <f t="shared" si="9"/>
        <v>0.35623905564590003</v>
      </c>
    </row>
    <row r="56" spans="1:27">
      <c r="B56" s="258"/>
      <c r="C56" s="32" t="str">
        <f>B9</f>
        <v>烧结矿</v>
      </c>
      <c r="D56" s="130">
        <f>F44</f>
        <v>1171.2690316696837</v>
      </c>
      <c r="E56" s="130">
        <f t="shared" si="6"/>
        <v>89.016446406895952</v>
      </c>
      <c r="F56" s="130">
        <f t="shared" si="7"/>
        <v>150.0395629568865</v>
      </c>
      <c r="G56" s="130">
        <f t="shared" si="8"/>
        <v>6.3248527710162925</v>
      </c>
      <c r="H56" s="131">
        <f t="shared" si="9"/>
        <v>34.201055724754767</v>
      </c>
    </row>
    <row r="57" spans="1:27">
      <c r="B57" s="258"/>
      <c r="C57" s="32" t="str">
        <f>B10</f>
        <v>球团矿</v>
      </c>
      <c r="D57" s="130">
        <f>F45</f>
        <v>490.21263277871395</v>
      </c>
      <c r="E57" s="130">
        <f t="shared" si="6"/>
        <v>26.238188206258286</v>
      </c>
      <c r="F57" s="130">
        <f t="shared" si="7"/>
        <v>11.521768723189327</v>
      </c>
      <c r="G57" s="130">
        <f t="shared" si="8"/>
        <v>10.624583162578665</v>
      </c>
      <c r="H57" s="131">
        <f t="shared" si="9"/>
        <v>2.7135441052421703</v>
      </c>
    </row>
    <row r="58" spans="1:27">
      <c r="B58" s="258"/>
      <c r="C58" s="32" t="s">
        <v>357</v>
      </c>
      <c r="D58" s="130">
        <f t="shared" ref="D58:D60" si="10">F46</f>
        <v>83.04686992991806</v>
      </c>
      <c r="E58" s="130">
        <f t="shared" si="6"/>
        <v>5.1502900501537541</v>
      </c>
      <c r="F58" s="130">
        <f t="shared" si="7"/>
        <v>1.1608106930204038</v>
      </c>
      <c r="G58" s="130">
        <f t="shared" si="8"/>
        <v>3.6715943939015987</v>
      </c>
      <c r="H58" s="131">
        <f t="shared" si="9"/>
        <v>0.83254487104742847</v>
      </c>
    </row>
    <row r="59" spans="1:27">
      <c r="B59" s="258"/>
      <c r="C59" s="32" t="str">
        <f>B12</f>
        <v>锰矿</v>
      </c>
      <c r="D59" s="130">
        <f t="shared" si="10"/>
        <v>0</v>
      </c>
      <c r="E59" s="130">
        <f t="shared" si="6"/>
        <v>0</v>
      </c>
      <c r="F59" s="130">
        <f t="shared" si="7"/>
        <v>0</v>
      </c>
      <c r="G59" s="130">
        <f t="shared" si="8"/>
        <v>0</v>
      </c>
      <c r="H59" s="131">
        <f t="shared" si="9"/>
        <v>0</v>
      </c>
    </row>
    <row r="60" spans="1:27">
      <c r="B60" s="258"/>
      <c r="C60" s="32" t="str">
        <f>B13</f>
        <v>萤石</v>
      </c>
      <c r="D60" s="130">
        <f t="shared" si="10"/>
        <v>0</v>
      </c>
      <c r="E60" s="130">
        <f t="shared" si="6"/>
        <v>0</v>
      </c>
      <c r="F60" s="130">
        <f t="shared" si="7"/>
        <v>0</v>
      </c>
      <c r="G60" s="130">
        <f t="shared" si="8"/>
        <v>0</v>
      </c>
      <c r="H60" s="131">
        <f t="shared" si="9"/>
        <v>0</v>
      </c>
    </row>
    <row r="61" spans="1:27">
      <c r="B61" s="258"/>
      <c r="C61" s="171" t="s">
        <v>71</v>
      </c>
      <c r="D61" s="172"/>
      <c r="E61" s="172">
        <f>SUM(E54:E60)</f>
        <v>157.7405158339771</v>
      </c>
      <c r="F61" s="172">
        <f>SUM(F54:F60)</f>
        <v>167.24153925027312</v>
      </c>
      <c r="G61" s="172">
        <f>SUM(G54:G60)</f>
        <v>43.191736087160656</v>
      </c>
      <c r="H61" s="173">
        <f>SUM(H54:H60)</f>
        <v>38.873121756690267</v>
      </c>
    </row>
    <row r="62" spans="1:27">
      <c r="B62" s="258" t="s">
        <v>69</v>
      </c>
      <c r="C62" s="32" t="s">
        <v>65</v>
      </c>
      <c r="D62" s="130">
        <v>1000</v>
      </c>
      <c r="E62" s="130">
        <f>D62*E17/100/28*(28+32)</f>
        <v>10.500000000000002</v>
      </c>
      <c r="F62" s="130"/>
      <c r="G62" s="130"/>
      <c r="H62" s="131"/>
    </row>
    <row r="63" spans="1:27">
      <c r="B63" s="258"/>
      <c r="C63" s="32" t="s">
        <v>66</v>
      </c>
      <c r="D63" s="130"/>
      <c r="E63" s="130"/>
      <c r="F63" s="130"/>
      <c r="G63" s="130"/>
      <c r="H63" s="131"/>
    </row>
    <row r="64" spans="1:27">
      <c r="B64" s="258"/>
      <c r="C64" s="32" t="s">
        <v>67</v>
      </c>
      <c r="D64" s="130">
        <f>C52</f>
        <v>415.81056946960263</v>
      </c>
      <c r="E64" s="130">
        <f>D64*C21/100</f>
        <v>147.9869816742316</v>
      </c>
      <c r="F64" s="130">
        <f>D64*E21/100</f>
        <v>165.20153925027313</v>
      </c>
      <c r="G64" s="130">
        <f>D64*D21/100</f>
        <v>39.127774587089604</v>
      </c>
      <c r="H64" s="131">
        <f>D64*F21/100</f>
        <v>35.551803689651031</v>
      </c>
    </row>
    <row r="65" spans="1:16">
      <c r="B65" s="258"/>
      <c r="C65" s="32" t="s">
        <v>68</v>
      </c>
      <c r="D65" s="130">
        <f>B25</f>
        <v>25.5</v>
      </c>
      <c r="E65" s="130">
        <f>D65*H25/100</f>
        <v>2.5168499999999998</v>
      </c>
      <c r="F65" s="130">
        <f>D65*F25/100</f>
        <v>2.04</v>
      </c>
      <c r="G65" s="130">
        <f>D65*I25/100</f>
        <v>0.66810000000000003</v>
      </c>
      <c r="H65" s="131">
        <f>D65*G25/100</f>
        <v>0.84149999999999991</v>
      </c>
    </row>
    <row r="66" spans="1:16">
      <c r="B66" s="258"/>
      <c r="C66" s="171" t="s">
        <v>72</v>
      </c>
      <c r="D66" s="172">
        <f>SUM(D62:D65)</f>
        <v>1441.3105694696026</v>
      </c>
      <c r="E66" s="172">
        <f>SUM(E62:E65)</f>
        <v>161.00383167423161</v>
      </c>
      <c r="F66" s="172">
        <f t="shared" ref="F66:H66" si="11">SUM(F62:F65)</f>
        <v>167.24153925027312</v>
      </c>
      <c r="G66" s="172">
        <f t="shared" si="11"/>
        <v>39.795874587089607</v>
      </c>
      <c r="H66" s="173">
        <f t="shared" si="11"/>
        <v>36.393303689651034</v>
      </c>
    </row>
    <row r="67" spans="1:16" ht="16" thickBot="1">
      <c r="B67" s="266" t="s">
        <v>73</v>
      </c>
      <c r="C67" s="267"/>
      <c r="D67" s="132"/>
      <c r="E67" s="132">
        <f>(E61-E66)/E61</f>
        <v>-2.0687873518108482E-2</v>
      </c>
      <c r="F67" s="132">
        <f t="shared" ref="F67:H67" si="12">(F61-F66)/F61</f>
        <v>0</v>
      </c>
      <c r="G67" s="132">
        <f t="shared" si="12"/>
        <v>7.86229452138303E-2</v>
      </c>
      <c r="H67" s="132">
        <f t="shared" si="12"/>
        <v>6.3792614407471485E-2</v>
      </c>
    </row>
    <row r="69" spans="1:16" ht="20" thickBot="1">
      <c r="A69" s="264" t="s">
        <v>75</v>
      </c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</row>
    <row r="70" spans="1:16">
      <c r="B70" s="168" t="s">
        <v>76</v>
      </c>
      <c r="C70" s="152">
        <f>(B21*H21/100/72)/(B17*C17/100/56)</f>
        <v>2.0877318256471329E-3</v>
      </c>
      <c r="D70" s="152"/>
      <c r="E70" s="152" t="s">
        <v>81</v>
      </c>
      <c r="F70" s="152">
        <f>(B21*G21/100/71)/(B17*F17/100*55)</f>
        <v>8.6395916127741262E-4</v>
      </c>
      <c r="G70" s="152"/>
      <c r="H70" s="152" t="s">
        <v>82</v>
      </c>
      <c r="I70" s="153">
        <f>(B21*K21*2/32/100)/(B17*H17/100/32)</f>
        <v>21.46997774020074</v>
      </c>
    </row>
    <row r="71" spans="1:16">
      <c r="B71" s="281" t="s">
        <v>62</v>
      </c>
      <c r="C71" s="282"/>
      <c r="D71" s="133" t="s">
        <v>64</v>
      </c>
      <c r="E71" s="133" t="s">
        <v>77</v>
      </c>
      <c r="F71" s="133" t="s">
        <v>78</v>
      </c>
      <c r="G71" s="133" t="s">
        <v>79</v>
      </c>
      <c r="H71" s="133" t="s">
        <v>80</v>
      </c>
      <c r="I71" s="134"/>
    </row>
    <row r="72" spans="1:16">
      <c r="B72" s="281" t="s">
        <v>63</v>
      </c>
      <c r="C72" s="133" t="str">
        <f>C54</f>
        <v>焦炭</v>
      </c>
      <c r="D72" s="133">
        <f>D54</f>
        <v>384.86900000000003</v>
      </c>
      <c r="E72" s="133">
        <f t="shared" ref="E72:E78" si="13">D72*(F7/160*112+G7/72*56+H7/120*56+I7/88*56)/100</f>
        <v>1.1973702222222224</v>
      </c>
      <c r="F72" s="133">
        <f t="shared" ref="F72:F78" si="14">D72*(J7/119*55+K7/87*55)/100</f>
        <v>0</v>
      </c>
      <c r="G72" s="133">
        <f>D72*(V7)/100</f>
        <v>2.694083</v>
      </c>
      <c r="H72" s="133">
        <f>D72*L7/142*62/100</f>
        <v>3.3608278873239444E-2</v>
      </c>
      <c r="I72" s="134"/>
    </row>
    <row r="73" spans="1:16">
      <c r="B73" s="281"/>
      <c r="C73" s="133" t="str">
        <f t="shared" ref="C73:D73" si="15">C55</f>
        <v>煤粉</v>
      </c>
      <c r="D73" s="133">
        <f t="shared" si="15"/>
        <v>154.88654593300001</v>
      </c>
      <c r="E73" s="133">
        <f t="shared" si="13"/>
        <v>0.24093462700688889</v>
      </c>
      <c r="F73" s="133">
        <f t="shared" si="14"/>
        <v>0</v>
      </c>
      <c r="G73" s="133">
        <f t="shared" ref="G73:G78" si="16">D73*(V8)/100</f>
        <v>0.77443272966499999</v>
      </c>
      <c r="H73" s="133">
        <f>D73*L8/142*62/100</f>
        <v>2.0287956016576052E-2</v>
      </c>
      <c r="I73" s="134"/>
    </row>
    <row r="74" spans="1:16">
      <c r="B74" s="281"/>
      <c r="C74" s="133" t="str">
        <f t="shared" ref="C74:D74" si="17">C56</f>
        <v>烧结矿</v>
      </c>
      <c r="D74" s="133">
        <f t="shared" si="17"/>
        <v>1171.2690316696837</v>
      </c>
      <c r="E74" s="133">
        <f t="shared" si="13"/>
        <v>617.32905583182333</v>
      </c>
      <c r="F74" s="133">
        <f t="shared" si="14"/>
        <v>4.5167903462664238</v>
      </c>
      <c r="G74" s="133">
        <f t="shared" si="16"/>
        <v>0.43336954171778297</v>
      </c>
      <c r="H74" s="133">
        <f>D74*L9/142*62/100</f>
        <v>0.85849070997310095</v>
      </c>
      <c r="I74" s="134"/>
    </row>
    <row r="75" spans="1:16">
      <c r="B75" s="281"/>
      <c r="C75" s="133" t="str">
        <f t="shared" ref="C75:D76" si="18">C57</f>
        <v>球团矿</v>
      </c>
      <c r="D75" s="133">
        <f t="shared" si="18"/>
        <v>490.21263277871395</v>
      </c>
      <c r="E75" s="133">
        <f t="shared" si="13"/>
        <v>299.66299843325203</v>
      </c>
      <c r="F75" s="133">
        <f t="shared" si="14"/>
        <v>6.5048962518550164</v>
      </c>
      <c r="G75" s="133">
        <f t="shared" si="16"/>
        <v>9.1156206238137027E-2</v>
      </c>
      <c r="H75" s="133">
        <f>D75*L10/142*62/100</f>
        <v>0.1488947044861611</v>
      </c>
      <c r="I75" s="134"/>
    </row>
    <row r="76" spans="1:16">
      <c r="B76" s="281"/>
      <c r="C76" s="133" t="s">
        <v>359</v>
      </c>
      <c r="D76" s="133">
        <f t="shared" si="18"/>
        <v>83.04686992991806</v>
      </c>
      <c r="E76" s="133">
        <f t="shared" si="13"/>
        <v>50.62075819428194</v>
      </c>
      <c r="F76" s="133">
        <f t="shared" si="14"/>
        <v>0</v>
      </c>
      <c r="G76" s="133">
        <f t="shared" si="16"/>
        <v>0</v>
      </c>
      <c r="H76" s="133">
        <f>D76*L11/142*62/100</f>
        <v>0</v>
      </c>
      <c r="I76" s="134"/>
    </row>
    <row r="77" spans="1:16">
      <c r="B77" s="281"/>
      <c r="C77" s="133" t="str">
        <f t="shared" ref="C77:D77" si="19">C59</f>
        <v>锰矿</v>
      </c>
      <c r="D77" s="133">
        <f t="shared" si="19"/>
        <v>0</v>
      </c>
      <c r="E77" s="133">
        <f t="shared" si="13"/>
        <v>0</v>
      </c>
      <c r="F77" s="133">
        <f t="shared" si="14"/>
        <v>0</v>
      </c>
      <c r="G77" s="133">
        <f t="shared" si="16"/>
        <v>0</v>
      </c>
      <c r="H77" s="133">
        <f>D77*L12/124*64/100</f>
        <v>0</v>
      </c>
      <c r="I77" s="134"/>
    </row>
    <row r="78" spans="1:16">
      <c r="B78" s="281"/>
      <c r="C78" s="133" t="str">
        <f t="shared" ref="C78:D78" si="20">C60</f>
        <v>萤石</v>
      </c>
      <c r="D78" s="133">
        <f t="shared" si="20"/>
        <v>0</v>
      </c>
      <c r="E78" s="133">
        <f t="shared" si="13"/>
        <v>0</v>
      </c>
      <c r="F78" s="133">
        <f t="shared" si="14"/>
        <v>0</v>
      </c>
      <c r="G78" s="133">
        <f t="shared" si="16"/>
        <v>0</v>
      </c>
      <c r="H78" s="133">
        <f>D78*L13/124*64/100</f>
        <v>0</v>
      </c>
      <c r="I78" s="134"/>
    </row>
    <row r="79" spans="1:16">
      <c r="B79" s="281"/>
      <c r="C79" s="169" t="str">
        <f t="shared" ref="C79" si="21">C61</f>
        <v>合计</v>
      </c>
      <c r="D79" s="169"/>
      <c r="E79" s="169">
        <f>SUM(E72:E78)</f>
        <v>969.05111730858641</v>
      </c>
      <c r="F79" s="169">
        <f>SUM(F72:F78)</f>
        <v>11.021686598121441</v>
      </c>
      <c r="G79" s="169">
        <f>SUM(G72:G78)</f>
        <v>3.99304147762092</v>
      </c>
      <c r="H79" s="169">
        <f>SUM(H72:H78)</f>
        <v>1.0612816493490775</v>
      </c>
      <c r="I79" s="134"/>
    </row>
    <row r="80" spans="1:16">
      <c r="B80" s="281" t="s">
        <v>69</v>
      </c>
      <c r="C80" s="133" t="str">
        <f>C62</f>
        <v>生铁</v>
      </c>
      <c r="D80" s="133">
        <f>D62</f>
        <v>1000</v>
      </c>
      <c r="E80" s="133">
        <f>D80*C17/100</f>
        <v>944.94423183391007</v>
      </c>
      <c r="F80" s="133">
        <f>D80*F17/100</f>
        <v>2.13219723183391</v>
      </c>
      <c r="G80" s="133">
        <f>D80*H17/100</f>
        <v>0.18592387543252584</v>
      </c>
      <c r="H80" s="133">
        <f>D80*G17/100</f>
        <v>1.074368512110724</v>
      </c>
      <c r="I80" s="134"/>
    </row>
    <row r="81" spans="1:16">
      <c r="B81" s="281"/>
      <c r="C81" s="133" t="str">
        <f t="shared" ref="C81:D81" si="22">C63</f>
        <v>回收铁</v>
      </c>
      <c r="D81" s="133">
        <f t="shared" si="22"/>
        <v>0</v>
      </c>
      <c r="E81" s="133"/>
      <c r="F81" s="133"/>
      <c r="G81" s="133"/>
      <c r="H81" s="133"/>
      <c r="I81" s="134"/>
    </row>
    <row r="82" spans="1:16">
      <c r="B82" s="281"/>
      <c r="C82" s="133" t="str">
        <f t="shared" ref="C82:D82" si="23">C64</f>
        <v>炉渣</v>
      </c>
      <c r="D82" s="133">
        <f t="shared" si="23"/>
        <v>415.81056946960263</v>
      </c>
      <c r="E82" s="133">
        <f>D82*H21/100/72*56</f>
        <v>1.9727901462613366</v>
      </c>
      <c r="F82" s="133">
        <f>D82*G21/100/71*55</f>
        <v>5.5724472795820681</v>
      </c>
      <c r="G82" s="133">
        <f>D82*K21/100*2</f>
        <v>3.991781466908185</v>
      </c>
      <c r="H82" s="133"/>
      <c r="I82" s="134"/>
    </row>
    <row r="83" spans="1:16">
      <c r="B83" s="281"/>
      <c r="C83" s="133" t="str">
        <f t="shared" ref="C83:D83" si="24">C65</f>
        <v>炉尘</v>
      </c>
      <c r="D83" s="133">
        <f t="shared" si="24"/>
        <v>25.5</v>
      </c>
      <c r="E83" s="133">
        <f>D83*(C25/160*112+D25/72*56)/100</f>
        <v>9.7474883333333313</v>
      </c>
      <c r="F83" s="133">
        <f>D83*E25/100*55</f>
        <v>3.3660000000000001</v>
      </c>
      <c r="G83" s="133"/>
      <c r="H83" s="133"/>
      <c r="I83" s="134"/>
    </row>
    <row r="84" spans="1:16">
      <c r="B84" s="281"/>
      <c r="C84" s="169" t="str">
        <f t="shared" ref="C84" si="25">C66</f>
        <v>合计</v>
      </c>
      <c r="D84" s="169">
        <f>SUM(D80:D83)</f>
        <v>1441.3105694696026</v>
      </c>
      <c r="E84" s="169">
        <f>SUM(E80:E83)</f>
        <v>956.66451031350471</v>
      </c>
      <c r="F84" s="169">
        <f t="shared" ref="F84:H84" si="26">SUM(F80:F83)</f>
        <v>11.070644511415978</v>
      </c>
      <c r="G84" s="169">
        <f t="shared" si="26"/>
        <v>4.1777053423407109</v>
      </c>
      <c r="H84" s="169">
        <f t="shared" si="26"/>
        <v>1.074368512110724</v>
      </c>
      <c r="I84" s="134"/>
    </row>
    <row r="85" spans="1:16" ht="16" thickBot="1">
      <c r="B85" s="283" t="s">
        <v>73</v>
      </c>
      <c r="C85" s="284"/>
      <c r="D85" s="170"/>
      <c r="E85" s="170">
        <f t="shared" ref="E85:H85" si="27">(E79-E84)/E79</f>
        <v>1.2782201861016267E-2</v>
      </c>
      <c r="F85" s="170">
        <f t="shared" si="27"/>
        <v>-4.4419620226618557E-3</v>
      </c>
      <c r="G85" s="170">
        <f t="shared" si="27"/>
        <v>-4.6246417863361346E-2</v>
      </c>
      <c r="H85" s="170">
        <f t="shared" si="27"/>
        <v>-1.2331187267463965E-2</v>
      </c>
      <c r="I85" s="135"/>
    </row>
    <row r="86" spans="1:16">
      <c r="F86" s="280"/>
      <c r="G86" s="280"/>
      <c r="H86" s="280"/>
    </row>
    <row r="89" spans="1:16" ht="20" thickBot="1">
      <c r="A89" s="264" t="s">
        <v>395</v>
      </c>
      <c r="B89" s="265"/>
      <c r="C89" s="265"/>
      <c r="D89" s="265"/>
      <c r="E89" s="265"/>
      <c r="F89" s="265"/>
      <c r="G89" s="265"/>
      <c r="H89" s="265"/>
      <c r="I89" s="265"/>
      <c r="J89" s="265"/>
      <c r="K89" s="265"/>
      <c r="L89" s="265"/>
      <c r="M89" s="265"/>
      <c r="N89" s="265"/>
      <c r="O89" s="265"/>
      <c r="P89" s="265"/>
    </row>
    <row r="90" spans="1:16" ht="16" thickBot="1">
      <c r="B90" s="273" t="s">
        <v>83</v>
      </c>
      <c r="C90" s="274"/>
      <c r="D90" s="174">
        <f>(E7*U7/100+E8*U8/100)</f>
        <v>436.52723868426199</v>
      </c>
      <c r="E90" s="11" t="s">
        <v>93</v>
      </c>
    </row>
    <row r="91" spans="1:16" ht="16" thickBot="1">
      <c r="B91" s="275" t="s">
        <v>84</v>
      </c>
      <c r="C91" s="244"/>
      <c r="D91" s="175">
        <f>B17*D17/100</f>
        <v>45.3</v>
      </c>
      <c r="E91" s="11" t="s">
        <v>93</v>
      </c>
    </row>
    <row r="92" spans="1:16">
      <c r="B92" s="275" t="s">
        <v>85</v>
      </c>
      <c r="C92" s="244"/>
      <c r="D92" s="175">
        <f>B25*(K25/100+L25/100/44*12)</f>
        <v>5.2764136363636371</v>
      </c>
      <c r="E92" s="11" t="s">
        <v>93</v>
      </c>
    </row>
    <row r="93" spans="1:16" ht="16" thickBot="1">
      <c r="B93" s="26"/>
      <c r="C93" s="27"/>
      <c r="D93" s="175"/>
      <c r="E93" s="7"/>
      <c r="G93">
        <f>137.12*0.05</f>
        <v>6.8560000000000008</v>
      </c>
    </row>
    <row r="94" spans="1:16">
      <c r="B94" s="276" t="s">
        <v>86</v>
      </c>
      <c r="C94" s="277"/>
      <c r="D94" s="176">
        <f>D90-D91-D92</f>
        <v>385.95082504789832</v>
      </c>
      <c r="E94" s="11" t="s">
        <v>93</v>
      </c>
    </row>
    <row r="95" spans="1:16">
      <c r="B95" s="26"/>
      <c r="C95" s="27"/>
      <c r="D95" s="175"/>
      <c r="E95" s="7"/>
    </row>
    <row r="96" spans="1:16" ht="16" thickBot="1">
      <c r="B96" s="278" t="s">
        <v>87</v>
      </c>
      <c r="C96" s="279"/>
      <c r="D96" s="177">
        <f>D94/12*22.4/((C29+D29+F29)/100)</f>
        <v>1654.759302110014</v>
      </c>
      <c r="E96" s="33" t="s">
        <v>95</v>
      </c>
      <c r="F96" t="s">
        <v>365</v>
      </c>
      <c r="G96">
        <f>22.4/12</f>
        <v>1.8666666666666665</v>
      </c>
    </row>
    <row r="97" spans="2:8" ht="16" thickBot="1">
      <c r="D97" s="178"/>
    </row>
    <row r="98" spans="2:8">
      <c r="B98" s="257" t="s">
        <v>360</v>
      </c>
      <c r="C98" s="245"/>
      <c r="D98" s="174">
        <f>E7*(F7/160*48+G7/72*16+K7/71*16)/100</f>
        <v>0.34210577777777779</v>
      </c>
      <c r="E98" s="11" t="s">
        <v>93</v>
      </c>
    </row>
    <row r="99" spans="2:8">
      <c r="B99" s="258" t="s">
        <v>361</v>
      </c>
      <c r="C99" s="259"/>
      <c r="D99" s="175">
        <f>E8*(F8/160*48+G8/72*16+K8/71*16+Y8)/100</f>
        <v>11.638863446054211</v>
      </c>
      <c r="E99" s="7" t="s">
        <v>93</v>
      </c>
    </row>
    <row r="100" spans="2:8">
      <c r="B100" s="258" t="s">
        <v>362</v>
      </c>
      <c r="C100" s="259"/>
      <c r="D100" s="175">
        <f>E9*(F9/160*48+G9/72*16+K9/71*16)/100</f>
        <v>254.36287473685647</v>
      </c>
      <c r="E100" s="7" t="s">
        <v>93</v>
      </c>
    </row>
    <row r="101" spans="2:8">
      <c r="B101" s="258" t="s">
        <v>363</v>
      </c>
      <c r="C101" s="259"/>
      <c r="D101" s="175">
        <f>E10*(F10/160*48+G10/72*16+K10/71*16)/100</f>
        <v>130.40328271764545</v>
      </c>
      <c r="E101" s="7" t="s">
        <v>93</v>
      </c>
      <c r="G101">
        <f>D100+D101</f>
        <v>384.76615745450192</v>
      </c>
    </row>
    <row r="102" spans="2:8">
      <c r="B102" s="129" t="s">
        <v>393</v>
      </c>
      <c r="C102" s="128"/>
      <c r="D102" s="175">
        <f>E11*(F11/160*48+G11/72*16+K11/71*16)/100</f>
        <v>21.613409270760783</v>
      </c>
      <c r="E102" s="7" t="s">
        <v>93</v>
      </c>
      <c r="G102" s="178">
        <f>SUM(D100:D102)</f>
        <v>406.37956672526269</v>
      </c>
    </row>
    <row r="103" spans="2:8">
      <c r="B103" s="255" t="s">
        <v>390</v>
      </c>
      <c r="C103" s="256"/>
      <c r="D103" s="175">
        <f>(E17/28*32+F17/55*16+G17/62*80)*10+B21*K21/100*2/32*16</f>
        <v>9.6024482429163864</v>
      </c>
      <c r="E103" s="7" t="s">
        <v>93</v>
      </c>
    </row>
    <row r="104" spans="2:8">
      <c r="B104" s="255" t="s">
        <v>391</v>
      </c>
      <c r="C104" s="256"/>
      <c r="D104" s="175">
        <f>B21*H21/100/72*56</f>
        <v>1.9727901462613366</v>
      </c>
      <c r="E104" s="7" t="s">
        <v>93</v>
      </c>
    </row>
    <row r="105" spans="2:8">
      <c r="B105" s="255" t="s">
        <v>392</v>
      </c>
      <c r="C105" s="256"/>
      <c r="D105" s="175">
        <f>B25*(C25/160*48+D25/72*16+E25/71*16+L25/44*32)/100</f>
        <v>4.2984895795988054</v>
      </c>
      <c r="E105" s="7" t="s">
        <v>93</v>
      </c>
      <c r="G105">
        <f>5.6*(3.69+7.29)</f>
        <v>61.488</v>
      </c>
      <c r="H105">
        <f>(0.18+0.5*0.245-0.5*0.03-0.005)*1693.92+5.6*(3.69+7.29)-0.7*(396.46+13.42)</f>
        <v>253.1044</v>
      </c>
    </row>
    <row r="106" spans="2:8">
      <c r="B106" s="260" t="s">
        <v>96</v>
      </c>
      <c r="C106" s="261"/>
      <c r="D106" s="179">
        <f>SUM(D98:D103)-D104-D105</f>
        <v>421.6917044661509</v>
      </c>
      <c r="E106" s="34" t="s">
        <v>93</v>
      </c>
      <c r="F106">
        <f>(396.46+13.42)</f>
        <v>409.88</v>
      </c>
      <c r="H106">
        <f>H105/0.21</f>
        <v>1205.2590476190476</v>
      </c>
    </row>
    <row r="107" spans="2:8">
      <c r="B107" s="26"/>
      <c r="C107" s="27"/>
      <c r="D107" s="175"/>
      <c r="E107" s="7"/>
      <c r="F107" s="178">
        <f>D106-D99</f>
        <v>410.05284102009671</v>
      </c>
    </row>
    <row r="108" spans="2:8">
      <c r="B108" s="258" t="s">
        <v>364</v>
      </c>
      <c r="C108" s="259"/>
      <c r="D108" s="175">
        <f>D96*(C29+0.5*D29-0.5*E29-F29)/100</f>
        <v>466.62179317037896</v>
      </c>
      <c r="E108" s="7" t="s">
        <v>94</v>
      </c>
      <c r="F108">
        <f>(0.18+0.5*0.245-0.5*0.03-0.005)*1693.92</f>
        <v>478.5324</v>
      </c>
    </row>
    <row r="109" spans="2:8">
      <c r="B109" s="258" t="s">
        <v>97</v>
      </c>
      <c r="C109" s="259"/>
      <c r="D109" s="175">
        <f>((E7*W7+E8*W8)/100)/2/2*22.4</f>
        <v>68.968591215460151</v>
      </c>
      <c r="E109" s="7" t="s">
        <v>99</v>
      </c>
    </row>
    <row r="110" spans="2:8">
      <c r="B110" s="26"/>
      <c r="C110" s="27"/>
      <c r="D110" s="175"/>
      <c r="E110" s="7"/>
    </row>
    <row r="111" spans="2:8">
      <c r="B111" s="260" t="s">
        <v>98</v>
      </c>
      <c r="C111" s="261"/>
      <c r="D111" s="179">
        <f>D108+D109-D106*0.7</f>
        <v>240.4061912595335</v>
      </c>
      <c r="E111" s="34" t="s">
        <v>99</v>
      </c>
    </row>
    <row r="112" spans="2:8">
      <c r="B112" s="26"/>
      <c r="C112" s="27"/>
      <c r="D112" s="175"/>
      <c r="E112" s="7"/>
    </row>
    <row r="113" spans="2:8">
      <c r="B113" s="255" t="s">
        <v>250</v>
      </c>
      <c r="C113" s="256"/>
      <c r="D113" s="180">
        <f>C35</f>
        <v>0.2313152</v>
      </c>
      <c r="E113" s="39"/>
    </row>
    <row r="114" spans="2:8" ht="16" thickBot="1">
      <c r="B114" s="262" t="s">
        <v>249</v>
      </c>
      <c r="C114" s="263"/>
      <c r="D114" s="181">
        <f>D111/D113</f>
        <v>1039.3013137897271</v>
      </c>
      <c r="E114" s="35" t="s">
        <v>99</v>
      </c>
      <c r="F114" s="182" t="s">
        <v>388</v>
      </c>
      <c r="G114" s="182" t="s">
        <v>389</v>
      </c>
    </row>
    <row r="115" spans="2:8" ht="16" thickBot="1">
      <c r="D115" s="178"/>
    </row>
    <row r="116" spans="2:8">
      <c r="B116" s="257" t="s">
        <v>251</v>
      </c>
      <c r="C116" s="245"/>
      <c r="D116" s="174">
        <f>32/22.4*D113+28/22.4*(1-D113-C33)+C33*18/22.4</f>
        <v>1.2846634285714285</v>
      </c>
      <c r="E116" s="11" t="s">
        <v>254</v>
      </c>
    </row>
    <row r="117" spans="2:8">
      <c r="B117" s="26"/>
      <c r="C117" s="27"/>
      <c r="D117" s="175"/>
      <c r="E117" s="7"/>
    </row>
    <row r="118" spans="2:8">
      <c r="B118" s="258" t="s">
        <v>252</v>
      </c>
      <c r="C118" s="259"/>
      <c r="D118" s="175">
        <f>D114*D116</f>
        <v>1335.1523890919009</v>
      </c>
      <c r="E118" s="7" t="s">
        <v>255</v>
      </c>
    </row>
    <row r="119" spans="2:8">
      <c r="B119" s="26"/>
      <c r="C119" s="27"/>
      <c r="D119" s="175"/>
      <c r="E119" s="7"/>
    </row>
    <row r="120" spans="2:8">
      <c r="B120" s="258" t="s">
        <v>253</v>
      </c>
      <c r="C120" s="259"/>
      <c r="D120" s="175">
        <f>(C29/22.4*44+D29/22.4*28+E29/22.4*2+F29/22.4*16+G29/22.4*28)/100</f>
        <v>1.3348928571428571</v>
      </c>
      <c r="E120" s="7" t="s">
        <v>254</v>
      </c>
    </row>
    <row r="121" spans="2:8">
      <c r="B121" s="258" t="s">
        <v>256</v>
      </c>
      <c r="C121" s="259"/>
      <c r="D121" s="175">
        <f>D96*D120</f>
        <v>2208.926372677357</v>
      </c>
      <c r="E121" s="7" t="s">
        <v>257</v>
      </c>
    </row>
    <row r="122" spans="2:8" ht="16" thickBot="1">
      <c r="B122" s="262" t="s">
        <v>258</v>
      </c>
      <c r="C122" s="263"/>
      <c r="D122" s="181">
        <f>D109/22.4*2*18</f>
        <v>110.84237873913239</v>
      </c>
      <c r="E122" s="35" t="s">
        <v>259</v>
      </c>
      <c r="F122" t="s">
        <v>260</v>
      </c>
    </row>
    <row r="123" spans="2:8" ht="16" thickBot="1"/>
    <row r="124" spans="2:8" ht="16" thickTop="1">
      <c r="B124" s="292" t="s">
        <v>244</v>
      </c>
      <c r="C124" s="293"/>
      <c r="D124" s="293"/>
      <c r="E124" s="294"/>
    </row>
    <row r="125" spans="2:8">
      <c r="B125" s="295" t="s">
        <v>230</v>
      </c>
      <c r="C125" s="296"/>
      <c r="D125" s="296" t="s">
        <v>231</v>
      </c>
      <c r="E125" s="297"/>
      <c r="G125" t="s">
        <v>261</v>
      </c>
      <c r="H125">
        <f>G128/(G128+H128)/12*22.4+H128/(G128+H128)/12*22.4</f>
        <v>1.8666666666666667</v>
      </c>
    </row>
    <row r="126" spans="2:8">
      <c r="B126" s="187" t="s">
        <v>232</v>
      </c>
      <c r="C126" s="185" t="s">
        <v>233</v>
      </c>
      <c r="D126" s="185" t="s">
        <v>232</v>
      </c>
      <c r="E126" s="188" t="s">
        <v>233</v>
      </c>
    </row>
    <row r="127" spans="2:8">
      <c r="B127" s="187" t="s">
        <v>245</v>
      </c>
      <c r="C127" s="186">
        <f>E9</f>
        <v>1171.2690316696837</v>
      </c>
      <c r="D127" s="185" t="s">
        <v>234</v>
      </c>
      <c r="E127" s="189">
        <v>1000</v>
      </c>
      <c r="G127" t="s">
        <v>215</v>
      </c>
      <c r="H127" t="s">
        <v>208</v>
      </c>
    </row>
    <row r="128" spans="2:8">
      <c r="B128" s="187" t="s">
        <v>246</v>
      </c>
      <c r="C128" s="186">
        <f>E10</f>
        <v>490.21263277871395</v>
      </c>
      <c r="D128" s="185" t="s">
        <v>235</v>
      </c>
      <c r="E128" s="189">
        <f>C52</f>
        <v>415.81056946960263</v>
      </c>
      <c r="G128">
        <v>18.18</v>
      </c>
      <c r="H128">
        <v>23.7</v>
      </c>
    </row>
    <row r="129" spans="1:16">
      <c r="B129" s="187" t="s">
        <v>359</v>
      </c>
      <c r="C129" s="186">
        <f>E11</f>
        <v>83.04686992991806</v>
      </c>
      <c r="D129" s="185" t="s">
        <v>236</v>
      </c>
      <c r="E129" s="189">
        <f>D121</f>
        <v>2208.926372677357</v>
      </c>
    </row>
    <row r="130" spans="1:16">
      <c r="B130" s="187" t="s">
        <v>247</v>
      </c>
      <c r="C130" s="186">
        <f>E7</f>
        <v>384.86900000000003</v>
      </c>
      <c r="D130" s="185" t="s">
        <v>237</v>
      </c>
      <c r="E130" s="189">
        <f>D122</f>
        <v>110.84237873913239</v>
      </c>
    </row>
    <row r="131" spans="1:16">
      <c r="B131" s="187" t="s">
        <v>248</v>
      </c>
      <c r="C131" s="186">
        <f>E8</f>
        <v>154.88654593300001</v>
      </c>
      <c r="D131" s="185" t="s">
        <v>239</v>
      </c>
      <c r="E131" s="189">
        <f>B25</f>
        <v>25.5</v>
      </c>
      <c r="H131">
        <f>11.2/12</f>
        <v>0.93333333333333324</v>
      </c>
    </row>
    <row r="132" spans="1:16">
      <c r="B132" s="187" t="s">
        <v>238</v>
      </c>
      <c r="C132" s="186">
        <f>D118</f>
        <v>1335.1523890919009</v>
      </c>
      <c r="D132" s="185" t="s">
        <v>241</v>
      </c>
      <c r="E132" s="189">
        <f>SUM(E127:E131)</f>
        <v>3761.0793208860919</v>
      </c>
    </row>
    <row r="133" spans="1:16">
      <c r="B133" s="187" t="s">
        <v>240</v>
      </c>
      <c r="C133" s="186">
        <f>SUM(C127:C132)</f>
        <v>3619.4364694032165</v>
      </c>
      <c r="D133" s="185"/>
      <c r="E133" s="188"/>
    </row>
    <row r="134" spans="1:16" ht="16" thickBot="1">
      <c r="B134" s="190" t="s">
        <v>242</v>
      </c>
      <c r="C134" s="191">
        <f>C133-E132</f>
        <v>-141.64285148287536</v>
      </c>
      <c r="D134" s="192" t="s">
        <v>243</v>
      </c>
      <c r="E134" s="193">
        <f>C134/C133</f>
        <v>-3.9133951564075897E-2</v>
      </c>
    </row>
    <row r="135" spans="1:16" ht="17" thickTop="1" thickBot="1">
      <c r="E135" s="94"/>
    </row>
    <row r="136" spans="1:16" s="300" customFormat="1" ht="39" customHeight="1" thickTop="1" thickBot="1">
      <c r="A136" s="298" t="s">
        <v>408</v>
      </c>
      <c r="B136" s="299"/>
      <c r="C136" s="299"/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</row>
    <row r="137" spans="1:16" ht="22" thickTop="1">
      <c r="A137" s="247" t="s">
        <v>396</v>
      </c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</row>
    <row r="138" spans="1:16" ht="20" thickBot="1">
      <c r="A138" s="249" t="s">
        <v>102</v>
      </c>
      <c r="B138" s="250"/>
      <c r="C138" s="250"/>
      <c r="D138" s="250"/>
      <c r="E138" s="250"/>
      <c r="F138" s="250"/>
      <c r="G138" s="250"/>
      <c r="H138" s="250"/>
      <c r="I138" s="250"/>
    </row>
    <row r="139" spans="1:16">
      <c r="B139" s="23" t="s">
        <v>103</v>
      </c>
      <c r="C139" s="10" t="s">
        <v>104</v>
      </c>
      <c r="D139" s="10"/>
      <c r="E139" s="10" t="s">
        <v>112</v>
      </c>
      <c r="F139" s="11"/>
    </row>
    <row r="140" spans="1:16">
      <c r="B140" s="26" t="str">
        <f>B7</f>
        <v>焦炭</v>
      </c>
      <c r="C140" s="194">
        <f>SUM(M7:P7)/100</f>
        <v>0.11720000000000001</v>
      </c>
      <c r="D140" s="194" t="s">
        <v>105</v>
      </c>
      <c r="E140" s="194">
        <f t="shared" ref="E140:E146" si="28">F42</f>
        <v>384.86900000000003</v>
      </c>
      <c r="F140" s="7" t="s">
        <v>111</v>
      </c>
    </row>
    <row r="141" spans="1:16">
      <c r="B141" s="26" t="str">
        <f>B8</f>
        <v>煤粉</v>
      </c>
      <c r="C141" s="194">
        <f t="shared" ref="C141:C146" si="29">SUM(M8:P8)/100</f>
        <v>0.13200000000000001</v>
      </c>
      <c r="D141" s="194" t="s">
        <v>105</v>
      </c>
      <c r="E141" s="194">
        <f t="shared" si="28"/>
        <v>154.88654593300001</v>
      </c>
      <c r="F141" s="7" t="s">
        <v>111</v>
      </c>
    </row>
    <row r="142" spans="1:16">
      <c r="B142" s="26" t="str">
        <f>B9</f>
        <v>烧结矿</v>
      </c>
      <c r="C142" s="194">
        <f t="shared" si="29"/>
        <v>0.23870000000000005</v>
      </c>
      <c r="D142" s="194" t="s">
        <v>105</v>
      </c>
      <c r="E142" s="194">
        <f t="shared" si="28"/>
        <v>1171.2690316696837</v>
      </c>
      <c r="F142" s="7" t="s">
        <v>111</v>
      </c>
    </row>
    <row r="143" spans="1:16">
      <c r="B143" s="26" t="str">
        <f>B10</f>
        <v>球团矿</v>
      </c>
      <c r="C143" s="194">
        <f t="shared" si="29"/>
        <v>0.10423657160286717</v>
      </c>
      <c r="D143" s="194" t="s">
        <v>105</v>
      </c>
      <c r="E143" s="194">
        <f t="shared" si="28"/>
        <v>490.21263277871395</v>
      </c>
      <c r="F143" s="7" t="s">
        <v>111</v>
      </c>
    </row>
    <row r="144" spans="1:16">
      <c r="B144" s="26" t="s">
        <v>394</v>
      </c>
      <c r="C144" s="194">
        <f t="shared" si="29"/>
        <v>0.13023055555555552</v>
      </c>
      <c r="D144" s="194" t="s">
        <v>105</v>
      </c>
      <c r="E144" s="194">
        <f t="shared" si="28"/>
        <v>83.04686992991806</v>
      </c>
      <c r="F144" s="7" t="s">
        <v>111</v>
      </c>
    </row>
    <row r="145" spans="1:9">
      <c r="B145" s="26" t="str">
        <f>B12</f>
        <v>锰矿</v>
      </c>
      <c r="C145" s="194">
        <f t="shared" si="29"/>
        <v>0</v>
      </c>
      <c r="D145" s="194" t="s">
        <v>105</v>
      </c>
      <c r="E145" s="194">
        <f t="shared" si="28"/>
        <v>0</v>
      </c>
      <c r="F145" s="7" t="s">
        <v>111</v>
      </c>
    </row>
    <row r="146" spans="1:9">
      <c r="B146" s="26" t="str">
        <f>B13</f>
        <v>萤石</v>
      </c>
      <c r="C146" s="194">
        <f t="shared" si="29"/>
        <v>0</v>
      </c>
      <c r="D146" s="194" t="s">
        <v>105</v>
      </c>
      <c r="E146" s="194">
        <f t="shared" si="28"/>
        <v>0</v>
      </c>
      <c r="F146" s="7" t="s">
        <v>111</v>
      </c>
    </row>
    <row r="147" spans="1:9">
      <c r="B147" s="26"/>
      <c r="C147" s="194"/>
      <c r="D147" s="194"/>
      <c r="E147" s="194"/>
      <c r="F147" s="7"/>
    </row>
    <row r="148" spans="1:9">
      <c r="B148" s="26" t="s">
        <v>109</v>
      </c>
      <c r="C148" s="194">
        <f>B17*D17/100</f>
        <v>45.3</v>
      </c>
      <c r="D148" s="194" t="s">
        <v>111</v>
      </c>
      <c r="E148" s="194"/>
      <c r="F148" s="7"/>
    </row>
    <row r="149" spans="1:9">
      <c r="B149" s="26" t="s">
        <v>110</v>
      </c>
      <c r="C149" s="194">
        <f>B25*K25/100</f>
        <v>5.1637500000000003</v>
      </c>
      <c r="D149" s="194" t="s">
        <v>111</v>
      </c>
      <c r="E149" s="194"/>
      <c r="F149" s="7"/>
    </row>
    <row r="150" spans="1:9">
      <c r="B150" s="26" t="s">
        <v>178</v>
      </c>
      <c r="C150" s="194">
        <f>10*(E17/28*24+F17/55*12+G17/62*60+C52/10*H17/32*12+I17/48*24+J17/51*2.5*12)</f>
        <v>9.3981290252775</v>
      </c>
      <c r="D150" s="194" t="s">
        <v>111</v>
      </c>
      <c r="E150" s="194"/>
      <c r="F150" s="7"/>
    </row>
    <row r="151" spans="1:9">
      <c r="B151" s="26"/>
      <c r="C151" s="194"/>
      <c r="D151" s="194"/>
      <c r="E151" s="194"/>
      <c r="F151" s="7"/>
    </row>
    <row r="152" spans="1:9" ht="16" thickBot="1">
      <c r="B152" s="12" t="s">
        <v>412</v>
      </c>
      <c r="C152" s="195">
        <f>C142*E142+C143*E143+C144*E144+E141*C141+(C148+C150)/(U7/100)*C140-10*E17/28*60</f>
        <v>358.96951865366123</v>
      </c>
      <c r="D152" s="195" t="s">
        <v>111</v>
      </c>
      <c r="E152" s="195"/>
      <c r="F152" s="8"/>
    </row>
    <row r="153" spans="1:9">
      <c r="C153" t="s">
        <v>113</v>
      </c>
    </row>
    <row r="155" spans="1:9" ht="20" thickBot="1">
      <c r="A155" s="249" t="s">
        <v>410</v>
      </c>
      <c r="B155" s="250"/>
      <c r="C155" s="250"/>
      <c r="D155" s="250"/>
      <c r="E155" s="250"/>
      <c r="F155" s="250"/>
      <c r="G155" s="250"/>
      <c r="H155" s="250"/>
      <c r="I155" s="250"/>
    </row>
    <row r="156" spans="1:9" ht="16">
      <c r="B156" s="40" t="s">
        <v>123</v>
      </c>
      <c r="C156" s="10">
        <f>E8*U8/100</f>
        <v>108.83877582711909</v>
      </c>
      <c r="D156" s="11" t="s">
        <v>111</v>
      </c>
    </row>
    <row r="157" spans="1:9" ht="18">
      <c r="B157" s="41" t="s">
        <v>122</v>
      </c>
      <c r="C157" s="27">
        <f>(1-C32/100)*(0.21+C33/2)+C32/100</f>
        <v>0.23074351999999998</v>
      </c>
      <c r="D157" s="7"/>
      <c r="G157" s="92">
        <v>293.02699999999999</v>
      </c>
      <c r="H157">
        <v>1318.19</v>
      </c>
      <c r="I157">
        <f>G157/H157</f>
        <v>0.22229496506573407</v>
      </c>
    </row>
    <row r="158" spans="1:9" ht="16">
      <c r="B158" s="41" t="s">
        <v>119</v>
      </c>
      <c r="C158" s="27">
        <f>1/12*22.4/2/C157</f>
        <v>4.0448950996904847</v>
      </c>
      <c r="D158" s="7" t="s">
        <v>114</v>
      </c>
    </row>
    <row r="159" spans="1:9" ht="32">
      <c r="B159" s="41" t="s">
        <v>120</v>
      </c>
      <c r="C159" s="27">
        <f>C158*C33*C34/22.4</f>
        <v>1.2091347137289058E-3</v>
      </c>
      <c r="D159" s="7" t="s">
        <v>117</v>
      </c>
    </row>
    <row r="160" spans="1:9" ht="33" thickBot="1">
      <c r="B160" s="42" t="s">
        <v>121</v>
      </c>
      <c r="C160" s="13">
        <f>E8*((Y8/2+V8/18)/100*C34+W8/100*C159)</f>
        <v>2.6318305510198789</v>
      </c>
      <c r="D160" s="8" t="s">
        <v>118</v>
      </c>
    </row>
    <row r="161" spans="1:24">
      <c r="O161" s="46" t="s">
        <v>138</v>
      </c>
      <c r="P161" s="47"/>
      <c r="Q161" s="47"/>
      <c r="R161" s="47"/>
      <c r="S161" s="47"/>
      <c r="T161" s="47"/>
      <c r="U161" s="47"/>
      <c r="V161" s="47"/>
      <c r="W161" s="47"/>
      <c r="X161" s="48"/>
    </row>
    <row r="162" spans="1:24" ht="20" thickBot="1">
      <c r="A162" s="249" t="s">
        <v>124</v>
      </c>
      <c r="B162" s="250"/>
      <c r="C162" s="250"/>
      <c r="D162" s="250"/>
      <c r="E162" s="250"/>
      <c r="F162" s="250"/>
      <c r="G162" s="250"/>
      <c r="H162" s="250"/>
      <c r="I162" s="250"/>
      <c r="O162" s="49">
        <f>F32+273</f>
        <v>1440</v>
      </c>
      <c r="P162" t="s">
        <v>148</v>
      </c>
      <c r="X162" s="50"/>
    </row>
    <row r="163" spans="1:24" ht="16">
      <c r="B163" s="40" t="s">
        <v>150</v>
      </c>
      <c r="C163" s="174">
        <f>2340+C158*((V170-V180)*(1-C33)+(S168-S178)*C33-2580*C33)</f>
        <v>2504.3867955079832</v>
      </c>
      <c r="D163" s="11" t="s">
        <v>149</v>
      </c>
      <c r="J163" s="43" t="s">
        <v>125</v>
      </c>
      <c r="K163" s="44" t="s">
        <v>126</v>
      </c>
      <c r="L163" s="44" t="s">
        <v>127</v>
      </c>
      <c r="M163" s="44" t="s">
        <v>128</v>
      </c>
      <c r="N163" s="45" t="s">
        <v>129</v>
      </c>
      <c r="O163" s="51" t="s">
        <v>137</v>
      </c>
      <c r="U163" t="s">
        <v>136</v>
      </c>
      <c r="X163" s="50"/>
    </row>
    <row r="164" spans="1:24" ht="32">
      <c r="B164" s="59" t="s">
        <v>151</v>
      </c>
      <c r="C164" s="231">
        <f>C140*210/(U7/100)</f>
        <v>28.906711409395974</v>
      </c>
      <c r="D164" s="60" t="s">
        <v>149</v>
      </c>
      <c r="J164" s="45" t="s">
        <v>130</v>
      </c>
      <c r="K164" s="45">
        <v>44.14</v>
      </c>
      <c r="L164" s="44" t="s">
        <v>127</v>
      </c>
      <c r="M164" s="45">
        <v>9.0399999999999994E-3</v>
      </c>
      <c r="N164" s="45" t="s">
        <v>129</v>
      </c>
      <c r="O164" s="49">
        <f>((K164*(O$162-298)+M164/2*(O$162*O$162-298*298)))/1000</f>
        <v>59.379157919999997</v>
      </c>
      <c r="P164" t="s">
        <v>139</v>
      </c>
      <c r="Q164">
        <f>O164*1000/22.4</f>
        <v>2650.8552642857144</v>
      </c>
      <c r="R164" t="s">
        <v>141</v>
      </c>
      <c r="S164">
        <f>Q164/4.184</f>
        <v>633.56961383501778</v>
      </c>
      <c r="T164" t="s">
        <v>143</v>
      </c>
      <c r="X164" s="50"/>
    </row>
    <row r="165" spans="1:24" ht="32">
      <c r="B165" s="41" t="s">
        <v>152</v>
      </c>
      <c r="C165" s="175">
        <f>6620*C159</f>
        <v>8.0044718048853571</v>
      </c>
      <c r="D165" s="7" t="s">
        <v>149</v>
      </c>
      <c r="J165" s="45" t="s">
        <v>131</v>
      </c>
      <c r="K165" s="45">
        <v>27.87</v>
      </c>
      <c r="L165" s="44" t="s">
        <v>127</v>
      </c>
      <c r="M165" s="45">
        <v>4.28E-3</v>
      </c>
      <c r="N165" s="45" t="s">
        <v>129</v>
      </c>
      <c r="O165" s="49">
        <f t="shared" ref="O165:O169" si="30">((K165*(O$162-298)+M165/2*(O$162*O$162-298*298)))/1000</f>
        <v>36.075003440000003</v>
      </c>
      <c r="P165" t="s">
        <v>139</v>
      </c>
      <c r="Q165">
        <f t="shared" ref="Q165:Q169" si="31">O165*1000/22.4</f>
        <v>1610.4912250000002</v>
      </c>
      <c r="R165" t="s">
        <v>145</v>
      </c>
      <c r="S165">
        <f t="shared" ref="S165:S169" si="32">Q165/4.184</f>
        <v>384.91664077437861</v>
      </c>
      <c r="T165" t="s">
        <v>144</v>
      </c>
      <c r="U165">
        <v>0.79</v>
      </c>
      <c r="V165">
        <f>U165*S165</f>
        <v>304.0841462117591</v>
      </c>
      <c r="X165" s="50"/>
    </row>
    <row r="166" spans="1:24" ht="33" thickBot="1">
      <c r="B166" s="56" t="s">
        <v>153</v>
      </c>
      <c r="C166" s="232">
        <f>C163-C164-C165</f>
        <v>2467.4756122937019</v>
      </c>
      <c r="D166" s="58" t="s">
        <v>149</v>
      </c>
      <c r="J166" s="45" t="s">
        <v>132</v>
      </c>
      <c r="K166" s="45">
        <v>27.28</v>
      </c>
      <c r="L166" s="44" t="s">
        <v>127</v>
      </c>
      <c r="M166" s="45">
        <v>3.2599999999999999E-3</v>
      </c>
      <c r="N166" s="45" t="s">
        <v>129</v>
      </c>
      <c r="O166" s="49">
        <f t="shared" si="30"/>
        <v>34.388977480000001</v>
      </c>
      <c r="P166" t="s">
        <v>139</v>
      </c>
      <c r="Q166">
        <f t="shared" si="31"/>
        <v>1535.2222089285715</v>
      </c>
      <c r="R166" t="s">
        <v>140</v>
      </c>
      <c r="S166">
        <f t="shared" si="32"/>
        <v>366.9269141798689</v>
      </c>
      <c r="T166" t="s">
        <v>142</v>
      </c>
      <c r="X166" s="50"/>
    </row>
    <row r="167" spans="1:24">
      <c r="J167" s="45" t="s">
        <v>133</v>
      </c>
      <c r="K167" s="45">
        <v>28.41</v>
      </c>
      <c r="L167" s="44" t="s">
        <v>127</v>
      </c>
      <c r="M167" s="45">
        <v>4.1000000000000003E-3</v>
      </c>
      <c r="N167" s="45" t="s">
        <v>129</v>
      </c>
      <c r="O167" s="49">
        <f t="shared" si="30"/>
        <v>36.5130518</v>
      </c>
      <c r="P167" t="s">
        <v>139</v>
      </c>
      <c r="Q167">
        <f t="shared" si="31"/>
        <v>1630.0469553571429</v>
      </c>
      <c r="R167" t="s">
        <v>140</v>
      </c>
      <c r="S167">
        <f t="shared" si="32"/>
        <v>389.59057250409722</v>
      </c>
      <c r="T167" t="s">
        <v>142</v>
      </c>
      <c r="X167" s="50"/>
    </row>
    <row r="168" spans="1:24" ht="19">
      <c r="A168" s="249" t="s">
        <v>411</v>
      </c>
      <c r="B168" s="250"/>
      <c r="C168" s="250"/>
      <c r="D168" s="250"/>
      <c r="E168" s="250"/>
      <c r="F168" s="250"/>
      <c r="G168" s="250"/>
      <c r="H168" s="250"/>
      <c r="I168" s="250"/>
      <c r="J168" s="45" t="s">
        <v>134</v>
      </c>
      <c r="K168" s="45">
        <v>29.970600000000001</v>
      </c>
      <c r="L168" s="44" t="s">
        <v>127</v>
      </c>
      <c r="M168" s="45">
        <v>1.07008E-2</v>
      </c>
      <c r="N168" s="45" t="s">
        <v>129</v>
      </c>
      <c r="O168" s="49">
        <f t="shared" si="30"/>
        <v>44.845877718399997</v>
      </c>
      <c r="P168" t="s">
        <v>139</v>
      </c>
      <c r="Q168">
        <f t="shared" si="31"/>
        <v>2002.0481124285716</v>
      </c>
      <c r="R168" t="s">
        <v>140</v>
      </c>
      <c r="S168">
        <f t="shared" si="32"/>
        <v>478.50098289401802</v>
      </c>
      <c r="T168" t="s">
        <v>142</v>
      </c>
      <c r="X168" s="50"/>
    </row>
    <row r="169" spans="1:24" ht="16">
      <c r="B169" s="55" t="s">
        <v>154</v>
      </c>
      <c r="C169">
        <f>1000*(290-150)+C152*(430-220)+(53600*E17+12480*F17+62750*G17)+6620*C160+(250+345)*E8+300*U7/100*1000*0.8/F33</f>
        <v>446669.55429833988</v>
      </c>
      <c r="D169" t="s">
        <v>157</v>
      </c>
      <c r="J169" s="45" t="s">
        <v>135</v>
      </c>
      <c r="K169" s="45">
        <v>29.96</v>
      </c>
      <c r="L169" s="44" t="s">
        <v>127</v>
      </c>
      <c r="M169" s="45">
        <v>4.1840000000000002E-3</v>
      </c>
      <c r="N169" s="45" t="s">
        <v>129</v>
      </c>
      <c r="O169" s="49">
        <f t="shared" si="30"/>
        <v>38.366513231999996</v>
      </c>
      <c r="P169" t="s">
        <v>139</v>
      </c>
      <c r="Q169">
        <f t="shared" si="31"/>
        <v>1712.7907692857143</v>
      </c>
      <c r="R169" t="s">
        <v>140</v>
      </c>
      <c r="S169">
        <f t="shared" si="32"/>
        <v>409.36681866293361</v>
      </c>
      <c r="T169" t="s">
        <v>142</v>
      </c>
      <c r="U169">
        <v>0.21</v>
      </c>
      <c r="V169">
        <f>U169*S169</f>
        <v>85.967031919216055</v>
      </c>
      <c r="X169" s="50"/>
    </row>
    <row r="170" spans="1:24">
      <c r="O170" s="52"/>
      <c r="P170" s="53"/>
      <c r="Q170" s="53"/>
      <c r="R170" s="53"/>
      <c r="S170" s="53"/>
      <c r="T170" s="53"/>
      <c r="U170" s="53"/>
      <c r="V170" s="53">
        <f>SUM(V164:V169)</f>
        <v>390.05117813097513</v>
      </c>
      <c r="W170" s="53"/>
      <c r="X170" s="54" t="s">
        <v>141</v>
      </c>
    </row>
    <row r="171" spans="1:24" ht="20" thickBot="1">
      <c r="A171" s="249" t="s">
        <v>158</v>
      </c>
      <c r="B171" s="250"/>
      <c r="C171" s="250"/>
      <c r="D171" s="250"/>
      <c r="E171" s="250"/>
      <c r="F171" s="250"/>
      <c r="G171" s="250"/>
      <c r="H171" s="250"/>
      <c r="I171" s="250"/>
      <c r="O171" s="46" t="s">
        <v>138</v>
      </c>
      <c r="P171" s="47"/>
      <c r="Q171" s="47"/>
      <c r="R171" s="47"/>
      <c r="S171" s="47"/>
      <c r="T171" s="47"/>
      <c r="U171" s="47"/>
      <c r="V171" s="47"/>
      <c r="W171" s="47"/>
      <c r="X171" s="48"/>
    </row>
    <row r="172" spans="1:24">
      <c r="B172" s="23" t="s">
        <v>159</v>
      </c>
      <c r="C172" s="61" t="s">
        <v>161</v>
      </c>
      <c r="D172" s="10" t="s">
        <v>162</v>
      </c>
      <c r="E172" s="28" t="s">
        <v>160</v>
      </c>
      <c r="F172" s="62" t="s">
        <v>181</v>
      </c>
      <c r="G172" s="10" t="s">
        <v>166</v>
      </c>
      <c r="H172" s="28" t="s">
        <v>164</v>
      </c>
      <c r="I172" s="28" t="s">
        <v>165</v>
      </c>
      <c r="J172" s="63" t="s">
        <v>160</v>
      </c>
      <c r="K172" s="10" t="s">
        <v>167</v>
      </c>
      <c r="L172" s="10"/>
      <c r="M172" s="11"/>
      <c r="O172" s="49">
        <f>950+273</f>
        <v>1223</v>
      </c>
      <c r="P172" t="s">
        <v>148</v>
      </c>
      <c r="X172" s="50"/>
    </row>
    <row r="173" spans="1:24" ht="16" thickBot="1">
      <c r="B173" s="12"/>
      <c r="C173" s="57">
        <f>C166</f>
        <v>2467.4756122937019</v>
      </c>
      <c r="D173" s="13" t="s">
        <v>162</v>
      </c>
      <c r="E173" s="29" t="s">
        <v>160</v>
      </c>
      <c r="F173" s="64">
        <f>3030+C164</f>
        <v>3058.9067114093959</v>
      </c>
      <c r="G173" s="13" t="s">
        <v>163</v>
      </c>
      <c r="H173" s="29" t="s">
        <v>164</v>
      </c>
      <c r="I173" s="13">
        <f>C169</f>
        <v>446669.55429833988</v>
      </c>
      <c r="J173" s="65" t="s">
        <v>160</v>
      </c>
      <c r="K173" s="13">
        <f>C156*C163</f>
        <v>272574.39302069054</v>
      </c>
      <c r="L173" s="29" t="s">
        <v>164</v>
      </c>
      <c r="M173" s="8">
        <f>I173-K173</f>
        <v>174095.16127764934</v>
      </c>
      <c r="O173" s="51" t="s">
        <v>137</v>
      </c>
      <c r="U173" t="s">
        <v>136</v>
      </c>
      <c r="X173" s="50"/>
    </row>
    <row r="174" spans="1:24">
      <c r="O174" s="49">
        <f>((K164*(O$172-298)+M164/2*(O$172*O$172-298*298)))/1000</f>
        <v>47.188800999999998</v>
      </c>
      <c r="P174" t="s">
        <v>139</v>
      </c>
      <c r="Q174">
        <f>O174*1000/22.4</f>
        <v>2106.6429017857145</v>
      </c>
      <c r="R174" t="s">
        <v>141</v>
      </c>
      <c r="S174">
        <f>Q174/4.184</f>
        <v>503.49973752048624</v>
      </c>
      <c r="T174" t="s">
        <v>143</v>
      </c>
      <c r="X174" s="50"/>
    </row>
    <row r="175" spans="1:24">
      <c r="O175" s="49">
        <f t="shared" ref="O175:O179" si="33">((K165*(O$172-298)+M165/2*(O$172*O$172-298*298)))/1000</f>
        <v>28.7905695</v>
      </c>
      <c r="P175" t="s">
        <v>139</v>
      </c>
      <c r="Q175">
        <f t="shared" ref="Q175:Q179" si="34">O175*1000/22.4</f>
        <v>1285.2932812500001</v>
      </c>
      <c r="R175" t="s">
        <v>145</v>
      </c>
      <c r="S175">
        <f t="shared" ref="S175:S179" si="35">Q175/4.184</f>
        <v>307.1924668379541</v>
      </c>
      <c r="T175" t="s">
        <v>144</v>
      </c>
      <c r="U175">
        <v>0.79</v>
      </c>
      <c r="V175">
        <f>U175*S175</f>
        <v>242.68204880198374</v>
      </c>
      <c r="X175" s="50"/>
    </row>
    <row r="176" spans="1:24">
      <c r="B176" t="s">
        <v>168</v>
      </c>
      <c r="C176" t="s">
        <v>169</v>
      </c>
      <c r="D176">
        <f>E9*(F9/160*48+G9/72*16)/100+E10*(F10/160*48+G10/72*16)/100+E11*(F11/160*48+G11/72*16)/100-B25*(C25/160*48+D25/72*16)/100</f>
        <v>398.46644776164726</v>
      </c>
      <c r="E176" t="s">
        <v>111</v>
      </c>
      <c r="O176" s="49">
        <f t="shared" si="33"/>
        <v>27.527287749999999</v>
      </c>
      <c r="P176" t="s">
        <v>139</v>
      </c>
      <c r="Q176">
        <f t="shared" si="34"/>
        <v>1228.8967745535715</v>
      </c>
      <c r="R176" t="s">
        <v>140</v>
      </c>
      <c r="S176">
        <f t="shared" si="35"/>
        <v>293.71337823938131</v>
      </c>
      <c r="T176" t="s">
        <v>142</v>
      </c>
      <c r="X176" s="50"/>
    </row>
    <row r="177" spans="2:24">
      <c r="C177" t="s">
        <v>177</v>
      </c>
      <c r="D177">
        <f>E9*(F9/160*32+G9/72*16)/100+E10*(F10/160*32+G10/72*16)/100+E11*(F11/160*32+G11/72*16)/100-B25*(C25/160*32+D25/72*16)/100</f>
        <v>273.66867652758208</v>
      </c>
      <c r="E177" t="s">
        <v>111</v>
      </c>
      <c r="O177" s="49">
        <f t="shared" si="33"/>
        <v>29.16344625</v>
      </c>
      <c r="P177" t="s">
        <v>139</v>
      </c>
      <c r="Q177">
        <f t="shared" si="34"/>
        <v>1301.939564732143</v>
      </c>
      <c r="R177" t="s">
        <v>140</v>
      </c>
      <c r="S177">
        <f t="shared" si="35"/>
        <v>311.17102407556001</v>
      </c>
      <c r="T177" t="s">
        <v>142</v>
      </c>
      <c r="X177" s="50"/>
    </row>
    <row r="178" spans="2:24" ht="16" thickBot="1">
      <c r="O178" s="49">
        <f t="shared" si="33"/>
        <v>35.250416520000002</v>
      </c>
      <c r="P178" t="s">
        <v>139</v>
      </c>
      <c r="Q178">
        <f t="shared" si="34"/>
        <v>1573.6793089285716</v>
      </c>
      <c r="R178" t="s">
        <v>140</v>
      </c>
      <c r="S178">
        <f t="shared" si="35"/>
        <v>376.11838167508881</v>
      </c>
      <c r="T178" t="s">
        <v>142</v>
      </c>
      <c r="X178" s="50"/>
    </row>
    <row r="179" spans="2:24" ht="33" customHeight="1">
      <c r="B179" s="23" t="s">
        <v>170</v>
      </c>
      <c r="C179" s="24" t="s">
        <v>171</v>
      </c>
      <c r="D179" s="10" t="s">
        <v>162</v>
      </c>
      <c r="E179" s="28" t="s">
        <v>172</v>
      </c>
      <c r="F179" s="24" t="s">
        <v>173</v>
      </c>
      <c r="G179" s="10" t="s">
        <v>210</v>
      </c>
      <c r="H179" s="28" t="s">
        <v>164</v>
      </c>
      <c r="I179" s="10" t="s">
        <v>174</v>
      </c>
      <c r="J179" s="28" t="s">
        <v>160</v>
      </c>
      <c r="K179" s="24" t="s">
        <v>176</v>
      </c>
      <c r="L179" s="28" t="s">
        <v>160</v>
      </c>
      <c r="M179" s="11" t="s">
        <v>175</v>
      </c>
      <c r="O179" s="49">
        <f t="shared" si="33"/>
        <v>30.6562871</v>
      </c>
      <c r="P179" t="s">
        <v>139</v>
      </c>
      <c r="Q179">
        <f t="shared" si="34"/>
        <v>1368.5842455357144</v>
      </c>
      <c r="R179" t="s">
        <v>140</v>
      </c>
      <c r="S179">
        <f t="shared" si="35"/>
        <v>327.09948507067742</v>
      </c>
      <c r="T179" t="s">
        <v>142</v>
      </c>
      <c r="U179">
        <v>0.21</v>
      </c>
      <c r="V179">
        <f>U179*S179</f>
        <v>68.690891864842257</v>
      </c>
      <c r="X179" s="50"/>
    </row>
    <row r="180" spans="2:24" ht="16" thickBot="1">
      <c r="B180" s="12"/>
      <c r="C180" s="66">
        <f>(1/(12*3.237)+C159)</f>
        <v>2.6953136361345012E-2</v>
      </c>
      <c r="D180" s="13" t="s">
        <v>162</v>
      </c>
      <c r="E180" s="29" t="s">
        <v>172</v>
      </c>
      <c r="F180" s="66">
        <f>4.237/(12*3.237)</f>
        <v>0.10907733498094944</v>
      </c>
      <c r="G180" s="13" t="s">
        <v>166</v>
      </c>
      <c r="H180" s="29" t="s">
        <v>164</v>
      </c>
      <c r="I180" s="13">
        <f>D177/16</f>
        <v>17.10429228297388</v>
      </c>
      <c r="J180" s="29" t="s">
        <v>160</v>
      </c>
      <c r="K180" s="13">
        <f>(C156+C150)/(12*3.237)</f>
        <v>3.0438910733291267</v>
      </c>
      <c r="L180" s="29" t="s">
        <v>160</v>
      </c>
      <c r="M180" s="8">
        <f>C160</f>
        <v>2.6318305510198789</v>
      </c>
      <c r="O180" s="52"/>
      <c r="P180" s="53"/>
      <c r="Q180" s="53"/>
      <c r="R180" s="53"/>
      <c r="S180" s="53"/>
      <c r="T180" s="53"/>
      <c r="U180" s="53"/>
      <c r="V180" s="53">
        <f>SUM(V174:V179)</f>
        <v>311.37294066682603</v>
      </c>
      <c r="W180" s="53"/>
      <c r="X180" s="54" t="s">
        <v>141</v>
      </c>
    </row>
    <row r="181" spans="2:24">
      <c r="H181" s="36" t="s">
        <v>164</v>
      </c>
      <c r="I181">
        <f>I180-K180-M180</f>
        <v>11.428570658624874</v>
      </c>
    </row>
    <row r="182" spans="2:24" ht="16" thickBot="1"/>
    <row r="183" spans="2:24">
      <c r="C183" s="233">
        <f>C173</f>
        <v>2467.4756122937019</v>
      </c>
      <c r="D183" s="234" t="str">
        <f t="shared" ref="D183:H183" si="36">D173</f>
        <v>×Cb.k</v>
      </c>
      <c r="E183" s="235" t="str">
        <f t="shared" si="36"/>
        <v>-</v>
      </c>
      <c r="F183" s="234">
        <f>F173</f>
        <v>3058.9067114093959</v>
      </c>
      <c r="G183" s="234" t="str">
        <f t="shared" si="36"/>
        <v>×CdFe</v>
      </c>
      <c r="H183" s="235" t="str">
        <f t="shared" si="36"/>
        <v>=</v>
      </c>
      <c r="I183" s="236">
        <f>M173</f>
        <v>174095.16127764934</v>
      </c>
    </row>
    <row r="184" spans="2:24" ht="16" thickBot="1">
      <c r="C184" s="237">
        <f>C180</f>
        <v>2.6953136361345012E-2</v>
      </c>
      <c r="D184" s="238" t="str">
        <f t="shared" ref="D184:H184" si="37">D180</f>
        <v>×Cb.k</v>
      </c>
      <c r="E184" s="239" t="str">
        <f t="shared" si="37"/>
        <v>+</v>
      </c>
      <c r="F184" s="238">
        <f>F180</f>
        <v>0.10907733498094944</v>
      </c>
      <c r="G184" s="238" t="str">
        <f t="shared" si="37"/>
        <v>×CdFe</v>
      </c>
      <c r="H184" s="239" t="str">
        <f t="shared" si="37"/>
        <v>=</v>
      </c>
      <c r="I184" s="240">
        <f>I181</f>
        <v>11.428570658624874</v>
      </c>
    </row>
    <row r="185" spans="2:24" ht="16" thickBot="1"/>
    <row r="186" spans="2:24">
      <c r="C186" s="69">
        <v>1</v>
      </c>
      <c r="D186" s="70" t="str">
        <f>D183</f>
        <v>×Cb.k</v>
      </c>
      <c r="E186" s="71" t="str">
        <f>E183</f>
        <v>-</v>
      </c>
      <c r="F186" s="70">
        <f>F183/C183</f>
        <v>1.2396907576994913</v>
      </c>
      <c r="G186" s="70" t="str">
        <f>G183</f>
        <v>×CdFe</v>
      </c>
      <c r="H186" s="71" t="s">
        <v>164</v>
      </c>
      <c r="I186" s="72">
        <f>I183/C183</f>
        <v>70.555980537459078</v>
      </c>
    </row>
    <row r="187" spans="2:24" ht="16" thickBot="1">
      <c r="C187" s="73">
        <v>1</v>
      </c>
      <c r="D187" s="74" t="str">
        <f>D184</f>
        <v>×Cb.k</v>
      </c>
      <c r="E187" s="75" t="s">
        <v>172</v>
      </c>
      <c r="F187" s="74">
        <f>F184/C184</f>
        <v>4.0469255050177875</v>
      </c>
      <c r="G187" s="74" t="str">
        <f>G184</f>
        <v>×CdFe</v>
      </c>
      <c r="H187" s="75" t="s">
        <v>164</v>
      </c>
      <c r="I187" s="76">
        <f>I184/C184</f>
        <v>424.01635584848748</v>
      </c>
    </row>
    <row r="188" spans="2:24" ht="16" thickBot="1"/>
    <row r="189" spans="2:24">
      <c r="G189" s="23" t="s">
        <v>179</v>
      </c>
      <c r="H189" s="28" t="s">
        <v>164</v>
      </c>
      <c r="I189" s="11">
        <f>(I187-I186)/(F187+F186)</f>
        <v>66.859472627837874</v>
      </c>
      <c r="J189" t="s">
        <v>111</v>
      </c>
    </row>
    <row r="190" spans="2:24" ht="16" thickBot="1">
      <c r="G190" s="12" t="s">
        <v>180</v>
      </c>
      <c r="H190" s="29" t="s">
        <v>164</v>
      </c>
      <c r="I190" s="8">
        <f>I186+F186*I189</f>
        <v>153.44105081885181</v>
      </c>
      <c r="J190" t="s">
        <v>111</v>
      </c>
    </row>
    <row r="191" spans="2:24" ht="16" thickBot="1"/>
    <row r="192" spans="2:24">
      <c r="B192" s="77" t="s">
        <v>182</v>
      </c>
      <c r="C192" s="78">
        <f>(I189+I190+C150+C148)/(U7/100)</f>
        <v>322.98499451405542</v>
      </c>
      <c r="D192" s="79" t="s">
        <v>111</v>
      </c>
      <c r="F192" s="196" t="s">
        <v>184</v>
      </c>
      <c r="G192" s="197"/>
      <c r="I192" t="s">
        <v>199</v>
      </c>
    </row>
    <row r="193" spans="1:10" ht="16" thickBot="1">
      <c r="B193" s="80" t="s">
        <v>183</v>
      </c>
      <c r="C193" s="81">
        <f>C192+C149/(U7/100)</f>
        <v>329.04980156103528</v>
      </c>
      <c r="D193" s="82" t="s">
        <v>111</v>
      </c>
      <c r="E193" s="36" t="s">
        <v>185</v>
      </c>
      <c r="F193" s="198">
        <f>384.23+28.91</f>
        <v>413.14000000000004</v>
      </c>
      <c r="G193" s="199" t="s">
        <v>111</v>
      </c>
      <c r="I193">
        <f>F193-C193</f>
        <v>84.090198438964762</v>
      </c>
      <c r="J193" t="s">
        <v>111</v>
      </c>
    </row>
    <row r="194" spans="1:10" ht="16" thickBot="1"/>
    <row r="195" spans="1:10" ht="16" thickBot="1">
      <c r="B195" s="105" t="s">
        <v>309</v>
      </c>
      <c r="C195" s="106">
        <f>C193+C8*1000</f>
        <v>329.04980156103528</v>
      </c>
      <c r="D195" s="107" t="s">
        <v>263</v>
      </c>
    </row>
    <row r="197" spans="1:10" ht="20" thickBot="1">
      <c r="A197" s="249" t="s">
        <v>186</v>
      </c>
      <c r="B197" s="250"/>
      <c r="C197" s="250"/>
      <c r="D197" s="250"/>
      <c r="E197" s="250"/>
      <c r="F197" s="250"/>
      <c r="G197" s="250"/>
      <c r="H197" s="250"/>
      <c r="I197" s="250"/>
    </row>
    <row r="198" spans="1:10">
      <c r="B198" s="23" t="s">
        <v>187</v>
      </c>
      <c r="C198" s="10">
        <f>SUM(F54:F57)-F65</f>
        <v>164.04072855725272</v>
      </c>
      <c r="D198" s="10" t="s">
        <v>111</v>
      </c>
      <c r="E198" s="10"/>
      <c r="F198" s="11"/>
    </row>
    <row r="199" spans="1:10">
      <c r="B199" s="26" t="s">
        <v>188</v>
      </c>
      <c r="C199" s="27">
        <f>SUM(E54:E57)-E62-E65</f>
        <v>139.57337578382334</v>
      </c>
      <c r="D199" s="27" t="s">
        <v>111</v>
      </c>
      <c r="E199" s="27"/>
      <c r="F199" s="7" t="s">
        <v>190</v>
      </c>
    </row>
    <row r="200" spans="1:10" ht="16" thickBot="1">
      <c r="B200" s="83" t="s">
        <v>189</v>
      </c>
      <c r="C200" s="84">
        <f>C198/C199</f>
        <v>1.1753010030460636</v>
      </c>
      <c r="D200" s="84"/>
      <c r="E200" s="84"/>
      <c r="F200" s="85">
        <f>E21/C21</f>
        <v>1.116324810339983</v>
      </c>
    </row>
    <row r="202" spans="1:10" ht="16">
      <c r="B202" s="252" t="s">
        <v>191</v>
      </c>
      <c r="C202" s="253"/>
      <c r="D202" s="253"/>
      <c r="E202" s="253"/>
      <c r="F202" s="254"/>
    </row>
    <row r="205" spans="1:10" ht="20" thickBot="1">
      <c r="A205" s="249" t="s">
        <v>192</v>
      </c>
      <c r="B205" s="250"/>
      <c r="C205" s="250"/>
      <c r="D205" s="250"/>
      <c r="E205" s="250"/>
      <c r="F205" s="250"/>
      <c r="G205" s="250"/>
      <c r="H205" s="250"/>
      <c r="I205" s="250"/>
    </row>
    <row r="206" spans="1:10">
      <c r="B206" s="86" t="s">
        <v>193</v>
      </c>
      <c r="C206" s="245" t="s">
        <v>196</v>
      </c>
      <c r="D206" s="245"/>
      <c r="E206" s="28" t="s">
        <v>164</v>
      </c>
      <c r="F206" s="11">
        <f>(16*I189)/(12*D177)</f>
        <v>0.32574412473836456</v>
      </c>
    </row>
    <row r="207" spans="1:10" ht="16" thickBot="1">
      <c r="B207" s="87" t="s">
        <v>194</v>
      </c>
      <c r="C207" s="251" t="s">
        <v>195</v>
      </c>
      <c r="D207" s="251"/>
      <c r="E207" s="29" t="s">
        <v>164</v>
      </c>
      <c r="F207" s="8">
        <f>(16*I189)/(12*D176)</f>
        <v>0.22372263462721642</v>
      </c>
    </row>
    <row r="208" spans="1:10" ht="16" thickBot="1"/>
    <row r="209" spans="1:16">
      <c r="B209" s="23" t="s">
        <v>197</v>
      </c>
      <c r="C209" s="200">
        <f>I190+I189+C156+C150</f>
        <v>338.53742829908629</v>
      </c>
      <c r="D209" s="11" t="s">
        <v>111</v>
      </c>
    </row>
    <row r="210" spans="1:16" ht="16" thickBot="1">
      <c r="B210" s="12" t="s">
        <v>198</v>
      </c>
      <c r="C210" s="88">
        <f>(0.75*D176-I189-12*(I190*(C159)))/C209</f>
        <v>0.67869598211083337</v>
      </c>
      <c r="D210" s="8"/>
    </row>
    <row r="211" spans="1:16">
      <c r="C211" t="s">
        <v>397</v>
      </c>
    </row>
    <row r="212" spans="1:16" ht="16" thickBot="1"/>
    <row r="213" spans="1:16">
      <c r="B213" s="216" t="s">
        <v>313</v>
      </c>
      <c r="C213" s="217">
        <f>C193</f>
        <v>329.04980156103528</v>
      </c>
      <c r="D213" s="217" t="s">
        <v>111</v>
      </c>
      <c r="E213" s="127" t="s">
        <v>404</v>
      </c>
      <c r="F213" s="217" t="s">
        <v>316</v>
      </c>
      <c r="G213" s="218">
        <f>E7</f>
        <v>384.86900000000003</v>
      </c>
      <c r="H213" s="219" t="s">
        <v>111</v>
      </c>
    </row>
    <row r="214" spans="1:16">
      <c r="B214" s="220"/>
      <c r="C214" s="27"/>
      <c r="D214" s="27"/>
      <c r="E214" s="27"/>
      <c r="F214" s="27"/>
      <c r="G214" s="27"/>
      <c r="H214" s="221"/>
    </row>
    <row r="215" spans="1:16">
      <c r="B215" s="222" t="s">
        <v>314</v>
      </c>
      <c r="C215" s="223">
        <f>C213+E8</f>
        <v>483.93634749403532</v>
      </c>
      <c r="D215" s="224" t="s">
        <v>111</v>
      </c>
      <c r="E215" s="32" t="s">
        <v>404</v>
      </c>
      <c r="F215" s="224" t="s">
        <v>310</v>
      </c>
      <c r="G215" s="160">
        <f>E8+E7</f>
        <v>539.75554593300001</v>
      </c>
      <c r="H215" s="225" t="s">
        <v>111</v>
      </c>
    </row>
    <row r="216" spans="1:16">
      <c r="B216" s="220"/>
      <c r="C216" s="27"/>
      <c r="D216" s="27"/>
      <c r="E216" s="27"/>
      <c r="F216" s="27"/>
      <c r="G216" s="27"/>
      <c r="H216" s="221"/>
    </row>
    <row r="217" spans="1:16" ht="16" thickBot="1">
      <c r="B217" s="226" t="s">
        <v>315</v>
      </c>
      <c r="C217" s="227">
        <f>C213+0.75*E8</f>
        <v>445.21471101078532</v>
      </c>
      <c r="D217" s="227" t="s">
        <v>111</v>
      </c>
      <c r="E217" s="68" t="s">
        <v>404</v>
      </c>
      <c r="F217" s="227" t="s">
        <v>317</v>
      </c>
      <c r="G217" s="67">
        <f>E7+0.75*E8</f>
        <v>501.03390944975001</v>
      </c>
      <c r="H217" s="228" t="s">
        <v>111</v>
      </c>
    </row>
    <row r="220" spans="1:16" ht="16" thickBot="1"/>
    <row r="221" spans="1:16" ht="22" thickTop="1">
      <c r="A221" s="271" t="s">
        <v>200</v>
      </c>
      <c r="B221" s="272"/>
      <c r="C221" s="272"/>
      <c r="D221" s="272"/>
      <c r="E221" s="272"/>
      <c r="F221" s="272"/>
      <c r="G221" s="272"/>
      <c r="H221" s="272"/>
      <c r="I221" s="272"/>
      <c r="J221" s="272"/>
      <c r="K221" s="272"/>
      <c r="L221" s="272"/>
      <c r="M221" s="272"/>
      <c r="N221" s="272"/>
      <c r="O221" s="272"/>
      <c r="P221" s="272"/>
    </row>
    <row r="222" spans="1:16" ht="19">
      <c r="A222" s="249" t="s">
        <v>201</v>
      </c>
      <c r="B222" s="250"/>
      <c r="C222" s="250"/>
      <c r="D222" s="250"/>
      <c r="E222" s="250"/>
      <c r="F222" s="250"/>
      <c r="G222" s="250"/>
      <c r="H222" s="250"/>
      <c r="I222" s="250"/>
    </row>
    <row r="223" spans="1:16" ht="16" thickBot="1"/>
    <row r="224" spans="1:16">
      <c r="B224" s="23" t="s">
        <v>202</v>
      </c>
      <c r="C224" s="28" t="s">
        <v>203</v>
      </c>
      <c r="D224" s="28" t="s">
        <v>204</v>
      </c>
      <c r="E224" s="28" t="s">
        <v>205</v>
      </c>
      <c r="F224" s="28" t="s">
        <v>206</v>
      </c>
      <c r="G224" s="28" t="s">
        <v>207</v>
      </c>
      <c r="H224" s="28" t="s">
        <v>204</v>
      </c>
      <c r="I224" s="28" t="s">
        <v>208</v>
      </c>
      <c r="J224" s="10"/>
      <c r="K224" s="10"/>
      <c r="L224" s="10"/>
      <c r="M224" s="28" t="s">
        <v>209</v>
      </c>
      <c r="N224" s="28" t="s">
        <v>212</v>
      </c>
      <c r="O224" s="90" t="s">
        <v>211</v>
      </c>
    </row>
    <row r="225" spans="2:15">
      <c r="B225" s="2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7"/>
    </row>
    <row r="226" spans="2:15" ht="16" thickBot="1">
      <c r="B226" s="12" t="s">
        <v>213</v>
      </c>
      <c r="C226" s="29" t="s">
        <v>203</v>
      </c>
      <c r="D226" s="29" t="s">
        <v>204</v>
      </c>
      <c r="E226" s="29" t="s">
        <v>214</v>
      </c>
      <c r="F226" s="29" t="s">
        <v>206</v>
      </c>
      <c r="G226" s="29" t="s">
        <v>207</v>
      </c>
      <c r="H226" s="29" t="s">
        <v>204</v>
      </c>
      <c r="I226" s="29" t="s">
        <v>216</v>
      </c>
      <c r="J226" s="29" t="s">
        <v>204</v>
      </c>
      <c r="K226" s="29" t="s">
        <v>215</v>
      </c>
      <c r="L226" s="13"/>
      <c r="M226" s="29" t="s">
        <v>217</v>
      </c>
      <c r="N226" s="29" t="s">
        <v>218</v>
      </c>
      <c r="O226" s="91" t="s">
        <v>219</v>
      </c>
    </row>
    <row r="227" spans="2:15" ht="16" thickBot="1"/>
    <row r="228" spans="2:15">
      <c r="C228" s="257" t="s">
        <v>224</v>
      </c>
      <c r="D228" s="245"/>
      <c r="E228" s="245"/>
      <c r="F228" s="245"/>
      <c r="G228" s="245"/>
      <c r="H228" s="245"/>
      <c r="I228" s="246"/>
    </row>
    <row r="229" spans="2:15">
      <c r="C229" s="26" t="s">
        <v>222</v>
      </c>
      <c r="D229" s="27">
        <v>700</v>
      </c>
      <c r="E229" s="27">
        <v>800</v>
      </c>
      <c r="F229" s="27">
        <v>900</v>
      </c>
      <c r="G229" s="27">
        <v>1000</v>
      </c>
      <c r="H229" s="27">
        <v>1100</v>
      </c>
      <c r="I229" s="7">
        <v>1200</v>
      </c>
    </row>
    <row r="230" spans="2:15">
      <c r="C230" s="26" t="s">
        <v>223</v>
      </c>
      <c r="D230" s="27">
        <v>2.5</v>
      </c>
      <c r="E230" s="27">
        <v>2.88</v>
      </c>
      <c r="F230" s="27">
        <v>3.17</v>
      </c>
      <c r="G230" s="27">
        <v>3.52</v>
      </c>
      <c r="H230" s="27">
        <v>3.82</v>
      </c>
      <c r="I230" s="7">
        <v>4.12</v>
      </c>
    </row>
    <row r="231" spans="2:15" ht="16" thickBot="1">
      <c r="C231" s="12"/>
      <c r="D231" s="13"/>
      <c r="E231" s="13"/>
      <c r="F231" s="13"/>
      <c r="G231" s="13"/>
      <c r="H231" s="13"/>
      <c r="I231" s="8"/>
    </row>
    <row r="233" spans="2:15" ht="16" thickBot="1">
      <c r="C233" s="291" t="s">
        <v>225</v>
      </c>
      <c r="D233" s="291"/>
      <c r="E233" s="291"/>
      <c r="F233" s="291"/>
      <c r="G233" s="291"/>
      <c r="H233" s="291"/>
      <c r="I233" s="291"/>
    </row>
    <row r="234" spans="2:15">
      <c r="C234" s="23" t="s">
        <v>211</v>
      </c>
      <c r="D234" s="10">
        <v>0</v>
      </c>
      <c r="E234" s="10">
        <v>0.1</v>
      </c>
      <c r="F234" s="10">
        <v>0.2</v>
      </c>
      <c r="G234" s="10">
        <v>0.3</v>
      </c>
      <c r="H234" s="10">
        <v>0.4</v>
      </c>
      <c r="I234" s="10">
        <v>0.5</v>
      </c>
      <c r="J234" s="10">
        <v>0.6</v>
      </c>
      <c r="K234" s="10">
        <v>0.7</v>
      </c>
      <c r="L234" s="10">
        <v>0.8</v>
      </c>
      <c r="M234" s="10">
        <v>0.9</v>
      </c>
      <c r="N234" s="11">
        <v>1</v>
      </c>
    </row>
    <row r="235" spans="2:15">
      <c r="C235" s="26" t="s">
        <v>220</v>
      </c>
      <c r="D235" s="27">
        <f>12/56*D234</f>
        <v>0</v>
      </c>
      <c r="E235" s="27">
        <f t="shared" ref="E235:N235" si="38">12/56*E234</f>
        <v>2.1428571428571429E-2</v>
      </c>
      <c r="F235" s="27">
        <f t="shared" si="38"/>
        <v>4.2857142857142858E-2</v>
      </c>
      <c r="G235" s="27">
        <f t="shared" si="38"/>
        <v>6.4285714285714279E-2</v>
      </c>
      <c r="H235" s="27">
        <f t="shared" si="38"/>
        <v>8.5714285714285715E-2</v>
      </c>
      <c r="I235" s="27">
        <f t="shared" si="38"/>
        <v>0.10714285714285714</v>
      </c>
      <c r="J235" s="27">
        <f t="shared" si="38"/>
        <v>0.12857142857142856</v>
      </c>
      <c r="K235" s="27">
        <f t="shared" si="38"/>
        <v>0.15</v>
      </c>
      <c r="L235" s="27">
        <f t="shared" si="38"/>
        <v>0.17142857142857143</v>
      </c>
      <c r="M235" s="27">
        <f t="shared" si="38"/>
        <v>0.19285714285714284</v>
      </c>
      <c r="N235" s="27">
        <f t="shared" si="38"/>
        <v>0.21428571428571427</v>
      </c>
    </row>
    <row r="236" spans="2:15" ht="16" thickBot="1">
      <c r="C236" s="12" t="s">
        <v>221</v>
      </c>
      <c r="D236" s="13">
        <f>$I230*12/56*(1-D234)</f>
        <v>0.88285714285714278</v>
      </c>
      <c r="E236" s="13">
        <f t="shared" ref="E236:N236" si="39">$I230*12/56*(1-E234)</f>
        <v>0.79457142857142848</v>
      </c>
      <c r="F236" s="13">
        <f t="shared" si="39"/>
        <v>0.70628571428571429</v>
      </c>
      <c r="G236" s="13">
        <f t="shared" si="39"/>
        <v>0.61799999999999988</v>
      </c>
      <c r="H236" s="13">
        <f t="shared" si="39"/>
        <v>0.52971428571428569</v>
      </c>
      <c r="I236" s="13">
        <f t="shared" si="39"/>
        <v>0.44142857142857139</v>
      </c>
      <c r="J236" s="13">
        <f t="shared" si="39"/>
        <v>0.35314285714285715</v>
      </c>
      <c r="K236" s="13">
        <f t="shared" si="39"/>
        <v>0.2648571428571429</v>
      </c>
      <c r="L236" s="13">
        <f t="shared" si="39"/>
        <v>0.17657142857142852</v>
      </c>
      <c r="M236" s="13">
        <f t="shared" si="39"/>
        <v>8.8285714285714259E-2</v>
      </c>
      <c r="N236" s="13">
        <f t="shared" si="39"/>
        <v>0</v>
      </c>
    </row>
    <row r="261" spans="1:18" ht="20" thickBot="1">
      <c r="A261" s="249" t="s">
        <v>226</v>
      </c>
      <c r="B261" s="250"/>
      <c r="C261" s="250"/>
      <c r="D261" s="250"/>
      <c r="E261" s="250"/>
      <c r="F261" s="250"/>
      <c r="G261" s="250"/>
      <c r="H261" s="250"/>
      <c r="I261" s="250"/>
    </row>
    <row r="262" spans="1:18">
      <c r="B262" s="201" t="s">
        <v>264</v>
      </c>
      <c r="C262" s="202"/>
      <c r="D262" s="202"/>
      <c r="E262" s="202"/>
      <c r="F262" s="203"/>
    </row>
    <row r="263" spans="1:18">
      <c r="B263" s="110" t="s">
        <v>265</v>
      </c>
      <c r="C263" s="204">
        <v>9800</v>
      </c>
      <c r="D263" s="204" t="s">
        <v>266</v>
      </c>
      <c r="E263" s="204"/>
      <c r="F263" s="111"/>
    </row>
    <row r="264" spans="1:18">
      <c r="B264" s="110" t="s">
        <v>267</v>
      </c>
      <c r="C264" s="204">
        <v>12650</v>
      </c>
      <c r="D264" s="204" t="s">
        <v>268</v>
      </c>
      <c r="E264" s="204">
        <f>C264/(1/22.4*28)</f>
        <v>10120</v>
      </c>
      <c r="F264" s="111" t="s">
        <v>269</v>
      </c>
    </row>
    <row r="265" spans="1:18" ht="16" thickBot="1">
      <c r="B265" s="112" t="s">
        <v>270</v>
      </c>
      <c r="C265" s="205">
        <v>10800</v>
      </c>
      <c r="D265" s="205" t="s">
        <v>268</v>
      </c>
      <c r="E265" s="205">
        <f>C265/(1/22.4*18)</f>
        <v>13440</v>
      </c>
      <c r="F265" s="113" t="s">
        <v>269</v>
      </c>
    </row>
    <row r="266" spans="1:18" ht="16" thickBot="1"/>
    <row r="267" spans="1:18" ht="16" thickBot="1">
      <c r="B267" s="23" t="s">
        <v>262</v>
      </c>
      <c r="C267" s="10">
        <f>G267*D113/22.4*2*12</f>
        <v>302.97169220571431</v>
      </c>
      <c r="D267" s="11" t="s">
        <v>263</v>
      </c>
      <c r="F267" s="207" t="s">
        <v>398</v>
      </c>
      <c r="G267" s="208">
        <f>1222.46</f>
        <v>1222.46</v>
      </c>
      <c r="H267" s="209" t="s">
        <v>399</v>
      </c>
    </row>
    <row r="268" spans="1:18">
      <c r="B268" s="110" t="s">
        <v>280</v>
      </c>
      <c r="C268" s="27">
        <f>10*(E17/28*24+F17/55*12+G17/62*60+C52/10*H17/32*12+I17/48*24+J17/51*2.5*12)</f>
        <v>9.3981290252775</v>
      </c>
      <c r="D268" s="111" t="s">
        <v>263</v>
      </c>
    </row>
    <row r="269" spans="1:18">
      <c r="B269" s="110" t="s">
        <v>279</v>
      </c>
      <c r="C269" s="175">
        <f>D94-C267-C268</f>
        <v>73.581003816906517</v>
      </c>
      <c r="D269" s="111" t="s">
        <v>263</v>
      </c>
    </row>
    <row r="270" spans="1:18">
      <c r="B270" s="110" t="s">
        <v>285</v>
      </c>
      <c r="C270" s="27">
        <f>D96*C29/100</f>
        <v>271.38052554604224</v>
      </c>
      <c r="D270" s="111" t="s">
        <v>286</v>
      </c>
      <c r="E270" s="206" t="s">
        <v>400</v>
      </c>
    </row>
    <row r="271" spans="1:18" ht="16" thickBot="1">
      <c r="B271" s="112" t="s">
        <v>287</v>
      </c>
      <c r="C271" s="13">
        <f>D109*2-D96*(E29+2*F29)/100</f>
        <v>84.322981042555853</v>
      </c>
      <c r="D271" s="113" t="s">
        <v>288</v>
      </c>
      <c r="F271">
        <f>3.32+1.58</f>
        <v>4.9000000000000004</v>
      </c>
      <c r="P271" t="s">
        <v>277</v>
      </c>
      <c r="Q271" s="210">
        <f>F32+273</f>
        <v>1440</v>
      </c>
      <c r="R271" t="s">
        <v>278</v>
      </c>
    </row>
    <row r="272" spans="1:18" ht="32">
      <c r="F272">
        <f>F271/2*22.4</f>
        <v>54.88</v>
      </c>
      <c r="I272" s="55" t="s">
        <v>297</v>
      </c>
      <c r="J272" s="55" t="s">
        <v>274</v>
      </c>
      <c r="K272" s="43" t="s">
        <v>125</v>
      </c>
      <c r="L272" s="44" t="s">
        <v>126</v>
      </c>
      <c r="M272" s="44" t="s">
        <v>127</v>
      </c>
      <c r="N272" s="44" t="s">
        <v>128</v>
      </c>
      <c r="O272" s="45" t="s">
        <v>129</v>
      </c>
      <c r="P272" s="44" t="s">
        <v>275</v>
      </c>
      <c r="R272" s="55" t="s">
        <v>298</v>
      </c>
    </row>
    <row r="273" spans="2:19" ht="16" thickBot="1">
      <c r="K273" s="45" t="s">
        <v>130</v>
      </c>
      <c r="L273" s="45">
        <v>44.14</v>
      </c>
      <c r="M273" s="44" t="s">
        <v>127</v>
      </c>
      <c r="N273" s="45">
        <v>9.0399999999999994E-3</v>
      </c>
      <c r="O273" s="45" t="s">
        <v>129</v>
      </c>
      <c r="Q273" t="s">
        <v>276</v>
      </c>
      <c r="S273" t="s">
        <v>276</v>
      </c>
    </row>
    <row r="274" spans="2:19" ht="16">
      <c r="B274" s="241" t="s">
        <v>227</v>
      </c>
      <c r="C274" s="242"/>
      <c r="D274" s="243"/>
      <c r="I274">
        <f>G283/22.4*C37</f>
        <v>0.13578240138708278</v>
      </c>
      <c r="J274">
        <f>G267/22.4*C37</f>
        <v>41.138223920000001</v>
      </c>
      <c r="K274" s="45" t="s">
        <v>131</v>
      </c>
      <c r="L274" s="45">
        <v>27.87</v>
      </c>
      <c r="M274" s="44" t="s">
        <v>127</v>
      </c>
      <c r="N274" s="45">
        <v>4.28E-3</v>
      </c>
      <c r="O274" s="45" t="s">
        <v>129</v>
      </c>
      <c r="P274">
        <f>J274*(L274*(Q$271-298)+N274/2*(Q$271*Q$271-298*298))</f>
        <v>1484061.5694294902</v>
      </c>
      <c r="Q274" t="s">
        <v>276</v>
      </c>
      <c r="R274">
        <f>I274*(L274*(Q$271-298)+N274/2*(Q$271*Q$271-298*298))</f>
        <v>4898.3505971304721</v>
      </c>
      <c r="S274" t="s">
        <v>276</v>
      </c>
    </row>
    <row r="275" spans="2:19" ht="16">
      <c r="B275" s="41" t="s">
        <v>228</v>
      </c>
      <c r="C275" s="27">
        <f>C267*C263</f>
        <v>2969122.5836160001</v>
      </c>
      <c r="D275" s="7" t="s">
        <v>284</v>
      </c>
      <c r="K275" s="45" t="s">
        <v>132</v>
      </c>
      <c r="L275" s="45">
        <v>27.28</v>
      </c>
      <c r="M275" s="44" t="s">
        <v>127</v>
      </c>
      <c r="N275" s="45">
        <v>3.2599999999999999E-3</v>
      </c>
      <c r="O275" s="45" t="s">
        <v>129</v>
      </c>
      <c r="P275">
        <f t="shared" ref="P275:P278" si="40">J275*(L275*(Q$271-298)+N275/2*(Q$271*Q$271-298*298))</f>
        <v>0</v>
      </c>
      <c r="Q275" t="s">
        <v>276</v>
      </c>
      <c r="R275">
        <f t="shared" ref="R275:R278" si="41">I275*(L275*(Q$271-298)+N275/2*(Q$271*Q$271-298*298))</f>
        <v>0</v>
      </c>
      <c r="S275" t="s">
        <v>276</v>
      </c>
    </row>
    <row r="276" spans="2:19" ht="32">
      <c r="B276" s="41" t="s">
        <v>229</v>
      </c>
      <c r="C276" s="27">
        <f>(C269+C268)*C263</f>
        <v>813195.5018534034</v>
      </c>
      <c r="D276" s="7" t="s">
        <v>284</v>
      </c>
      <c r="K276" s="45" t="s">
        <v>133</v>
      </c>
      <c r="L276" s="45">
        <v>28.41</v>
      </c>
      <c r="M276" s="44" t="s">
        <v>127</v>
      </c>
      <c r="N276" s="45">
        <v>4.1000000000000003E-3</v>
      </c>
      <c r="O276" s="45" t="s">
        <v>129</v>
      </c>
      <c r="P276">
        <f t="shared" si="40"/>
        <v>0</v>
      </c>
      <c r="Q276" t="s">
        <v>276</v>
      </c>
      <c r="R276">
        <f t="shared" si="41"/>
        <v>0</v>
      </c>
      <c r="S276" t="s">
        <v>276</v>
      </c>
    </row>
    <row r="277" spans="2:19" ht="31">
      <c r="B277" s="96" t="s">
        <v>281</v>
      </c>
      <c r="C277" s="95">
        <f>C270*C264</f>
        <v>3432963.6481574341</v>
      </c>
      <c r="D277" s="7" t="s">
        <v>284</v>
      </c>
      <c r="I277">
        <f>G283/22.4*C36</f>
        <v>2.6803253742080074E-3</v>
      </c>
      <c r="J277">
        <f>G267/22.4*C36</f>
        <v>0.8120627142857143</v>
      </c>
      <c r="K277" s="45" t="s">
        <v>134</v>
      </c>
      <c r="L277" s="45">
        <v>29.970600000000001</v>
      </c>
      <c r="M277" s="44" t="s">
        <v>127</v>
      </c>
      <c r="N277" s="45">
        <v>1.07008E-2</v>
      </c>
      <c r="O277" s="45" t="s">
        <v>129</v>
      </c>
      <c r="P277">
        <f>J277*(L277*(Q$271-298)+N277/2*(Q$271*Q$271-298*298))</f>
        <v>36417.665184529142</v>
      </c>
      <c r="Q277" t="s">
        <v>276</v>
      </c>
      <c r="R277">
        <f t="shared" si="41"/>
        <v>120.20154397725702</v>
      </c>
      <c r="S277" t="s">
        <v>276</v>
      </c>
    </row>
    <row r="278" spans="2:19" ht="29">
      <c r="B278" s="97" t="s">
        <v>282</v>
      </c>
      <c r="C278" s="27">
        <f>C271*C265</f>
        <v>910688.19525960321</v>
      </c>
      <c r="D278" s="7" t="s">
        <v>284</v>
      </c>
      <c r="I278">
        <f>G283/22.4*C35</f>
        <v>4.1666666666666671E-2</v>
      </c>
      <c r="J278">
        <f>G267/22.4*C35</f>
        <v>12.623820508571429</v>
      </c>
      <c r="K278" s="45" t="s">
        <v>135</v>
      </c>
      <c r="L278" s="45">
        <v>29.96</v>
      </c>
      <c r="M278" s="44" t="s">
        <v>127</v>
      </c>
      <c r="N278" s="45">
        <v>4.1840000000000002E-3</v>
      </c>
      <c r="O278" s="45" t="s">
        <v>129</v>
      </c>
      <c r="P278">
        <f t="shared" si="40"/>
        <v>484331.97658049868</v>
      </c>
      <c r="Q278" t="s">
        <v>276</v>
      </c>
      <c r="R278">
        <f t="shared" si="41"/>
        <v>1598.604718</v>
      </c>
      <c r="S278" t="s">
        <v>276</v>
      </c>
    </row>
    <row r="279" spans="2:19" ht="32">
      <c r="B279" s="41" t="s">
        <v>283</v>
      </c>
      <c r="C279" s="27">
        <f>P279</f>
        <v>2004811.211194518</v>
      </c>
      <c r="D279" s="7" t="s">
        <v>284</v>
      </c>
      <c r="P279">
        <f>SUM(P274:P278)</f>
        <v>2004811.211194518</v>
      </c>
      <c r="R279">
        <f>SUM(R274:R278)</f>
        <v>6617.1568591077285</v>
      </c>
    </row>
    <row r="280" spans="2:19" ht="17" thickBot="1">
      <c r="B280" s="42" t="s">
        <v>289</v>
      </c>
      <c r="C280" s="13">
        <f>SUM(C275:C279)</f>
        <v>10130781.140080959</v>
      </c>
      <c r="D280" s="8" t="s">
        <v>284</v>
      </c>
    </row>
    <row r="281" spans="2:19" ht="16" thickBot="1"/>
    <row r="282" spans="2:19">
      <c r="B282" s="23" t="s">
        <v>290</v>
      </c>
      <c r="C282" s="10">
        <f>C280/(10*C17)</f>
        <v>10721.036013331224</v>
      </c>
      <c r="D282" s="10" t="s">
        <v>292</v>
      </c>
      <c r="E282" s="10"/>
      <c r="F282" s="10"/>
      <c r="G282" s="10"/>
      <c r="H282" s="11"/>
    </row>
    <row r="283" spans="2:19" ht="33" thickBot="1">
      <c r="B283" s="42" t="s">
        <v>293</v>
      </c>
      <c r="C283" s="13">
        <f>R279</f>
        <v>6617.1568591077285</v>
      </c>
      <c r="D283" s="13" t="s">
        <v>294</v>
      </c>
      <c r="E283" s="13"/>
      <c r="F283" s="13" t="s">
        <v>295</v>
      </c>
      <c r="G283" s="13">
        <f>1/12*22.4/2/C35</f>
        <v>4.0348984127862471</v>
      </c>
      <c r="H283" s="8" t="s">
        <v>296</v>
      </c>
    </row>
    <row r="285" spans="2:19">
      <c r="B285" s="244" t="s">
        <v>299</v>
      </c>
      <c r="C285" s="244"/>
      <c r="D285" s="32" t="s">
        <v>300</v>
      </c>
      <c r="E285" s="27">
        <f>(C282-5076)/(9800+C283)</f>
        <v>0.34384979456412595</v>
      </c>
    </row>
    <row r="286" spans="2:19">
      <c r="B286" s="244" t="s">
        <v>344</v>
      </c>
      <c r="C286" s="244"/>
      <c r="D286" s="32" t="s">
        <v>300</v>
      </c>
      <c r="E286" s="27">
        <f>(5076+0.215*C283)/(9800+C283)</f>
        <v>0.39584739187668111</v>
      </c>
    </row>
    <row r="288" spans="2:19">
      <c r="B288" s="98" t="s">
        <v>301</v>
      </c>
      <c r="C288" t="s">
        <v>302</v>
      </c>
    </row>
    <row r="289" spans="2:14" ht="16" thickBot="1"/>
    <row r="290" spans="2:14">
      <c r="C290" s="23" t="s">
        <v>211</v>
      </c>
      <c r="D290" s="10">
        <v>0</v>
      </c>
      <c r="E290" s="10">
        <v>0.1</v>
      </c>
      <c r="F290" s="10">
        <v>0.2</v>
      </c>
      <c r="G290" s="10">
        <v>0.3</v>
      </c>
      <c r="H290" s="10">
        <v>0.4</v>
      </c>
      <c r="I290" s="10">
        <v>0.5</v>
      </c>
      <c r="J290" s="10">
        <v>0.6</v>
      </c>
      <c r="K290" s="10">
        <v>0.7</v>
      </c>
      <c r="L290" s="10">
        <v>0.8</v>
      </c>
      <c r="M290" s="10">
        <v>0.9</v>
      </c>
      <c r="N290" s="11">
        <v>1</v>
      </c>
    </row>
    <row r="291" spans="2:14">
      <c r="C291" s="26" t="s">
        <v>220</v>
      </c>
      <c r="D291" s="27">
        <f>12/56*D290</f>
        <v>0</v>
      </c>
      <c r="E291" s="27">
        <f t="shared" ref="E291:N291" si="42">12/56*E290</f>
        <v>2.1428571428571429E-2</v>
      </c>
      <c r="F291" s="27">
        <f t="shared" si="42"/>
        <v>4.2857142857142858E-2</v>
      </c>
      <c r="G291" s="27">
        <f t="shared" si="42"/>
        <v>6.4285714285714279E-2</v>
      </c>
      <c r="H291" s="27">
        <f t="shared" si="42"/>
        <v>8.5714285714285715E-2</v>
      </c>
      <c r="I291" s="27">
        <f t="shared" si="42"/>
        <v>0.10714285714285714</v>
      </c>
      <c r="J291" s="27">
        <f t="shared" si="42"/>
        <v>0.12857142857142856</v>
      </c>
      <c r="K291" s="27">
        <f t="shared" si="42"/>
        <v>0.15</v>
      </c>
      <c r="L291" s="27">
        <f t="shared" si="42"/>
        <v>0.17142857142857143</v>
      </c>
      <c r="M291" s="27">
        <f t="shared" si="42"/>
        <v>0.19285714285714284</v>
      </c>
      <c r="N291" s="7">
        <f t="shared" si="42"/>
        <v>0.21428571428571427</v>
      </c>
    </row>
    <row r="292" spans="2:14">
      <c r="C292" s="26" t="s">
        <v>221</v>
      </c>
      <c r="D292" s="27">
        <f>$I$230*12/56*(1-D290)</f>
        <v>0.88285714285714278</v>
      </c>
      <c r="E292" s="27">
        <f t="shared" ref="E292:N292" si="43">$I$230*12/56*(1-E290)</f>
        <v>0.79457142857142848</v>
      </c>
      <c r="F292" s="27">
        <f t="shared" si="43"/>
        <v>0.70628571428571429</v>
      </c>
      <c r="G292" s="27">
        <f t="shared" si="43"/>
        <v>0.61799999999999988</v>
      </c>
      <c r="H292" s="27">
        <f t="shared" si="43"/>
        <v>0.52971428571428569</v>
      </c>
      <c r="I292" s="27">
        <f t="shared" si="43"/>
        <v>0.44142857142857139</v>
      </c>
      <c r="J292" s="27">
        <f t="shared" si="43"/>
        <v>0.35314285714285715</v>
      </c>
      <c r="K292" s="27">
        <f t="shared" si="43"/>
        <v>0.2648571428571429</v>
      </c>
      <c r="L292" s="27">
        <f t="shared" si="43"/>
        <v>0.17657142857142852</v>
      </c>
      <c r="M292" s="27">
        <f t="shared" si="43"/>
        <v>8.8285714285714259E-2</v>
      </c>
      <c r="N292" s="7">
        <f t="shared" si="43"/>
        <v>0</v>
      </c>
    </row>
    <row r="293" spans="2:14">
      <c r="C293" s="26" t="s">
        <v>405</v>
      </c>
      <c r="D293" s="27">
        <f>$E$285+$E$286*D290</f>
        <v>0.34384979456412595</v>
      </c>
      <c r="E293" s="27">
        <f>$E$285+$E$286*E290</f>
        <v>0.38343453375179404</v>
      </c>
      <c r="F293" s="27">
        <f>$E$285+$E$286*F290</f>
        <v>0.42301927293946218</v>
      </c>
      <c r="G293" s="27">
        <f t="shared" ref="G293:N293" si="44">$E$285+$E$286*G290</f>
        <v>0.46260401212713032</v>
      </c>
      <c r="H293" s="27">
        <f t="shared" si="44"/>
        <v>0.50218875131479845</v>
      </c>
      <c r="I293" s="27">
        <f t="shared" si="44"/>
        <v>0.54177349050246648</v>
      </c>
      <c r="J293" s="27">
        <f t="shared" si="44"/>
        <v>0.58135822969013462</v>
      </c>
      <c r="K293" s="27">
        <f t="shared" si="44"/>
        <v>0.62094296887780276</v>
      </c>
      <c r="L293" s="27">
        <f t="shared" si="44"/>
        <v>0.66052770806547079</v>
      </c>
      <c r="M293" s="27">
        <f t="shared" si="44"/>
        <v>0.70011244725313904</v>
      </c>
      <c r="N293" s="7">
        <f t="shared" si="44"/>
        <v>0.73969718644080706</v>
      </c>
    </row>
    <row r="294" spans="2:14" ht="16" thickBot="1">
      <c r="C294" s="12" t="s">
        <v>406</v>
      </c>
      <c r="D294" s="13">
        <f>D293+$D$295</f>
        <v>0.40173482860377668</v>
      </c>
      <c r="E294" s="13">
        <f t="shared" ref="E294:N294" si="45">E293+$D$295</f>
        <v>0.44131956779144477</v>
      </c>
      <c r="F294" s="13">
        <f t="shared" si="45"/>
        <v>0.48090430697911291</v>
      </c>
      <c r="G294" s="13">
        <f t="shared" si="45"/>
        <v>0.52048904616678104</v>
      </c>
      <c r="H294" s="13">
        <f t="shared" si="45"/>
        <v>0.56007378535444918</v>
      </c>
      <c r="I294" s="13">
        <f t="shared" si="45"/>
        <v>0.59965852454211721</v>
      </c>
      <c r="J294" s="13">
        <f t="shared" si="45"/>
        <v>0.63924326372978535</v>
      </c>
      <c r="K294" s="13">
        <f t="shared" si="45"/>
        <v>0.67882800291745349</v>
      </c>
      <c r="L294" s="13">
        <f t="shared" si="45"/>
        <v>0.71841274210512152</v>
      </c>
      <c r="M294" s="13">
        <f t="shared" si="45"/>
        <v>0.75799748129278977</v>
      </c>
      <c r="N294" s="8">
        <f t="shared" si="45"/>
        <v>0.79758222048045779</v>
      </c>
    </row>
    <row r="295" spans="2:14">
      <c r="C295" t="s">
        <v>407</v>
      </c>
      <c r="D295">
        <f>(C268+10*D17)/(10*C17)</f>
        <v>5.7885034039650736E-2</v>
      </c>
    </row>
    <row r="296" spans="2:14" ht="16" thickBot="1"/>
    <row r="297" spans="2:14">
      <c r="B297" s="89" t="s">
        <v>307</v>
      </c>
      <c r="C297" s="10"/>
      <c r="D297" s="245" t="s">
        <v>401</v>
      </c>
      <c r="E297" s="246"/>
    </row>
    <row r="298" spans="2:14" ht="16">
      <c r="B298" s="41" t="s">
        <v>303</v>
      </c>
      <c r="C298" s="27"/>
      <c r="D298" s="211" t="s">
        <v>305</v>
      </c>
      <c r="E298" s="212">
        <f>(0.8829-0.361)/(0.3958+0.8829)</f>
        <v>0.40814890122780956</v>
      </c>
    </row>
    <row r="299" spans="2:14" ht="16">
      <c r="B299" s="41" t="s">
        <v>402</v>
      </c>
      <c r="C299" s="27"/>
      <c r="D299" s="211" t="s">
        <v>306</v>
      </c>
      <c r="E299" s="212">
        <f>-0.8829*E298+0.8829</f>
        <v>0.52254533510596701</v>
      </c>
    </row>
    <row r="300" spans="2:14">
      <c r="B300" s="26"/>
      <c r="C300" s="27"/>
      <c r="D300" s="213"/>
      <c r="E300" s="212"/>
    </row>
    <row r="301" spans="2:14" ht="16">
      <c r="B301" s="41" t="s">
        <v>303</v>
      </c>
      <c r="C301" s="27"/>
      <c r="D301" s="211" t="s">
        <v>305</v>
      </c>
      <c r="E301" s="212">
        <f>0.8829/(0.2143+0.8829)</f>
        <v>0.80468465184104998</v>
      </c>
    </row>
    <row r="302" spans="2:14" ht="17" thickBot="1">
      <c r="B302" s="42" t="s">
        <v>304</v>
      </c>
      <c r="C302" s="13"/>
      <c r="D302" s="214" t="s">
        <v>306</v>
      </c>
      <c r="E302" s="215">
        <f>0.2143*E301</f>
        <v>0.172443920889537</v>
      </c>
    </row>
    <row r="303" spans="2:14" ht="16" thickBot="1"/>
    <row r="304" spans="2:14" ht="49" thickTop="1">
      <c r="B304" s="99" t="s">
        <v>308</v>
      </c>
      <c r="C304" s="100">
        <f>E298</f>
        <v>0.40814890122780956</v>
      </c>
      <c r="D304" s="101"/>
    </row>
    <row r="305" spans="2:14" ht="17" thickBot="1">
      <c r="B305" s="102" t="s">
        <v>312</v>
      </c>
      <c r="C305" s="103">
        <f>10*C17*E299+C268+D91</f>
        <v>548.47432930537866</v>
      </c>
      <c r="D305" s="104" t="s">
        <v>263</v>
      </c>
      <c r="E305" t="s">
        <v>403</v>
      </c>
    </row>
    <row r="306" spans="2:14" ht="16" thickTop="1"/>
    <row r="307" spans="2:14" ht="16" thickBot="1"/>
    <row r="308" spans="2:14">
      <c r="B308" s="216" t="s">
        <v>313</v>
      </c>
      <c r="C308" s="217">
        <f>(C305-E8*U8/100)/U7*100</f>
        <v>516.3504822731237</v>
      </c>
      <c r="D308" s="217" t="s">
        <v>111</v>
      </c>
      <c r="E308" s="127" t="s">
        <v>404</v>
      </c>
      <c r="F308" s="217" t="s">
        <v>316</v>
      </c>
      <c r="G308" s="218">
        <f>E7</f>
        <v>384.86900000000003</v>
      </c>
      <c r="H308" s="219" t="s">
        <v>111</v>
      </c>
    </row>
    <row r="309" spans="2:14">
      <c r="B309" s="220"/>
      <c r="C309" s="27"/>
      <c r="D309" s="27"/>
      <c r="E309" s="27"/>
      <c r="F309" s="27"/>
      <c r="G309" s="27"/>
      <c r="H309" s="221"/>
    </row>
    <row r="310" spans="2:14">
      <c r="B310" s="222" t="s">
        <v>314</v>
      </c>
      <c r="C310" s="223">
        <f>C308+E8</f>
        <v>671.23702820612368</v>
      </c>
      <c r="D310" s="224" t="s">
        <v>111</v>
      </c>
      <c r="E310" s="32" t="s">
        <v>404</v>
      </c>
      <c r="F310" s="224" t="s">
        <v>310</v>
      </c>
      <c r="G310" s="160">
        <f>E7+E8</f>
        <v>539.75554593300001</v>
      </c>
      <c r="H310" s="225" t="s">
        <v>111</v>
      </c>
    </row>
    <row r="311" spans="2:14">
      <c r="B311" s="220"/>
      <c r="C311" s="27"/>
      <c r="D311" s="27"/>
      <c r="E311" s="27"/>
      <c r="F311" s="27"/>
      <c r="G311" s="27"/>
      <c r="H311" s="221"/>
    </row>
    <row r="312" spans="2:14" ht="16" thickBot="1">
      <c r="B312" s="226" t="s">
        <v>315</v>
      </c>
      <c r="C312" s="227">
        <f>C308+0.75*E8</f>
        <v>632.51539172287369</v>
      </c>
      <c r="D312" s="227" t="s">
        <v>111</v>
      </c>
      <c r="E312" s="68" t="s">
        <v>404</v>
      </c>
      <c r="F312" s="227" t="s">
        <v>317</v>
      </c>
      <c r="G312" s="67">
        <f>E7+0.75*E8</f>
        <v>501.03390944975001</v>
      </c>
      <c r="H312" s="228" t="s">
        <v>111</v>
      </c>
    </row>
    <row r="316" spans="2:14">
      <c r="G316" s="115"/>
      <c r="H316" s="116"/>
      <c r="I316" s="116"/>
      <c r="J316" s="116"/>
      <c r="K316" s="116"/>
      <c r="L316" s="116"/>
      <c r="M316" s="116"/>
      <c r="N316" s="117"/>
    </row>
    <row r="319" spans="2:14">
      <c r="E319" s="118" t="s">
        <v>345</v>
      </c>
      <c r="F319" s="119"/>
      <c r="G319" s="119"/>
      <c r="H319" s="119"/>
      <c r="I319" s="119"/>
      <c r="J319" s="119"/>
      <c r="K319" s="120"/>
    </row>
    <row r="320" spans="2:14" ht="16" thickBot="1"/>
    <row r="321" spans="1:16" s="230" customFormat="1" ht="38.25" customHeight="1" thickTop="1" thickBot="1">
      <c r="A321" s="229"/>
    </row>
    <row r="322" spans="1:16" ht="22" thickTop="1">
      <c r="A322" s="271" t="s">
        <v>318</v>
      </c>
      <c r="B322" s="272"/>
      <c r="C322" s="272"/>
      <c r="D322" s="272"/>
      <c r="E322" s="272"/>
      <c r="F322" s="272"/>
      <c r="G322" s="272"/>
      <c r="H322" s="272"/>
      <c r="I322" s="272"/>
      <c r="J322" s="272"/>
      <c r="K322" s="272"/>
      <c r="L322" s="272"/>
      <c r="M322" s="272"/>
      <c r="N322" s="272"/>
      <c r="O322" s="272"/>
      <c r="P322" s="272"/>
    </row>
    <row r="323" spans="1:16" ht="20" thickBot="1">
      <c r="A323" s="249" t="s">
        <v>319</v>
      </c>
      <c r="B323" s="250"/>
      <c r="C323" s="250"/>
      <c r="D323" s="250"/>
      <c r="E323" s="250"/>
      <c r="F323" s="250"/>
      <c r="G323" s="250"/>
      <c r="H323" s="250"/>
      <c r="I323" s="250"/>
    </row>
    <row r="324" spans="1:16">
      <c r="B324" s="285" t="s">
        <v>322</v>
      </c>
      <c r="C324" s="286"/>
      <c r="D324" s="287"/>
    </row>
    <row r="325" spans="1:16">
      <c r="B325" s="26" t="s">
        <v>323</v>
      </c>
      <c r="C325" s="27">
        <f>E9*(F9/160*48+G9/72*16)/100+E10*(F10/160*48+G10/72*16)/100</f>
        <v>380.83730015755316</v>
      </c>
      <c r="D325" s="7" t="s">
        <v>320</v>
      </c>
    </row>
    <row r="326" spans="1:16">
      <c r="B326" s="26" t="s">
        <v>324</v>
      </c>
      <c r="C326" s="27">
        <f>E9*(F9/160*112+G9/72*56)/100+E10*(F10/160*112+G10/72*56)/100</f>
        <v>916.96709798558845</v>
      </c>
      <c r="D326" s="7" t="s">
        <v>320</v>
      </c>
    </row>
    <row r="327" spans="1:16">
      <c r="B327" s="108" t="s">
        <v>321</v>
      </c>
      <c r="C327" s="27">
        <f>(C325/16)/(C326/56)</f>
        <v>1.4536296378350373</v>
      </c>
      <c r="D327" s="7"/>
    </row>
    <row r="328" spans="1:16">
      <c r="B328" s="26"/>
      <c r="C328" s="27"/>
      <c r="D328" s="7"/>
    </row>
    <row r="329" spans="1:16">
      <c r="B329" s="288" t="s">
        <v>325</v>
      </c>
      <c r="C329" s="289"/>
      <c r="D329" s="290"/>
    </row>
    <row r="330" spans="1:16">
      <c r="B330" s="26" t="s">
        <v>329</v>
      </c>
      <c r="C330" s="27">
        <f>C268</f>
        <v>9.3981290252775</v>
      </c>
      <c r="D330" s="7" t="s">
        <v>320</v>
      </c>
    </row>
    <row r="331" spans="1:16">
      <c r="B331" s="26" t="s">
        <v>326</v>
      </c>
      <c r="C331" s="27">
        <f>10*C17</f>
        <v>944.94423183391007</v>
      </c>
      <c r="D331" s="7" t="s">
        <v>320</v>
      </c>
    </row>
    <row r="332" spans="1:16">
      <c r="B332" s="108" t="s">
        <v>327</v>
      </c>
      <c r="C332" s="27">
        <f>(C330/12)/(C331/56)</f>
        <v>4.6413252733631977E-2</v>
      </c>
      <c r="D332" s="7"/>
    </row>
    <row r="333" spans="1:16">
      <c r="B333" s="26"/>
      <c r="C333" s="27"/>
      <c r="D333" s="7"/>
    </row>
    <row r="334" spans="1:16">
      <c r="B334" s="288" t="s">
        <v>328</v>
      </c>
      <c r="C334" s="289"/>
      <c r="D334" s="290"/>
    </row>
    <row r="335" spans="1:16">
      <c r="B335" s="26" t="s">
        <v>330</v>
      </c>
      <c r="C335" s="27">
        <f>C267</f>
        <v>302.97169220571431</v>
      </c>
      <c r="D335" s="7" t="s">
        <v>320</v>
      </c>
    </row>
    <row r="336" spans="1:16" ht="16" thickBot="1">
      <c r="B336" s="109" t="s">
        <v>331</v>
      </c>
      <c r="C336" s="13">
        <f>(C335/12)/(C331/56)</f>
        <v>1.49624480400925</v>
      </c>
      <c r="D336" s="8"/>
    </row>
    <row r="338" spans="1:9" ht="19">
      <c r="A338" s="249" t="s">
        <v>332</v>
      </c>
      <c r="B338" s="250"/>
      <c r="C338" s="250"/>
      <c r="D338" s="250"/>
      <c r="E338" s="250"/>
      <c r="F338" s="250"/>
      <c r="G338" s="250"/>
      <c r="H338" s="250"/>
      <c r="I338" s="250"/>
    </row>
    <row r="339" spans="1:9">
      <c r="B339" t="s">
        <v>333</v>
      </c>
      <c r="C339">
        <f>D29</f>
        <v>26.837542842077511</v>
      </c>
      <c r="D339" t="s">
        <v>335</v>
      </c>
    </row>
    <row r="340" spans="1:9">
      <c r="B340" t="s">
        <v>334</v>
      </c>
      <c r="C340">
        <f>C29</f>
        <v>16.399999999999999</v>
      </c>
      <c r="D340" t="s">
        <v>335</v>
      </c>
    </row>
    <row r="341" spans="1:9">
      <c r="B341" s="36" t="s">
        <v>336</v>
      </c>
      <c r="C341">
        <f>(C339+2*C340)/(C339+C340)</f>
        <v>1.3793</v>
      </c>
    </row>
    <row r="343" spans="1:9" ht="19">
      <c r="A343" s="249" t="s">
        <v>337</v>
      </c>
      <c r="B343" s="250"/>
      <c r="C343" s="250"/>
      <c r="D343" s="250"/>
      <c r="E343" s="250"/>
      <c r="F343" s="250"/>
      <c r="G343" s="250"/>
      <c r="H343" s="250"/>
      <c r="I343" s="250"/>
    </row>
    <row r="345" spans="1:9">
      <c r="B345" s="36" t="s">
        <v>338</v>
      </c>
      <c r="C345">
        <v>0</v>
      </c>
      <c r="D345">
        <f>C341</f>
        <v>1.3793</v>
      </c>
    </row>
    <row r="346" spans="1:9">
      <c r="B346" s="36" t="s">
        <v>339</v>
      </c>
      <c r="C346">
        <f>-(C332+C336)</f>
        <v>-1.542658056742882</v>
      </c>
      <c r="D346">
        <f>C327</f>
        <v>1.4536296378350373</v>
      </c>
    </row>
    <row r="348" spans="1:9">
      <c r="B348" t="s">
        <v>340</v>
      </c>
      <c r="C348">
        <f>(D346-C346)/(D345-C345)</f>
        <v>2.1723248710055243</v>
      </c>
      <c r="D348" t="s">
        <v>341</v>
      </c>
    </row>
    <row r="351" spans="1:9">
      <c r="B351" s="114" t="s">
        <v>342</v>
      </c>
      <c r="C351">
        <f>10*C17/56*C348*12</f>
        <v>439.86982639843131</v>
      </c>
      <c r="D351" t="s">
        <v>343</v>
      </c>
    </row>
    <row r="353" spans="2:8" ht="16" thickBot="1"/>
    <row r="354" spans="2:8">
      <c r="B354" s="216" t="s">
        <v>313</v>
      </c>
      <c r="C354" s="217">
        <f>(C351-E8*U8/100)/U7*100</f>
        <v>388.79485805355466</v>
      </c>
      <c r="D354" s="217" t="s">
        <v>111</v>
      </c>
      <c r="E354" s="127" t="s">
        <v>404</v>
      </c>
      <c r="F354" s="217" t="s">
        <v>316</v>
      </c>
      <c r="G354" s="218">
        <v>401.23941011327804</v>
      </c>
      <c r="H354" s="219" t="s">
        <v>111</v>
      </c>
    </row>
    <row r="355" spans="2:8">
      <c r="B355" s="220"/>
      <c r="C355" s="27"/>
      <c r="D355" s="27"/>
      <c r="E355" s="27"/>
      <c r="F355" s="27"/>
      <c r="G355" s="27"/>
      <c r="H355" s="221"/>
    </row>
    <row r="356" spans="2:8">
      <c r="B356" s="222" t="s">
        <v>314</v>
      </c>
      <c r="C356" s="223">
        <f>C354+E8</f>
        <v>543.68140398655464</v>
      </c>
      <c r="D356" s="224" t="s">
        <v>111</v>
      </c>
      <c r="E356" s="32" t="s">
        <v>404</v>
      </c>
      <c r="F356" s="224" t="s">
        <v>310</v>
      </c>
      <c r="G356" s="160">
        <v>556.12595604627802</v>
      </c>
      <c r="H356" s="225" t="s">
        <v>111</v>
      </c>
    </row>
    <row r="357" spans="2:8">
      <c r="B357" s="220"/>
      <c r="C357" s="27"/>
      <c r="D357" s="27"/>
      <c r="E357" s="27"/>
      <c r="F357" s="27"/>
      <c r="G357" s="27"/>
      <c r="H357" s="221"/>
    </row>
    <row r="358" spans="2:8" ht="16" thickBot="1">
      <c r="B358" s="226" t="s">
        <v>315</v>
      </c>
      <c r="C358" s="227">
        <f>C354+0.75*E8</f>
        <v>504.95976750330465</v>
      </c>
      <c r="D358" s="227" t="s">
        <v>111</v>
      </c>
      <c r="E358" s="68" t="s">
        <v>404</v>
      </c>
      <c r="F358" s="227" t="s">
        <v>317</v>
      </c>
      <c r="G358" s="67">
        <v>517.40431956302803</v>
      </c>
      <c r="H358" s="228" t="s">
        <v>111</v>
      </c>
    </row>
  </sheetData>
  <mergeCells count="77">
    <mergeCell ref="C228:I228"/>
    <mergeCell ref="C233:I233"/>
    <mergeCell ref="A261:I261"/>
    <mergeCell ref="B120:C120"/>
    <mergeCell ref="B121:C121"/>
    <mergeCell ref="B122:C122"/>
    <mergeCell ref="B124:E124"/>
    <mergeCell ref="B125:C125"/>
    <mergeCell ref="D125:E125"/>
    <mergeCell ref="A221:P221"/>
    <mergeCell ref="A136:XFD136"/>
    <mergeCell ref="A343:I343"/>
    <mergeCell ref="A322:P322"/>
    <mergeCell ref="A323:I323"/>
    <mergeCell ref="B324:D324"/>
    <mergeCell ref="B329:D329"/>
    <mergeCell ref="B334:D334"/>
    <mergeCell ref="A338:I338"/>
    <mergeCell ref="A89:P89"/>
    <mergeCell ref="F86:H86"/>
    <mergeCell ref="A69:P69"/>
    <mergeCell ref="B71:C71"/>
    <mergeCell ref="B72:B79"/>
    <mergeCell ref="B80:B84"/>
    <mergeCell ref="B85:C85"/>
    <mergeCell ref="B90:C90"/>
    <mergeCell ref="B91:C91"/>
    <mergeCell ref="B92:C92"/>
    <mergeCell ref="B103:C103"/>
    <mergeCell ref="B104:C104"/>
    <mergeCell ref="B94:C94"/>
    <mergeCell ref="B96:C96"/>
    <mergeCell ref="B101:C101"/>
    <mergeCell ref="B98:C98"/>
    <mergeCell ref="B99:C99"/>
    <mergeCell ref="B100:C100"/>
    <mergeCell ref="A5:P5"/>
    <mergeCell ref="A15:P15"/>
    <mergeCell ref="A19:P19"/>
    <mergeCell ref="A23:P23"/>
    <mergeCell ref="A4:Z4"/>
    <mergeCell ref="A1:AA1"/>
    <mergeCell ref="A2:AA2"/>
    <mergeCell ref="A27:P27"/>
    <mergeCell ref="B54:B61"/>
    <mergeCell ref="B62:B66"/>
    <mergeCell ref="B67:C67"/>
    <mergeCell ref="A39:P39"/>
    <mergeCell ref="A40:P40"/>
    <mergeCell ref="A51:P51"/>
    <mergeCell ref="B53:C53"/>
    <mergeCell ref="A31:P31"/>
    <mergeCell ref="B105:C105"/>
    <mergeCell ref="B113:C113"/>
    <mergeCell ref="B116:C116"/>
    <mergeCell ref="B118:C118"/>
    <mergeCell ref="B106:C106"/>
    <mergeCell ref="B108:C108"/>
    <mergeCell ref="B109:C109"/>
    <mergeCell ref="B111:C111"/>
    <mergeCell ref="B114:C114"/>
    <mergeCell ref="B274:D274"/>
    <mergeCell ref="B285:C285"/>
    <mergeCell ref="B286:C286"/>
    <mergeCell ref="D297:E297"/>
    <mergeCell ref="A137:P137"/>
    <mergeCell ref="A138:I138"/>
    <mergeCell ref="A155:I155"/>
    <mergeCell ref="A162:I162"/>
    <mergeCell ref="A168:I168"/>
    <mergeCell ref="C207:D207"/>
    <mergeCell ref="A171:I171"/>
    <mergeCell ref="A197:I197"/>
    <mergeCell ref="B202:F202"/>
    <mergeCell ref="A205:I205"/>
    <mergeCell ref="C206:D206"/>
    <mergeCell ref="A222:I222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L38"/>
  <sheetViews>
    <sheetView workbookViewId="0">
      <selection activeCell="G48" sqref="G48"/>
    </sheetView>
  </sheetViews>
  <sheetFormatPr baseColWidth="10" defaultColWidth="8.83203125" defaultRowHeight="15"/>
  <sheetData>
    <row r="5" spans="3:12" ht="16" thickBot="1"/>
    <row r="6" spans="3:12" ht="16" thickBot="1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 spans="3:12" ht="31" thickBot="1">
      <c r="C7" s="3" t="s">
        <v>7</v>
      </c>
      <c r="D7" s="4">
        <v>0.41</v>
      </c>
      <c r="E7" s="4">
        <v>0.14099999999999999</v>
      </c>
      <c r="F7" s="4">
        <v>1.1519999999999999</v>
      </c>
      <c r="G7" s="4">
        <v>0.58899999999999997</v>
      </c>
      <c r="H7" s="4">
        <v>2E-3</v>
      </c>
      <c r="I7" s="4">
        <v>5.0000000000000001E-3</v>
      </c>
    </row>
    <row r="8" spans="3:12" ht="16" thickBot="1">
      <c r="C8" s="3" t="s">
        <v>8</v>
      </c>
      <c r="D8" s="4">
        <v>0</v>
      </c>
      <c r="E8" s="4">
        <v>2.75</v>
      </c>
      <c r="F8" s="5" t="s">
        <v>9</v>
      </c>
      <c r="G8" s="5" t="s">
        <v>9</v>
      </c>
      <c r="H8" s="4"/>
      <c r="I8" s="4"/>
      <c r="K8" t="s">
        <v>34</v>
      </c>
      <c r="L8">
        <v>93.95</v>
      </c>
    </row>
    <row r="9" spans="3:12" ht="20" thickBot="1">
      <c r="C9" s="6" t="s">
        <v>10</v>
      </c>
      <c r="D9" s="4"/>
      <c r="E9" s="4"/>
      <c r="F9" s="4">
        <v>64.31</v>
      </c>
      <c r="G9" s="4">
        <v>83.06</v>
      </c>
      <c r="H9" s="4"/>
      <c r="I9" s="4"/>
      <c r="K9" t="s">
        <v>35</v>
      </c>
      <c r="L9">
        <v>4.95</v>
      </c>
    </row>
    <row r="10" spans="3:12" ht="16" thickBot="1">
      <c r="C10" s="6" t="s">
        <v>11</v>
      </c>
      <c r="D10" s="4">
        <v>0.9</v>
      </c>
      <c r="E10" s="4">
        <v>0.9</v>
      </c>
      <c r="F10" s="4">
        <v>9.42</v>
      </c>
      <c r="G10" s="4">
        <v>0.53</v>
      </c>
      <c r="H10" s="4"/>
      <c r="I10" s="4"/>
      <c r="K10" t="s">
        <v>36</v>
      </c>
      <c r="L10">
        <v>0.2</v>
      </c>
    </row>
    <row r="11" spans="3:12" ht="20" thickBot="1">
      <c r="C11" s="6" t="s">
        <v>12</v>
      </c>
      <c r="D11" s="4"/>
      <c r="E11" s="4"/>
      <c r="F11" s="4"/>
      <c r="G11" s="4"/>
      <c r="H11" s="4"/>
      <c r="I11" s="4"/>
      <c r="K11" t="s">
        <v>37</v>
      </c>
      <c r="L11">
        <v>0.23</v>
      </c>
    </row>
    <row r="12" spans="3:12" ht="16" thickBot="1">
      <c r="C12" s="6" t="s">
        <v>13</v>
      </c>
      <c r="D12" s="4"/>
      <c r="E12" s="4"/>
      <c r="F12" s="4">
        <v>0.11</v>
      </c>
      <c r="G12" s="4">
        <v>8.0000000000000002E-3</v>
      </c>
      <c r="H12" s="4"/>
      <c r="I12" s="4"/>
      <c r="K12" t="s">
        <v>38</v>
      </c>
      <c r="L12">
        <v>0.1</v>
      </c>
    </row>
    <row r="13" spans="3:12" ht="20" thickBot="1">
      <c r="C13" s="6" t="s">
        <v>14</v>
      </c>
      <c r="D13" s="4"/>
      <c r="E13" s="4"/>
      <c r="F13" s="4"/>
      <c r="G13" s="4"/>
      <c r="H13" s="4"/>
      <c r="I13" s="4"/>
      <c r="K13" t="s">
        <v>24</v>
      </c>
      <c r="L13">
        <v>0.04</v>
      </c>
    </row>
    <row r="14" spans="3:12" ht="16" thickBot="1">
      <c r="C14" s="6" t="s">
        <v>15</v>
      </c>
      <c r="D14" s="4"/>
      <c r="E14" s="4"/>
      <c r="F14" s="4">
        <v>0.24</v>
      </c>
      <c r="G14" s="4">
        <v>0.30599999999999999</v>
      </c>
      <c r="H14" s="4"/>
      <c r="I14" s="4"/>
      <c r="K14" t="s">
        <v>39</v>
      </c>
      <c r="L14">
        <v>0.19</v>
      </c>
    </row>
    <row r="15" spans="3:12" ht="20" thickBot="1">
      <c r="C15" s="6" t="s">
        <v>16</v>
      </c>
      <c r="D15" s="4">
        <v>0.04</v>
      </c>
      <c r="E15" s="4">
        <v>0.06</v>
      </c>
      <c r="F15" s="4">
        <v>2.14</v>
      </c>
      <c r="G15" s="4">
        <v>1.9730000000000001</v>
      </c>
      <c r="H15" s="4"/>
      <c r="I15" s="4"/>
      <c r="K15" t="s">
        <v>40</v>
      </c>
      <c r="L15">
        <v>0.34</v>
      </c>
    </row>
    <row r="16" spans="3:12" ht="20" thickBot="1">
      <c r="C16" s="6" t="s">
        <v>17</v>
      </c>
      <c r="D16" s="4">
        <v>6.78</v>
      </c>
      <c r="E16" s="4">
        <v>5.27</v>
      </c>
      <c r="F16" s="4">
        <v>6.11</v>
      </c>
      <c r="G16" s="4">
        <v>7.13</v>
      </c>
      <c r="H16" s="4"/>
      <c r="I16" s="4"/>
    </row>
    <row r="17" spans="3:10" ht="20" thickBot="1">
      <c r="C17" s="6" t="s">
        <v>18</v>
      </c>
      <c r="D17" s="4">
        <v>4.5</v>
      </c>
      <c r="E17" s="4">
        <v>6.77</v>
      </c>
      <c r="F17" s="4">
        <v>2.76</v>
      </c>
      <c r="G17" s="4">
        <v>1.91</v>
      </c>
      <c r="H17" s="4"/>
      <c r="I17" s="4"/>
    </row>
    <row r="18" spans="3:10" ht="16" thickBot="1">
      <c r="C18" s="6" t="s">
        <v>19</v>
      </c>
      <c r="D18" s="4">
        <v>0.8</v>
      </c>
      <c r="E18" s="4">
        <v>0.93</v>
      </c>
      <c r="F18" s="4">
        <v>11.75</v>
      </c>
      <c r="G18" s="4">
        <v>2.48</v>
      </c>
      <c r="H18" s="4"/>
      <c r="I18" s="4"/>
    </row>
    <row r="19" spans="3:10" ht="16" thickBot="1">
      <c r="C19" s="6" t="s">
        <v>20</v>
      </c>
      <c r="D19" s="4">
        <v>0.2</v>
      </c>
      <c r="E19" s="4">
        <v>0.23</v>
      </c>
      <c r="F19" s="4">
        <v>3.12</v>
      </c>
      <c r="G19" s="4">
        <v>2.63</v>
      </c>
      <c r="H19" s="4"/>
      <c r="I19" s="4"/>
    </row>
    <row r="20" spans="3:10" ht="20" thickBot="1">
      <c r="C20" s="6" t="s">
        <v>21</v>
      </c>
      <c r="D20" s="4"/>
      <c r="E20" s="4"/>
      <c r="F20" s="4"/>
      <c r="G20" s="4"/>
      <c r="H20" s="4"/>
      <c r="I20" s="4"/>
    </row>
    <row r="21" spans="3:10" ht="20" thickBot="1">
      <c r="C21" s="6" t="s">
        <v>22</v>
      </c>
      <c r="D21" s="4"/>
      <c r="E21" s="4"/>
      <c r="F21" s="4"/>
      <c r="G21" s="4"/>
      <c r="H21" s="4"/>
      <c r="I21" s="4"/>
    </row>
    <row r="22" spans="3:10" ht="18" thickBot="1">
      <c r="C22" s="6" t="s">
        <v>23</v>
      </c>
      <c r="D22" s="4">
        <v>84.58</v>
      </c>
      <c r="E22" s="4">
        <v>70.27</v>
      </c>
      <c r="F22" s="4"/>
      <c r="G22" s="4"/>
      <c r="H22" s="4"/>
      <c r="I22" s="4"/>
    </row>
    <row r="23" spans="3:10" ht="16" thickBot="1">
      <c r="C23" s="6" t="s">
        <v>24</v>
      </c>
      <c r="D23" s="4">
        <v>0.8</v>
      </c>
      <c r="E23" s="4">
        <v>0.6</v>
      </c>
      <c r="F23" s="4">
        <v>0.04</v>
      </c>
      <c r="G23" s="4">
        <v>3.0000000000000001E-3</v>
      </c>
      <c r="H23" s="4"/>
      <c r="I23" s="4"/>
    </row>
    <row r="24" spans="3:10" ht="16" thickBot="1">
      <c r="C24" s="6" t="s">
        <v>25</v>
      </c>
      <c r="D24" s="4"/>
      <c r="E24" s="4">
        <v>7.27</v>
      </c>
      <c r="F24" s="4"/>
      <c r="G24" s="4"/>
      <c r="H24" s="4"/>
      <c r="I24" s="4"/>
    </row>
    <row r="25" spans="3:10" ht="16" thickBot="1">
      <c r="C25" s="6" t="s">
        <v>26</v>
      </c>
      <c r="D25" s="4">
        <v>0.9</v>
      </c>
      <c r="E25" s="4">
        <v>5</v>
      </c>
      <c r="F25" s="4"/>
      <c r="G25" s="4"/>
      <c r="H25" s="4"/>
      <c r="I25" s="4"/>
    </row>
    <row r="26" spans="3:10" ht="16" thickBot="1">
      <c r="C26" s="6" t="s">
        <v>27</v>
      </c>
      <c r="D26" s="4">
        <v>0.5</v>
      </c>
      <c r="E26" s="4">
        <v>2.7</v>
      </c>
      <c r="F26" s="4"/>
      <c r="G26" s="4"/>
      <c r="H26" s="4"/>
      <c r="I26" s="4"/>
    </row>
    <row r="29" spans="3:10">
      <c r="C29" t="s">
        <v>29</v>
      </c>
      <c r="D29">
        <v>30.82</v>
      </c>
      <c r="F29" t="s">
        <v>43</v>
      </c>
      <c r="G29">
        <v>47.03</v>
      </c>
      <c r="I29" t="s">
        <v>45</v>
      </c>
      <c r="J29">
        <v>18</v>
      </c>
    </row>
    <row r="30" spans="3:10">
      <c r="C30" t="s">
        <v>30</v>
      </c>
      <c r="D30">
        <v>14.1</v>
      </c>
      <c r="F30" t="s">
        <v>11</v>
      </c>
      <c r="G30">
        <v>6.82</v>
      </c>
      <c r="I30" t="s">
        <v>46</v>
      </c>
      <c r="J30">
        <v>24.5</v>
      </c>
    </row>
    <row r="31" spans="3:10">
      <c r="C31" t="s">
        <v>19</v>
      </c>
      <c r="D31">
        <v>34.99</v>
      </c>
      <c r="F31" t="s">
        <v>15</v>
      </c>
      <c r="G31">
        <v>0.12</v>
      </c>
      <c r="I31" t="s">
        <v>47</v>
      </c>
      <c r="J31">
        <v>3</v>
      </c>
    </row>
    <row r="32" spans="3:10">
      <c r="C32" t="s">
        <v>20</v>
      </c>
      <c r="D32">
        <v>10.85</v>
      </c>
      <c r="F32" t="s">
        <v>19</v>
      </c>
      <c r="G32">
        <v>8</v>
      </c>
      <c r="I32" t="s">
        <v>48</v>
      </c>
      <c r="J32">
        <v>0.5</v>
      </c>
    </row>
    <row r="33" spans="3:10">
      <c r="C33" t="s">
        <v>15</v>
      </c>
      <c r="D33">
        <v>1.98</v>
      </c>
      <c r="F33" t="s">
        <v>20</v>
      </c>
      <c r="G33">
        <v>3.3</v>
      </c>
      <c r="I33" t="s">
        <v>49</v>
      </c>
      <c r="J33">
        <v>54</v>
      </c>
    </row>
    <row r="34" spans="3:10">
      <c r="C34" t="s">
        <v>11</v>
      </c>
      <c r="D34">
        <v>0.2</v>
      </c>
      <c r="F34" t="s">
        <v>29</v>
      </c>
      <c r="G34">
        <v>9.8699999999999992</v>
      </c>
    </row>
    <row r="35" spans="3:10">
      <c r="C35" t="s">
        <v>31</v>
      </c>
      <c r="D35">
        <v>6.73</v>
      </c>
      <c r="F35" t="s">
        <v>30</v>
      </c>
      <c r="G35">
        <v>2.62</v>
      </c>
    </row>
    <row r="36" spans="3:10">
      <c r="C36" t="s">
        <v>32</v>
      </c>
      <c r="D36">
        <v>0.2</v>
      </c>
      <c r="F36" t="s">
        <v>44</v>
      </c>
      <c r="G36">
        <v>0.25</v>
      </c>
    </row>
    <row r="37" spans="3:10">
      <c r="C37" t="s">
        <v>33</v>
      </c>
      <c r="D37">
        <v>0.13</v>
      </c>
      <c r="F37" t="s">
        <v>35</v>
      </c>
      <c r="G37">
        <v>20.37</v>
      </c>
    </row>
    <row r="38" spans="3:10">
      <c r="F38" t="s">
        <v>45</v>
      </c>
      <c r="G38">
        <v>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Kejiang Li</cp:lastModifiedBy>
  <dcterms:created xsi:type="dcterms:W3CDTF">2012-12-25T06:55:10Z</dcterms:created>
  <dcterms:modified xsi:type="dcterms:W3CDTF">2024-12-16T06:43:59Z</dcterms:modified>
</cp:coreProperties>
</file>