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vin\Documents\Projects\NSTX\NSTX Scattering\"/>
    </mc:Choice>
  </mc:AlternateContent>
  <bookViews>
    <workbookView xWindow="270" yWindow="2130" windowWidth="16305" windowHeight="12975" activeTab="1"/>
  </bookViews>
  <sheets>
    <sheet name="Wavenumbers" sheetId="1" r:id="rId1"/>
    <sheet name="Fan Beam" sheetId="2" r:id="rId2"/>
    <sheet name="Pitch Angle" sheetId="3" r:id="rId3"/>
  </sheets>
  <definedNames>
    <definedName name="a_0" localSheetId="2">'Pitch Angle'!$B$5</definedName>
    <definedName name="Array_tilt">Wavenumbers!$C$13</definedName>
    <definedName name="k_0">Wavenumbers!$E$3</definedName>
    <definedName name="R_0" localSheetId="2">'Pitch Angle'!$B$4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2" i="3" l="1"/>
  <c r="G83" i="3"/>
  <c r="G84" i="3"/>
  <c r="G85" i="3"/>
  <c r="G86" i="3"/>
  <c r="E82" i="3"/>
  <c r="E83" i="3"/>
  <c r="E84" i="3"/>
  <c r="E85" i="3"/>
  <c r="E86" i="3"/>
  <c r="G77" i="3"/>
  <c r="G78" i="3"/>
  <c r="G79" i="3"/>
  <c r="G80" i="3"/>
  <c r="G81" i="3"/>
  <c r="E77" i="3"/>
  <c r="E78" i="3"/>
  <c r="E79" i="3"/>
  <c r="E80" i="3"/>
  <c r="E81" i="3"/>
  <c r="G72" i="3"/>
  <c r="G73" i="3"/>
  <c r="G74" i="3"/>
  <c r="G75" i="3"/>
  <c r="G76" i="3"/>
  <c r="E72" i="3"/>
  <c r="E73" i="3"/>
  <c r="E74" i="3"/>
  <c r="E75" i="3"/>
  <c r="E76" i="3"/>
  <c r="G67" i="3"/>
  <c r="G68" i="3"/>
  <c r="G69" i="3"/>
  <c r="G70" i="3"/>
  <c r="G71" i="3"/>
  <c r="E67" i="3"/>
  <c r="E68" i="3"/>
  <c r="E69" i="3"/>
  <c r="E70" i="3"/>
  <c r="E71" i="3"/>
  <c r="G62" i="3"/>
  <c r="G63" i="3"/>
  <c r="G64" i="3"/>
  <c r="G65" i="3"/>
  <c r="G66" i="3"/>
  <c r="E62" i="3"/>
  <c r="E63" i="3"/>
  <c r="E64" i="3"/>
  <c r="E65" i="3"/>
  <c r="E66" i="3"/>
  <c r="G58" i="3"/>
  <c r="G59" i="3"/>
  <c r="G60" i="3"/>
  <c r="G61" i="3"/>
  <c r="E58" i="3"/>
  <c r="E59" i="3"/>
  <c r="E60" i="3"/>
  <c r="E61" i="3"/>
  <c r="G54" i="3"/>
  <c r="G55" i="3"/>
  <c r="G56" i="3"/>
  <c r="G57" i="3"/>
  <c r="E54" i="3"/>
  <c r="E55" i="3"/>
  <c r="E56" i="3"/>
  <c r="E57" i="3"/>
  <c r="G49" i="3"/>
  <c r="G50" i="3"/>
  <c r="G51" i="3"/>
  <c r="G52" i="3"/>
  <c r="G53" i="3"/>
  <c r="E49" i="3"/>
  <c r="E50" i="3"/>
  <c r="E51" i="3"/>
  <c r="E52" i="3"/>
  <c r="E53" i="3"/>
  <c r="G44" i="3"/>
  <c r="G45" i="3"/>
  <c r="G46" i="3"/>
  <c r="G47" i="3"/>
  <c r="G48" i="3"/>
  <c r="E44" i="3"/>
  <c r="E45" i="3"/>
  <c r="E46" i="3"/>
  <c r="E47" i="3"/>
  <c r="E48" i="3"/>
  <c r="G39" i="3"/>
  <c r="G40" i="3"/>
  <c r="G41" i="3"/>
  <c r="G42" i="3"/>
  <c r="G43" i="3"/>
  <c r="E39" i="3"/>
  <c r="E40" i="3"/>
  <c r="E41" i="3"/>
  <c r="E42" i="3"/>
  <c r="E43" i="3"/>
  <c r="G34" i="3"/>
  <c r="G35" i="3"/>
  <c r="G36" i="3"/>
  <c r="G37" i="3"/>
  <c r="G38" i="3"/>
  <c r="E34" i="3"/>
  <c r="E35" i="3"/>
  <c r="E36" i="3"/>
  <c r="E37" i="3"/>
  <c r="E38" i="3"/>
  <c r="G30" i="3"/>
  <c r="G31" i="3"/>
  <c r="G32" i="3"/>
  <c r="G33" i="3"/>
  <c r="E30" i="3"/>
  <c r="E31" i="3"/>
  <c r="E32" i="3"/>
  <c r="E33" i="3"/>
  <c r="G25" i="3"/>
  <c r="G26" i="3"/>
  <c r="G27" i="3"/>
  <c r="G28" i="3"/>
  <c r="G29" i="3"/>
  <c r="E25" i="3"/>
  <c r="E26" i="3"/>
  <c r="E27" i="3"/>
  <c r="E28" i="3"/>
  <c r="E29" i="3"/>
  <c r="G21" i="3"/>
  <c r="G22" i="3"/>
  <c r="G23" i="3"/>
  <c r="G24" i="3"/>
  <c r="E21" i="3"/>
  <c r="E22" i="3"/>
  <c r="E23" i="3"/>
  <c r="E2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" i="3"/>
  <c r="E17" i="3"/>
  <c r="E18" i="3"/>
  <c r="E19" i="3"/>
  <c r="E20" i="3"/>
  <c r="E13" i="3"/>
  <c r="E14" i="3"/>
  <c r="E15" i="3"/>
  <c r="E16" i="3"/>
  <c r="E3" i="3"/>
  <c r="E4" i="3"/>
  <c r="E5" i="3"/>
  <c r="E6" i="3"/>
  <c r="E7" i="3"/>
  <c r="E8" i="3"/>
  <c r="E9" i="3"/>
  <c r="E10" i="3"/>
  <c r="E11" i="3"/>
  <c r="E12" i="3"/>
  <c r="E2" i="3"/>
  <c r="M19" i="1" l="1"/>
  <c r="M13" i="1" l="1"/>
  <c r="M9" i="1"/>
  <c r="M10" i="1"/>
  <c r="M11" i="1" l="1"/>
  <c r="M12" i="1" s="1"/>
  <c r="C22" i="1"/>
  <c r="M14" i="1" l="1"/>
  <c r="M16" i="1" s="1"/>
  <c r="M17" i="1" s="1"/>
  <c r="M18" i="1" l="1"/>
  <c r="C17" i="1"/>
  <c r="C18" i="1" s="1"/>
  <c r="C19" i="1" s="1"/>
  <c r="M15" i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D22" i="1"/>
  <c r="E3" i="1" l="1"/>
  <c r="F29" i="1" s="1"/>
  <c r="E8" i="2"/>
  <c r="E9" i="2"/>
  <c r="E10" i="2"/>
  <c r="E11" i="2"/>
  <c r="E12" i="2"/>
  <c r="E13" i="2"/>
  <c r="E14" i="2"/>
  <c r="E7" i="2"/>
  <c r="E24" i="1" l="1"/>
  <c r="E26" i="1"/>
  <c r="F22" i="1"/>
  <c r="E23" i="1"/>
  <c r="F24" i="1"/>
  <c r="E28" i="1"/>
  <c r="E25" i="1"/>
  <c r="F26" i="1"/>
  <c r="F23" i="1"/>
  <c r="E27" i="1"/>
  <c r="F27" i="1"/>
  <c r="F28" i="1"/>
  <c r="F25" i="1"/>
  <c r="E29" i="1"/>
  <c r="E22" i="1"/>
</calcChain>
</file>

<file path=xl/sharedStrings.xml><?xml version="1.0" encoding="utf-8"?>
<sst xmlns="http://schemas.openxmlformats.org/spreadsheetml/2006/main" count="112" uniqueCount="106">
  <si>
    <t>Calculate the scattering angle for the NSTX-U High-k Scattering system</t>
  </si>
  <si>
    <t>Author:</t>
  </si>
  <si>
    <t>Calvin Domier</t>
  </si>
  <si>
    <t>Date:</t>
  </si>
  <si>
    <t>Channel #</t>
  </si>
  <si>
    <t>End Height (cm)</t>
  </si>
  <si>
    <t>Start Height (cm)</t>
  </si>
  <si>
    <t>End Height is vertical position of channel at focus</t>
  </si>
  <si>
    <t>Start Height is vertical position of channel at window (CodeV surface #7)</t>
  </si>
  <si>
    <t>Distance (cm)</t>
  </si>
  <si>
    <r>
      <t>Angle 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)</t>
    </r>
  </si>
  <si>
    <r>
      <t>Ch Angle 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)</t>
    </r>
  </si>
  <si>
    <t>Ch #</t>
  </si>
  <si>
    <r>
      <t>Vert Tilt 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)</t>
    </r>
  </si>
  <si>
    <r>
      <t>λ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(mm):</t>
    </r>
  </si>
  <si>
    <r>
      <t>k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(cm</t>
    </r>
    <r>
      <rPr>
        <vertAlign val="superscript"/>
        <sz val="11"/>
        <color theme="1"/>
        <rFont val="Calibri"/>
        <family val="2"/>
      </rPr>
      <t>‒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):</t>
    </r>
  </si>
  <si>
    <t>Calculation of Fan Beam Angles</t>
  </si>
  <si>
    <t>Vert Tilt (rad)</t>
  </si>
  <si>
    <r>
      <t>k</t>
    </r>
    <r>
      <rPr>
        <b/>
        <vertAlign val="subscript"/>
        <sz val="11"/>
        <color theme="1"/>
        <rFont val="Calibri"/>
        <family val="2"/>
      </rPr>
      <t>R</t>
    </r>
    <r>
      <rPr>
        <b/>
        <sz val="11"/>
        <color theme="1"/>
        <rFont val="Calibri"/>
        <family val="2"/>
        <scheme val="minor"/>
      </rPr>
      <t xml:space="preserve"> (cm</t>
    </r>
    <r>
      <rPr>
        <b/>
        <vertAlign val="superscript"/>
        <sz val="11"/>
        <color theme="1"/>
        <rFont val="Calibri"/>
        <family val="2"/>
      </rPr>
      <t>‒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</t>
    </r>
  </si>
  <si>
    <r>
      <t>k</t>
    </r>
    <r>
      <rPr>
        <b/>
        <vertAlign val="subscript"/>
        <sz val="11"/>
        <color theme="1"/>
        <rFont val="Calibri"/>
        <family val="2"/>
      </rPr>
      <t>θ</t>
    </r>
    <r>
      <rPr>
        <b/>
        <sz val="11"/>
        <color theme="1"/>
        <rFont val="Calibri"/>
        <family val="2"/>
        <scheme val="minor"/>
      </rPr>
      <t xml:space="preserve"> (cm</t>
    </r>
    <r>
      <rPr>
        <b/>
        <vertAlign val="superscript"/>
        <sz val="11"/>
        <color theme="1"/>
        <rFont val="Calibri"/>
        <family val="2"/>
      </rPr>
      <t>‒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</si>
  <si>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(mm):</t>
    </r>
  </si>
  <si>
    <t>a (mm):</t>
  </si>
  <si>
    <r>
      <t>φ</t>
    </r>
    <r>
      <rPr>
        <vertAlign val="subscript"/>
        <sz val="11"/>
        <color theme="1"/>
        <rFont val="Calibri"/>
        <family val="2"/>
      </rPr>
      <t>RA</t>
    </r>
    <r>
      <rPr>
        <sz val="11"/>
        <color theme="1"/>
        <rFont val="Calibri"/>
        <family val="2"/>
      </rPr>
      <t xml:space="preserve"> (°):</t>
    </r>
  </si>
  <si>
    <t>IR height above plasma midplane ( -50 to +50)</t>
  </si>
  <si>
    <t>Probe wavelength</t>
  </si>
  <si>
    <t>Probe wavenumber</t>
  </si>
  <si>
    <t>Major radius of IR</t>
  </si>
  <si>
    <r>
      <t>z</t>
    </r>
    <r>
      <rPr>
        <vertAlign val="subscript"/>
        <sz val="11"/>
        <color theme="1"/>
        <rFont val="Calibri"/>
        <family val="2"/>
        <scheme val="minor"/>
      </rPr>
      <t>IR</t>
    </r>
    <r>
      <rPr>
        <sz val="11"/>
        <color theme="1"/>
        <rFont val="Calibri"/>
        <family val="2"/>
        <scheme val="minor"/>
      </rPr>
      <t xml:space="preserve"> (mm):</t>
    </r>
  </si>
  <si>
    <r>
      <t>y</t>
    </r>
    <r>
      <rPr>
        <vertAlign val="subscript"/>
        <sz val="11"/>
        <color theme="1"/>
        <rFont val="Calibri"/>
        <family val="2"/>
        <scheme val="minor"/>
      </rPr>
      <t>IR</t>
    </r>
    <r>
      <rPr>
        <sz val="11"/>
        <color theme="1"/>
        <rFont val="Calibri"/>
        <family val="2"/>
        <scheme val="minor"/>
      </rPr>
      <t xml:space="preserve"> (mm):</t>
    </r>
  </si>
  <si>
    <r>
      <t>R</t>
    </r>
    <r>
      <rPr>
        <vertAlign val="subscript"/>
        <sz val="11"/>
        <color theme="1"/>
        <rFont val="Calibri"/>
        <family val="2"/>
        <scheme val="minor"/>
      </rPr>
      <t>IR</t>
    </r>
    <r>
      <rPr>
        <sz val="11"/>
        <color theme="1"/>
        <rFont val="Calibri"/>
        <family val="2"/>
        <scheme val="minor"/>
      </rPr>
      <t xml:space="preserve"> (mm):</t>
    </r>
  </si>
  <si>
    <t>r/a:</t>
  </si>
  <si>
    <t>Relative radius of IR</t>
  </si>
  <si>
    <t>Midplane distance from RW to IR</t>
  </si>
  <si>
    <t>Rec. toroidal angle wrt radius at IR</t>
  </si>
  <si>
    <t>IR = Interaction Region</t>
  </si>
  <si>
    <t>RW = Receive Window</t>
  </si>
  <si>
    <t>IR height above plasma midplane not yet implemented in spreadsheet.</t>
  </si>
  <si>
    <t>The greater the angle difference between the beams, the less direct</t>
  </si>
  <si>
    <t>RA = Receiver Array</t>
  </si>
  <si>
    <t>Calculated launch beam distance from LW to IR</t>
  </si>
  <si>
    <t>Receiver:</t>
  </si>
  <si>
    <t>Launch:</t>
  </si>
  <si>
    <t>Calculated launch beam horizontal tilt</t>
  </si>
  <si>
    <r>
      <t>ψ</t>
    </r>
    <r>
      <rPr>
        <vertAlign val="subscript"/>
        <sz val="11"/>
        <color theme="1"/>
        <rFont val="Calibri"/>
        <family val="2"/>
      </rPr>
      <t>R</t>
    </r>
    <r>
      <rPr>
        <sz val="11"/>
        <color theme="1"/>
        <rFont val="Calibri"/>
        <family val="2"/>
      </rPr>
      <t xml:space="preserve"> (rad):</t>
    </r>
  </si>
  <si>
    <r>
      <t>ψ</t>
    </r>
    <r>
      <rPr>
        <vertAlign val="subscript"/>
        <sz val="11"/>
        <color theme="1"/>
        <rFont val="Calibri"/>
        <family val="2"/>
      </rPr>
      <t>R</t>
    </r>
    <r>
      <rPr>
        <sz val="11"/>
        <color theme="1"/>
        <rFont val="Calibri"/>
        <family val="2"/>
      </rPr>
      <t xml:space="preserve"> (°):</t>
    </r>
  </si>
  <si>
    <t>LB major radius</t>
  </si>
  <si>
    <t>LW = Launch Mirror</t>
  </si>
  <si>
    <r>
      <t>ψ</t>
    </r>
    <r>
      <rPr>
        <vertAlign val="subscript"/>
        <sz val="11"/>
        <color theme="1"/>
        <rFont val="Calibri"/>
        <family val="2"/>
      </rPr>
      <t>LM</t>
    </r>
    <r>
      <rPr>
        <sz val="11"/>
        <color theme="1"/>
        <rFont val="Calibri"/>
        <family val="2"/>
      </rPr>
      <t xml:space="preserve"> (°):</t>
    </r>
  </si>
  <si>
    <t>Inputs:</t>
  </si>
  <si>
    <r>
      <t>ψ</t>
    </r>
    <r>
      <rPr>
        <vertAlign val="subscript"/>
        <sz val="11"/>
        <color theme="1"/>
        <rFont val="Calibri"/>
        <family val="2"/>
      </rPr>
      <t>X</t>
    </r>
    <r>
      <rPr>
        <sz val="11"/>
        <color theme="1"/>
        <rFont val="Calibri"/>
        <family val="2"/>
      </rPr>
      <t xml:space="preserve"> (rad):</t>
    </r>
  </si>
  <si>
    <r>
      <t>ψ</t>
    </r>
    <r>
      <rPr>
        <vertAlign val="subscript"/>
        <sz val="11"/>
        <color theme="1"/>
        <rFont val="Calibri"/>
        <family val="2"/>
      </rPr>
      <t>X</t>
    </r>
    <r>
      <rPr>
        <sz val="11"/>
        <color theme="1"/>
        <rFont val="Calibri"/>
        <family val="2"/>
      </rPr>
      <t xml:space="preserve"> (°):</t>
    </r>
  </si>
  <si>
    <t>Toroidal tilt due to RW horizontal offset</t>
  </si>
  <si>
    <t>Bay G mirror to Bay L toroidal angle</t>
  </si>
  <si>
    <r>
      <rPr>
        <u/>
        <sz val="11"/>
        <color theme="1"/>
        <rFont val="Calibri"/>
        <family val="2"/>
      </rPr>
      <t>φ</t>
    </r>
    <r>
      <rPr>
        <vertAlign val="subscript"/>
        <sz val="11"/>
        <color theme="1"/>
        <rFont val="Calibri"/>
        <family val="2"/>
      </rPr>
      <t>RA</t>
    </r>
    <r>
      <rPr>
        <sz val="11"/>
        <color theme="1"/>
        <rFont val="Calibri"/>
        <family val="2"/>
      </rPr>
      <t xml:space="preserve"> (°):</t>
    </r>
  </si>
  <si>
    <t>Rec. Beam toroidal tilt</t>
  </si>
  <si>
    <r>
      <rPr>
        <u/>
        <sz val="11"/>
        <color theme="1"/>
        <rFont val="Calibri"/>
        <family val="2"/>
        <scheme val="minor"/>
      </rPr>
      <t>R</t>
    </r>
    <r>
      <rPr>
        <vertAlign val="subscript"/>
        <sz val="11"/>
        <color theme="1"/>
        <rFont val="Calibri"/>
        <family val="2"/>
        <scheme val="minor"/>
      </rPr>
      <t>RW</t>
    </r>
    <r>
      <rPr>
        <sz val="11"/>
        <color theme="1"/>
        <rFont val="Calibri"/>
        <family val="2"/>
        <scheme val="minor"/>
      </rPr>
      <t xml:space="preserve"> (mm):</t>
    </r>
  </si>
  <si>
    <t>Major radius of vacuum window centre</t>
  </si>
  <si>
    <r>
      <rPr>
        <u/>
        <sz val="11"/>
        <color theme="1"/>
        <rFont val="Calibri"/>
        <family val="2"/>
        <scheme val="minor"/>
      </rPr>
      <t>z</t>
    </r>
    <r>
      <rPr>
        <vertAlign val="subscript"/>
        <sz val="11"/>
        <color theme="1"/>
        <rFont val="Calibri"/>
        <family val="2"/>
        <scheme val="minor"/>
      </rPr>
      <t>IR</t>
    </r>
    <r>
      <rPr>
        <sz val="11"/>
        <color theme="1"/>
        <rFont val="Calibri"/>
        <family val="2"/>
        <scheme val="minor"/>
      </rPr>
      <t xml:space="preserve"> (mm):</t>
    </r>
  </si>
  <si>
    <r>
      <t>ψ</t>
    </r>
    <r>
      <rPr>
        <vertAlign val="subscript"/>
        <sz val="11"/>
        <color theme="1"/>
        <rFont val="Calibri"/>
        <family val="2"/>
      </rPr>
      <t>RA</t>
    </r>
    <r>
      <rPr>
        <sz val="11"/>
        <color theme="1"/>
        <rFont val="Calibri"/>
        <family val="2"/>
      </rPr>
      <t xml:space="preserve"> (rad):</t>
    </r>
  </si>
  <si>
    <t>IR toroidal tilt angle wrt Bay L window</t>
  </si>
  <si>
    <r>
      <t>R</t>
    </r>
    <r>
      <rPr>
        <vertAlign val="subscript"/>
        <sz val="11"/>
        <color theme="1"/>
        <rFont val="Calibri"/>
        <family val="2"/>
        <scheme val="minor"/>
      </rPr>
      <t>LM</t>
    </r>
    <r>
      <rPr>
        <sz val="11"/>
        <color theme="1"/>
        <rFont val="Calibri"/>
        <family val="2"/>
        <scheme val="minor"/>
      </rPr>
      <t xml:space="preserve"> (mm):</t>
    </r>
  </si>
  <si>
    <r>
      <t>z</t>
    </r>
    <r>
      <rPr>
        <vertAlign val="subscript"/>
        <sz val="11"/>
        <color theme="1"/>
        <rFont val="Calibri"/>
        <family val="2"/>
        <scheme val="minor"/>
      </rPr>
      <t>LM</t>
    </r>
    <r>
      <rPr>
        <sz val="11"/>
        <color theme="1"/>
        <rFont val="Calibri"/>
        <family val="2"/>
        <scheme val="minor"/>
      </rPr>
      <t xml:space="preserve"> (mm):</t>
    </r>
  </si>
  <si>
    <r>
      <t>ψ</t>
    </r>
    <r>
      <rPr>
        <vertAlign val="subscript"/>
        <sz val="11"/>
        <color theme="1"/>
        <rFont val="Calibri"/>
        <family val="2"/>
      </rPr>
      <t>L</t>
    </r>
    <r>
      <rPr>
        <sz val="11"/>
        <color theme="1"/>
        <rFont val="Calibri"/>
        <family val="2"/>
      </rPr>
      <t xml:space="preserve"> (°):</t>
    </r>
  </si>
  <si>
    <r>
      <t>ψ</t>
    </r>
    <r>
      <rPr>
        <vertAlign val="subscript"/>
        <sz val="11"/>
        <color theme="1"/>
        <rFont val="Calibri"/>
        <family val="2"/>
      </rPr>
      <t>L</t>
    </r>
    <r>
      <rPr>
        <sz val="11"/>
        <color theme="1"/>
        <rFont val="Calibri"/>
        <family val="2"/>
      </rPr>
      <t xml:space="preserve"> (rad):</t>
    </r>
  </si>
  <si>
    <r>
      <t>Note:  Launch (ψ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) and receiver (ψ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 beams should be toroidally tilted</t>
    </r>
  </si>
  <si>
    <r>
      <t>by &gt; 1.0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absolute to minimize direct pickup of the unscattered launch beam.</t>
    </r>
  </si>
  <si>
    <t>α (°):</t>
  </si>
  <si>
    <r>
      <t>Magnetic pitch angle (between B</t>
    </r>
    <r>
      <rPr>
        <vertAlign val="subscript"/>
        <sz val="11"/>
        <color theme="1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and B</t>
    </r>
    <r>
      <rPr>
        <vertAlign val="subscript"/>
        <sz val="11"/>
        <color theme="1"/>
        <rFont val="Calibri"/>
        <family val="2"/>
        <scheme val="minor"/>
      </rPr>
      <t>TOR</t>
    </r>
    <r>
      <rPr>
        <sz val="11"/>
        <color theme="1"/>
        <rFont val="Calibri"/>
        <family val="2"/>
        <scheme val="minor"/>
      </rPr>
      <t>)</t>
    </r>
  </si>
  <si>
    <t>Magnetic pitch angle in radians</t>
  </si>
  <si>
    <t>α (rad):</t>
  </si>
  <si>
    <r>
      <t>RA vertical tilt (</t>
    </r>
    <r>
      <rPr>
        <sz val="11"/>
        <color theme="1"/>
        <rFont val="Calibri"/>
        <family val="2"/>
      </rPr>
      <t>‒</t>
    </r>
    <r>
      <rPr>
        <sz val="11"/>
        <color theme="1"/>
        <rFont val="Calibri"/>
        <family val="2"/>
        <scheme val="minor"/>
      </rPr>
      <t>5.0 to +5.0</t>
    </r>
    <r>
      <rPr>
        <sz val="11"/>
        <color theme="1"/>
        <rFont val="Calibri"/>
        <family val="2"/>
      </rPr>
      <t>°, positive is downward scattering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</si>
  <si>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</si>
  <si>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r/a</t>
  </si>
  <si>
    <t>R (m)</t>
  </si>
  <si>
    <t>Yang Ren</t>
  </si>
  <si>
    <t>Major Radius R (mm):</t>
  </si>
  <si>
    <t>Minor Radius a (mm):</t>
  </si>
  <si>
    <r>
      <t>B</t>
    </r>
    <r>
      <rPr>
        <b/>
        <vertAlign val="subscript"/>
        <sz val="11"/>
        <color theme="1"/>
        <rFont val="Calibri"/>
        <family val="2"/>
      </rPr>
      <t>θ</t>
    </r>
    <r>
      <rPr>
        <b/>
        <sz val="11"/>
        <color theme="1"/>
        <rFont val="Calibri"/>
        <family val="2"/>
        <scheme val="minor"/>
      </rPr>
      <t>/B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</si>
  <si>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Calculate the magnetic pitch</t>
  </si>
  <si>
    <r>
      <t xml:space="preserve">angle </t>
    </r>
    <r>
      <rPr>
        <sz val="11"/>
        <color rgb="FFFF0000"/>
        <rFont val="Calibri"/>
        <family val="2"/>
      </rPr>
      <t>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as a function of </t>
    </r>
    <r>
      <rPr>
        <sz val="11"/>
        <color rgb="FFFF0000"/>
        <rFont val="Calibri"/>
        <family val="2"/>
        <scheme val="minor"/>
      </rPr>
      <t>r/a</t>
    </r>
  </si>
  <si>
    <t>pickup but at the cost of somewhat higher radial wavenumbers.</t>
  </si>
  <si>
    <r>
      <t xml:space="preserve">Input </t>
    </r>
    <r>
      <rPr>
        <i/>
        <sz val="11"/>
        <color theme="1"/>
        <rFont val="Calibri"/>
        <family val="2"/>
      </rPr>
      <t>α</t>
    </r>
    <r>
      <rPr>
        <i/>
        <sz val="11"/>
        <color theme="1"/>
        <rFont val="Calibri"/>
        <family val="2"/>
        <scheme val="minor"/>
      </rPr>
      <t xml:space="preserve"> from "Pitch Angle" sheet using calculated r/a</t>
    </r>
  </si>
  <si>
    <t>Authors:</t>
  </si>
  <si>
    <t>Xianzi Liu</t>
  </si>
  <si>
    <t>Minor radius (495 to 650 mm)</t>
  </si>
  <si>
    <t>Major radius (800 to 1020 mm)</t>
  </si>
  <si>
    <r>
      <t>θ</t>
    </r>
    <r>
      <rPr>
        <vertAlign val="subscript"/>
        <sz val="11"/>
        <color theme="1"/>
        <rFont val="Calibri"/>
        <family val="2"/>
      </rPr>
      <t>RA</t>
    </r>
    <r>
      <rPr>
        <sz val="11"/>
        <color theme="1"/>
        <rFont val="Calibri"/>
        <family val="2"/>
      </rPr>
      <t xml:space="preserve"> (°):</t>
    </r>
  </si>
  <si>
    <t>Version:</t>
  </si>
  <si>
    <t>Beam is horizontally offset by 5 mm to right of center</t>
  </si>
  <si>
    <t>Horizontal incidence angle at window is 13.76 degrees</t>
  </si>
  <si>
    <r>
      <t>R</t>
    </r>
    <r>
      <rPr>
        <vertAlign val="subscript"/>
        <sz val="11"/>
        <color theme="1"/>
        <rFont val="Calibri"/>
        <family val="2"/>
        <scheme val="minor"/>
      </rPr>
      <t>M2</t>
    </r>
    <r>
      <rPr>
        <sz val="11"/>
        <color theme="1"/>
        <rFont val="Calibri"/>
        <family val="2"/>
        <scheme val="minor"/>
      </rPr>
      <t xml:space="preserve"> (mm):</t>
    </r>
  </si>
  <si>
    <t>M2 = Receiver Turning Mirror</t>
  </si>
  <si>
    <r>
      <t>x</t>
    </r>
    <r>
      <rPr>
        <vertAlign val="subscript"/>
        <sz val="11"/>
        <color theme="1"/>
        <rFont val="Calibri"/>
        <family val="2"/>
        <scheme val="minor"/>
      </rPr>
      <t>M2</t>
    </r>
    <r>
      <rPr>
        <sz val="11"/>
        <color theme="1"/>
        <rFont val="Calibri"/>
        <family val="2"/>
        <scheme val="minor"/>
      </rPr>
      <t xml:space="preserve"> (mm):</t>
    </r>
  </si>
  <si>
    <t>Turning mirror sits 171 mm from window (plasma facing side)</t>
  </si>
  <si>
    <t>Mirror radial offset (perpendicular to window) is 171*cos(13.76) = 166 mm</t>
  </si>
  <si>
    <t>Mirror horizontal offset (in window plane) is 171*sin(13.76) = 41 mm</t>
  </si>
  <si>
    <t>M2 horizontal offset = 131+5-41</t>
  </si>
  <si>
    <t>M2 major radius = 1857+166</t>
  </si>
  <si>
    <t>Window aperture is 115.9 mm, located 25 mm past the window</t>
  </si>
  <si>
    <t>Assume beam radius at window is 23 mm (diffraction edge)</t>
  </si>
  <si>
    <t>Scanning distance to left = 58+5-23 = 40 mm, or 11 degrees max.</t>
  </si>
  <si>
    <t>Scanning distance to right = 58-5-23=30 mm, or 8 degrees max.</t>
  </si>
  <si>
    <t>Horizontal tilt range from 2.8 degrees to 21.7 degrees</t>
  </si>
  <si>
    <r>
      <t>M2 horizontal tilt (w.r.t. Bay L window, 2.8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to 21.7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</si>
  <si>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Distance from M2 to IR (370 to 1110 mm)</t>
  </si>
  <si>
    <t>Maximum vertical tilt range given by tan-1 [139.82/(z_IR-170)] - 8.26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</si>
</sst>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right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2" fillId="0" borderId="0" xfId="0" applyFont="1" applyAlignment="1">
      <alignment horizontal="right"/>
    </xf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164" fontId="0" fillId="4" borderId="0" xfId="0" applyNumberFormat="1" applyFill="1" applyAlignment="1">
      <alignment horizontal="center"/>
    </xf>
    <xf numFmtId="0" fontId="0" fillId="0" borderId="0" xfId="0" applyFill="1"/>
    <xf numFmtId="2" fontId="0" fillId="5" borderId="0" xfId="0" applyNumberFormat="1" applyFill="1" applyAlignment="1">
      <alignment horizontal="center"/>
    </xf>
    <xf numFmtId="0" fontId="0" fillId="6" borderId="0" xfId="0" applyFill="1"/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3" borderId="0" xfId="0" applyFont="1" applyFill="1" applyAlignment="1">
      <alignment horizontal="right"/>
    </xf>
    <xf numFmtId="0" fontId="1" fillId="2" borderId="0" xfId="0" applyFont="1" applyFill="1" applyAlignment="1">
      <alignment horizontal="center" wrapText="1"/>
    </xf>
    <xf numFmtId="2" fontId="0" fillId="2" borderId="0" xfId="0" applyNumberFormat="1" applyFill="1"/>
    <xf numFmtId="0" fontId="13" fillId="0" borderId="0" xfId="0" applyFont="1"/>
    <xf numFmtId="0" fontId="0" fillId="7" borderId="0" xfId="0" applyFill="1" applyAlignment="1">
      <alignment horizontal="right"/>
    </xf>
    <xf numFmtId="2" fontId="0" fillId="7" borderId="0" xfId="0" applyNumberFormat="1" applyFill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right"/>
    </xf>
    <xf numFmtId="1" fontId="0" fillId="5" borderId="2" xfId="0" applyNumberForma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4" borderId="4" xfId="0" applyFill="1" applyBorder="1" applyAlignment="1">
      <alignment horizontal="right"/>
    </xf>
    <xf numFmtId="164" fontId="0" fillId="4" borderId="5" xfId="0" applyNumberForma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8" borderId="0" xfId="0" applyFont="1" applyFill="1" applyAlignment="1">
      <alignment horizontal="center" wrapText="1"/>
    </xf>
    <xf numFmtId="2" fontId="0" fillId="8" borderId="0" xfId="0" applyNumberFormat="1" applyFill="1"/>
    <xf numFmtId="165" fontId="0" fillId="0" borderId="0" xfId="0" applyNumberFormat="1"/>
    <xf numFmtId="0" fontId="0" fillId="0" borderId="0" xfId="0" applyAlignment="1">
      <alignment horizontal="left"/>
    </xf>
    <xf numFmtId="0" fontId="17" fillId="0" borderId="0" xfId="0" applyFont="1" applyFill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A7" zoomScaleNormal="100" workbookViewId="0">
      <selection activeCell="D11" sqref="D11"/>
    </sheetView>
  </sheetViews>
  <sheetFormatPr defaultRowHeight="15" x14ac:dyDescent="0.25"/>
  <cols>
    <col min="1" max="1" width="9.140625" customWidth="1"/>
    <col min="2" max="2" width="10.7109375" customWidth="1"/>
    <col min="3" max="3" width="8.7109375" customWidth="1"/>
    <col min="4" max="4" width="10.140625" customWidth="1"/>
    <col min="5" max="6" width="7.7109375" customWidth="1"/>
    <col min="7" max="7" width="5.7109375" customWidth="1"/>
    <col min="8" max="8" width="7.85546875" customWidth="1"/>
    <col min="9" max="9" width="7.28515625" customWidth="1"/>
    <col min="10" max="10" width="5.7109375" customWidth="1"/>
    <col min="11" max="11" width="9.140625" customWidth="1"/>
    <col min="12" max="12" width="9.7109375" customWidth="1"/>
    <col min="13" max="13" width="6.7109375" customWidth="1"/>
    <col min="14" max="14" width="9.85546875" customWidth="1"/>
    <col min="15" max="15" width="12.7109375" customWidth="1"/>
    <col min="16" max="16" width="18" customWidth="1"/>
  </cols>
  <sheetData>
    <row r="1" spans="1:17" x14ac:dyDescent="0.25">
      <c r="A1" t="s">
        <v>0</v>
      </c>
    </row>
    <row r="2" spans="1:17" ht="18" x14ac:dyDescent="0.35">
      <c r="A2" s="2" t="s">
        <v>82</v>
      </c>
      <c r="B2" t="s">
        <v>2</v>
      </c>
      <c r="D2" s="11" t="s">
        <v>14</v>
      </c>
      <c r="E2" s="12">
        <v>0.496</v>
      </c>
      <c r="F2" t="s">
        <v>24</v>
      </c>
      <c r="L2" s="27" t="s">
        <v>34</v>
      </c>
      <c r="M2" s="27"/>
      <c r="N2" s="27"/>
    </row>
    <row r="3" spans="1:17" ht="18.75" x14ac:dyDescent="0.35">
      <c r="A3" s="2"/>
      <c r="B3" s="1" t="s">
        <v>83</v>
      </c>
      <c r="D3" s="17" t="s">
        <v>15</v>
      </c>
      <c r="E3" s="18">
        <f>20*PI()/E2</f>
        <v>126.67712312862069</v>
      </c>
      <c r="F3" t="s">
        <v>25</v>
      </c>
      <c r="L3" s="27" t="s">
        <v>35</v>
      </c>
      <c r="M3" s="27"/>
      <c r="N3" s="27"/>
    </row>
    <row r="4" spans="1:17" ht="18" x14ac:dyDescent="0.35">
      <c r="A4" s="2" t="s">
        <v>3</v>
      </c>
      <c r="B4" s="51">
        <v>44695</v>
      </c>
      <c r="D4" s="13" t="s">
        <v>20</v>
      </c>
      <c r="E4" s="14">
        <v>847.9</v>
      </c>
      <c r="F4" t="s">
        <v>85</v>
      </c>
      <c r="L4" s="27" t="s">
        <v>46</v>
      </c>
      <c r="M4" s="27"/>
      <c r="N4" s="27"/>
    </row>
    <row r="5" spans="1:17" ht="18.75" x14ac:dyDescent="0.35">
      <c r="A5" s="2" t="s">
        <v>87</v>
      </c>
      <c r="B5" s="54">
        <v>19</v>
      </c>
      <c r="D5" s="15" t="s">
        <v>21</v>
      </c>
      <c r="E5" s="16">
        <v>662.5</v>
      </c>
      <c r="F5" t="s">
        <v>84</v>
      </c>
      <c r="L5" s="27" t="s">
        <v>38</v>
      </c>
      <c r="M5" s="27"/>
      <c r="N5" s="27"/>
    </row>
    <row r="6" spans="1:17" ht="18" x14ac:dyDescent="0.35">
      <c r="A6" s="2"/>
      <c r="B6" s="1"/>
      <c r="D6" s="13" t="s">
        <v>90</v>
      </c>
      <c r="E6" s="14">
        <v>2023</v>
      </c>
      <c r="F6" t="s">
        <v>97</v>
      </c>
      <c r="L6" s="27" t="s">
        <v>91</v>
      </c>
      <c r="M6" s="27"/>
      <c r="N6" s="27"/>
    </row>
    <row r="7" spans="1:17" ht="18" x14ac:dyDescent="0.35">
      <c r="A7" s="2"/>
      <c r="B7" s="1"/>
      <c r="D7" s="15" t="s">
        <v>60</v>
      </c>
      <c r="E7" s="16">
        <v>2214</v>
      </c>
      <c r="F7" t="s">
        <v>45</v>
      </c>
      <c r="L7" s="27"/>
      <c r="M7" s="27"/>
      <c r="N7" s="27"/>
    </row>
    <row r="8" spans="1:17" ht="18" x14ac:dyDescent="0.35">
      <c r="A8" s="2"/>
      <c r="D8" s="13" t="s">
        <v>92</v>
      </c>
      <c r="E8" s="14">
        <v>95</v>
      </c>
      <c r="F8" t="s">
        <v>96</v>
      </c>
    </row>
    <row r="9" spans="1:17" ht="18" x14ac:dyDescent="0.35">
      <c r="A9" s="2"/>
      <c r="D9" s="31" t="s">
        <v>47</v>
      </c>
      <c r="E9" s="16">
        <v>151.94</v>
      </c>
      <c r="F9" t="s">
        <v>52</v>
      </c>
      <c r="K9" s="10" t="s">
        <v>40</v>
      </c>
      <c r="L9" s="17" t="s">
        <v>55</v>
      </c>
      <c r="M9" s="19">
        <f>SQRT(E6^2+E8^2)</f>
        <v>2025.2293697258096</v>
      </c>
      <c r="N9" t="s">
        <v>56</v>
      </c>
    </row>
    <row r="10" spans="1:17" ht="18" x14ac:dyDescent="0.35">
      <c r="A10" s="2"/>
      <c r="D10" s="28"/>
      <c r="E10" s="30"/>
      <c r="K10" s="10"/>
      <c r="L10" s="23" t="s">
        <v>49</v>
      </c>
      <c r="M10" s="20">
        <f>ATAN(E8/E6)</f>
        <v>4.6925486762264254E-2</v>
      </c>
      <c r="N10" t="s">
        <v>51</v>
      </c>
    </row>
    <row r="11" spans="1:17" ht="18" x14ac:dyDescent="0.35">
      <c r="A11" s="10" t="s">
        <v>48</v>
      </c>
      <c r="B11" s="2" t="s">
        <v>27</v>
      </c>
      <c r="C11" s="4">
        <v>900</v>
      </c>
      <c r="D11" t="s">
        <v>104</v>
      </c>
      <c r="K11" s="2"/>
      <c r="L11" s="22" t="s">
        <v>50</v>
      </c>
      <c r="M11" s="18">
        <f>M10*180/PI()</f>
        <v>2.6886323430747563</v>
      </c>
      <c r="N11" t="s">
        <v>51</v>
      </c>
    </row>
    <row r="12" spans="1:17" ht="18" x14ac:dyDescent="0.35">
      <c r="B12" s="21" t="s">
        <v>22</v>
      </c>
      <c r="C12" s="5">
        <v>8</v>
      </c>
      <c r="D12" t="s">
        <v>103</v>
      </c>
      <c r="K12" s="2"/>
      <c r="L12" s="23" t="s">
        <v>53</v>
      </c>
      <c r="M12" s="26">
        <f>C12+M11</f>
        <v>10.688632343074756</v>
      </c>
      <c r="N12" t="s">
        <v>54</v>
      </c>
    </row>
    <row r="13" spans="1:17" ht="18.75" thickBot="1" x14ac:dyDescent="0.4">
      <c r="B13" s="21" t="s">
        <v>86</v>
      </c>
      <c r="C13" s="5">
        <v>-4</v>
      </c>
      <c r="D13" t="s">
        <v>70</v>
      </c>
      <c r="L13" s="17" t="s">
        <v>57</v>
      </c>
      <c r="M13" s="19">
        <f>C11*COS(C13*PI()/180)</f>
        <v>897.80764523384175</v>
      </c>
      <c r="N13" t="s">
        <v>32</v>
      </c>
    </row>
    <row r="14" spans="1:17" ht="18" x14ac:dyDescent="0.35">
      <c r="B14" s="35" t="s">
        <v>28</v>
      </c>
      <c r="C14" s="36">
        <v>0</v>
      </c>
      <c r="D14" s="37" t="s">
        <v>23</v>
      </c>
      <c r="E14" s="37"/>
      <c r="F14" s="37"/>
      <c r="G14" s="37"/>
      <c r="H14" s="37"/>
      <c r="I14" s="37"/>
      <c r="L14" s="38" t="s">
        <v>29</v>
      </c>
      <c r="M14" s="39">
        <f>SQRT(M9^2+M13^2-2*M9*M13*COS(M12*PI()/180))</f>
        <v>1155.0649301862973</v>
      </c>
      <c r="N14" s="40" t="s">
        <v>26</v>
      </c>
      <c r="O14" s="41"/>
      <c r="P14" s="56"/>
      <c r="Q14" s="56"/>
    </row>
    <row r="15" spans="1:17" ht="18.75" thickBot="1" x14ac:dyDescent="0.4">
      <c r="B15" s="21" t="s">
        <v>66</v>
      </c>
      <c r="C15" s="29">
        <v>24.11</v>
      </c>
      <c r="D15" s="25" t="s">
        <v>67</v>
      </c>
      <c r="E15" s="25"/>
      <c r="F15" s="25"/>
      <c r="G15" s="25"/>
      <c r="H15" s="25"/>
      <c r="I15" s="25"/>
      <c r="L15" s="42" t="s">
        <v>30</v>
      </c>
      <c r="M15" s="43">
        <f>(M14-E4)/E5</f>
        <v>0.46364517763969404</v>
      </c>
      <c r="N15" s="44" t="s">
        <v>31</v>
      </c>
      <c r="O15" s="45"/>
      <c r="P15" s="56"/>
      <c r="Q15" s="56"/>
    </row>
    <row r="16" spans="1:17" ht="18" x14ac:dyDescent="0.35">
      <c r="B16" s="21"/>
      <c r="C16" s="29"/>
      <c r="D16" s="50" t="s">
        <v>81</v>
      </c>
      <c r="E16" s="25"/>
      <c r="F16" s="25"/>
      <c r="G16" s="25"/>
      <c r="H16" s="25"/>
      <c r="I16" s="25"/>
      <c r="L16" s="23" t="s">
        <v>58</v>
      </c>
      <c r="M16" s="20">
        <f>M10+ASIN(M13*SIN(M12*PI()/180)/M14)</f>
        <v>0.19159278778936806</v>
      </c>
      <c r="N16" t="s">
        <v>59</v>
      </c>
    </row>
    <row r="17" spans="1:14" ht="18" x14ac:dyDescent="0.35">
      <c r="A17" s="10" t="s">
        <v>41</v>
      </c>
      <c r="B17" s="17" t="s">
        <v>61</v>
      </c>
      <c r="C17" s="19">
        <f>SQRT(E7^2+M14^2-2*E7*M14*COS(E9*PI()/180-M16))</f>
        <v>3195.1021815411641</v>
      </c>
      <c r="D17" t="s">
        <v>39</v>
      </c>
      <c r="L17" s="22" t="s">
        <v>43</v>
      </c>
      <c r="M17" s="24">
        <f>M16+C12*PI()/180</f>
        <v>0.33121912794891439</v>
      </c>
      <c r="N17" t="s">
        <v>33</v>
      </c>
    </row>
    <row r="18" spans="1:14" ht="18" x14ac:dyDescent="0.35">
      <c r="A18" s="10"/>
      <c r="B18" s="23" t="s">
        <v>62</v>
      </c>
      <c r="C18" s="26">
        <f>(180/PI())*ASIN((E7/C17)*SIN(E9*PI()/180-M16))</f>
        <v>25.876351378170522</v>
      </c>
      <c r="D18" s="25" t="s">
        <v>42</v>
      </c>
      <c r="E18" s="25"/>
      <c r="F18" s="25"/>
      <c r="G18" s="25"/>
      <c r="H18" s="25"/>
      <c r="I18" s="25"/>
      <c r="L18" s="23" t="s">
        <v>44</v>
      </c>
      <c r="M18" s="26">
        <f>M17*180/PI()</f>
        <v>18.977458125476403</v>
      </c>
    </row>
    <row r="19" spans="1:14" ht="18" x14ac:dyDescent="0.35">
      <c r="A19" s="10"/>
      <c r="B19" s="22" t="s">
        <v>63</v>
      </c>
      <c r="C19" s="18">
        <f>C18*PI()/180</f>
        <v>0.45162752995204797</v>
      </c>
      <c r="D19" s="25"/>
      <c r="E19" s="25"/>
      <c r="F19" s="25"/>
      <c r="G19" s="25"/>
      <c r="H19" s="25"/>
      <c r="I19" s="25"/>
      <c r="L19" s="22" t="s">
        <v>69</v>
      </c>
      <c r="M19" s="24">
        <f>C15*PI()/180</f>
        <v>0.42079888265583287</v>
      </c>
      <c r="N19" t="s">
        <v>68</v>
      </c>
    </row>
    <row r="20" spans="1:14" x14ac:dyDescent="0.25">
      <c r="B20" s="21"/>
      <c r="C20" s="5"/>
      <c r="L20" s="2"/>
      <c r="M20" s="29"/>
    </row>
    <row r="21" spans="1:14" ht="35.25" x14ac:dyDescent="0.25">
      <c r="A21" s="7" t="s">
        <v>12</v>
      </c>
      <c r="B21" s="8" t="s">
        <v>11</v>
      </c>
      <c r="C21" s="8" t="s">
        <v>13</v>
      </c>
      <c r="D21" s="8" t="s">
        <v>17</v>
      </c>
      <c r="E21" s="32" t="s">
        <v>19</v>
      </c>
      <c r="F21" s="46" t="s">
        <v>18</v>
      </c>
    </row>
    <row r="22" spans="1:14" ht="18" x14ac:dyDescent="0.35">
      <c r="A22" s="4">
        <v>1</v>
      </c>
      <c r="B22" s="3">
        <v>8.26</v>
      </c>
      <c r="C22" s="3">
        <f>B22+Array_tilt</f>
        <v>4.26</v>
      </c>
      <c r="D22" s="9">
        <f>C22*PI()/180</f>
        <v>7.4351026134958434E-2</v>
      </c>
      <c r="E22" s="33">
        <f>k_0*((COS(D22)*SIN(M17)-SIN(C19))*SIN(M19)+SIN(D22)*COS(M19))</f>
        <v>2.7865494920731875</v>
      </c>
      <c r="F22" s="47">
        <f>k_0*(COS(D22)*COS(M17)-COS(C19))</f>
        <v>5.4846128784779218</v>
      </c>
      <c r="H22" t="s">
        <v>64</v>
      </c>
    </row>
    <row r="23" spans="1:14" x14ac:dyDescent="0.25">
      <c r="A23" s="4">
        <v>2</v>
      </c>
      <c r="B23" s="3">
        <v>6.27</v>
      </c>
      <c r="C23" s="3">
        <f t="shared" ref="C23:C29" si="0">B23+Array_tilt</f>
        <v>2.2699999999999996</v>
      </c>
      <c r="D23" s="9">
        <f t="shared" ref="D23:D29" si="1">C23*PI()/180</f>
        <v>3.9618974020271272E-2</v>
      </c>
      <c r="E23" s="33">
        <f>k_0*((COS(D23)*SIN(M17)-SIN(C19))*SIN(M19)+SIN(D23)*COS(M19))</f>
        <v>-1.1893789413900149</v>
      </c>
      <c r="F23" s="47">
        <f>k_0*(COS(D23)*COS(M17)-COS(C19))</f>
        <v>5.7215652986511945</v>
      </c>
      <c r="H23" t="s">
        <v>65</v>
      </c>
    </row>
    <row r="24" spans="1:14" x14ac:dyDescent="0.25">
      <c r="A24" s="4">
        <v>3</v>
      </c>
      <c r="B24" s="3">
        <v>3.9</v>
      </c>
      <c r="C24" s="3">
        <f t="shared" si="0"/>
        <v>-0.10000000000000009</v>
      </c>
      <c r="D24" s="9">
        <f t="shared" si="1"/>
        <v>-1.7453292519943311E-3</v>
      </c>
      <c r="E24" s="33">
        <f>k_0*((COS(D24)*SIN(M17)-SIN(C19))*SIN(M19)+SIN(D24)*COS(M19))</f>
        <v>-5.9577972298638677</v>
      </c>
      <c r="F24" s="47">
        <f>k_0*(COS(D24)*COS(M17)-COS(C19))</f>
        <v>5.8153869242316416</v>
      </c>
    </row>
    <row r="25" spans="1:14" x14ac:dyDescent="0.25">
      <c r="A25" s="4">
        <v>4</v>
      </c>
      <c r="B25" s="3">
        <v>1.32</v>
      </c>
      <c r="C25" s="3">
        <f t="shared" si="0"/>
        <v>-2.6799999999999997</v>
      </c>
      <c r="D25" s="9">
        <f t="shared" si="1"/>
        <v>-4.6774823953448022E-2</v>
      </c>
      <c r="E25" s="33">
        <f>k_0*((COS(D25)*SIN(M17)-SIN(C19))*SIN(M19)+SIN(D25)*COS(M19))</f>
        <v>-11.180793294367527</v>
      </c>
      <c r="F25" s="47">
        <f>k_0*(COS(D25)*COS(M17)-COS(C19))</f>
        <v>5.6845479891913628</v>
      </c>
      <c r="H25" t="s">
        <v>37</v>
      </c>
    </row>
    <row r="26" spans="1:14" x14ac:dyDescent="0.25">
      <c r="A26" s="4">
        <v>5</v>
      </c>
      <c r="B26" s="3">
        <v>-1.32</v>
      </c>
      <c r="C26" s="3">
        <f t="shared" si="0"/>
        <v>-5.32</v>
      </c>
      <c r="D26" s="9">
        <f t="shared" si="1"/>
        <v>-9.2851516206098342E-2</v>
      </c>
      <c r="E26" s="33">
        <f>k_0*((COS(D26)*SIN(M17)-SIN(C19))*SIN(M19)+SIN(D26)*COS(M19))</f>
        <v>-16.549098959843551</v>
      </c>
      <c r="F26" s="47">
        <f>k_0*(COS(D26)*COS(M17)-COS(C19))</f>
        <v>5.299553558395024</v>
      </c>
      <c r="H26" t="s">
        <v>80</v>
      </c>
    </row>
    <row r="27" spans="1:14" x14ac:dyDescent="0.25">
      <c r="A27" s="4">
        <v>6</v>
      </c>
      <c r="B27" s="3">
        <v>-3.9</v>
      </c>
      <c r="C27" s="3">
        <f t="shared" si="0"/>
        <v>-7.9</v>
      </c>
      <c r="D27" s="9">
        <f t="shared" si="1"/>
        <v>-0.13788101090755203</v>
      </c>
      <c r="E27" s="33">
        <f>k_0*((COS(D27)*SIN(M17)-SIN(C19))*SIN(M19)+SIN(D27)*COS(M19))</f>
        <v>-21.807857371605341</v>
      </c>
      <c r="F27" s="47">
        <f>k_0*(COS(D27)*COS(M17)-COS(C19))</f>
        <v>4.6786809945374257</v>
      </c>
    </row>
    <row r="28" spans="1:14" x14ac:dyDescent="0.25">
      <c r="A28" s="4">
        <v>7</v>
      </c>
      <c r="B28" s="3">
        <v>-6.27</v>
      </c>
      <c r="C28" s="3">
        <f t="shared" si="0"/>
        <v>-10.27</v>
      </c>
      <c r="D28" s="9">
        <f t="shared" si="1"/>
        <v>-0.17924531417981765</v>
      </c>
      <c r="E28" s="33">
        <f>k_0*((COS(D28)*SIN(M17)-SIN(C19))*SIN(M19)+SIN(D28)*COS(M19))</f>
        <v>-26.640218330815415</v>
      </c>
      <c r="F28" s="47">
        <f>k_0*(COS(D28)*COS(M17)-COS(C19))</f>
        <v>3.896328057218486</v>
      </c>
      <c r="H28" s="34" t="s">
        <v>36</v>
      </c>
    </row>
    <row r="29" spans="1:14" x14ac:dyDescent="0.25">
      <c r="A29" s="4">
        <v>8</v>
      </c>
      <c r="B29" s="3">
        <v>-8.26</v>
      </c>
      <c r="C29" s="3">
        <f t="shared" si="0"/>
        <v>-12.26</v>
      </c>
      <c r="D29" s="9">
        <f t="shared" si="1"/>
        <v>-0.21397736629450478</v>
      </c>
      <c r="E29" s="33">
        <f>k_0*((COS(D29)*SIN(M17)-SIN(C19))*SIN(M19)+SIN(D29)*COS(M19))</f>
        <v>-30.692751425833873</v>
      </c>
      <c r="F29" s="47">
        <f>k_0*(COS(D29)*COS(M17)-COS(C19))</f>
        <v>3.0836049620990864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5" sqref="G15"/>
    </sheetView>
  </sheetViews>
  <sheetFormatPr defaultRowHeight="15" x14ac:dyDescent="0.25"/>
  <cols>
    <col min="1" max="1" width="9.7109375" customWidth="1"/>
    <col min="2" max="2" width="15.7109375" customWidth="1"/>
    <col min="3" max="3" width="14.7109375" customWidth="1"/>
    <col min="4" max="4" width="12.7109375" customWidth="1"/>
    <col min="7" max="7" width="68" customWidth="1"/>
  </cols>
  <sheetData>
    <row r="1" spans="1:7" x14ac:dyDescent="0.25">
      <c r="A1" s="6" t="s">
        <v>16</v>
      </c>
      <c r="D1" t="s">
        <v>8</v>
      </c>
    </row>
    <row r="2" spans="1:7" x14ac:dyDescent="0.25">
      <c r="A2" s="2" t="s">
        <v>1</v>
      </c>
      <c r="B2" t="s">
        <v>2</v>
      </c>
      <c r="D2" t="s">
        <v>7</v>
      </c>
    </row>
    <row r="3" spans="1:7" x14ac:dyDescent="0.25">
      <c r="A3" s="2" t="s">
        <v>3</v>
      </c>
      <c r="B3" s="51">
        <v>44330</v>
      </c>
    </row>
    <row r="4" spans="1:7" x14ac:dyDescent="0.25">
      <c r="A4" s="2" t="s">
        <v>87</v>
      </c>
      <c r="B4" s="54">
        <v>19</v>
      </c>
      <c r="G4" t="s">
        <v>88</v>
      </c>
    </row>
    <row r="5" spans="1:7" x14ac:dyDescent="0.25">
      <c r="A5" s="2"/>
      <c r="B5" s="54"/>
      <c r="G5" t="s">
        <v>93</v>
      </c>
    </row>
    <row r="6" spans="1:7" x14ac:dyDescent="0.25">
      <c r="A6" s="7" t="s">
        <v>4</v>
      </c>
      <c r="B6" s="7" t="s">
        <v>6</v>
      </c>
      <c r="C6" s="7" t="s">
        <v>5</v>
      </c>
      <c r="D6" s="7" t="s">
        <v>9</v>
      </c>
      <c r="E6" s="7" t="s">
        <v>10</v>
      </c>
      <c r="G6" s="55" t="s">
        <v>89</v>
      </c>
    </row>
    <row r="7" spans="1:7" x14ac:dyDescent="0.25">
      <c r="A7" s="4">
        <v>1</v>
      </c>
      <c r="B7" s="52">
        <v>-139.82</v>
      </c>
      <c r="C7" s="53">
        <v>-3.335</v>
      </c>
      <c r="D7" s="4">
        <v>940</v>
      </c>
      <c r="E7" s="3">
        <f>ATAN((C7-B7)/D7)*180/PI()</f>
        <v>8.2614310150351944</v>
      </c>
      <c r="G7" t="s">
        <v>94</v>
      </c>
    </row>
    <row r="8" spans="1:7" x14ac:dyDescent="0.25">
      <c r="A8" s="4">
        <v>2</v>
      </c>
      <c r="B8" s="52">
        <v>-100.44</v>
      </c>
      <c r="C8" s="53">
        <v>2.7591000000000001</v>
      </c>
      <c r="D8" s="4">
        <v>940</v>
      </c>
      <c r="E8" s="3">
        <f t="shared" ref="E8:E14" si="0">ATAN((C8-B8)/D8)*180/PI()</f>
        <v>6.2651991581924502</v>
      </c>
      <c r="G8" t="s">
        <v>95</v>
      </c>
    </row>
    <row r="9" spans="1:7" x14ac:dyDescent="0.25">
      <c r="A9" s="4">
        <v>3</v>
      </c>
      <c r="B9" s="52">
        <v>-60.707000000000001</v>
      </c>
      <c r="C9" s="53">
        <v>3.4327999999999999</v>
      </c>
      <c r="D9" s="4">
        <v>940</v>
      </c>
      <c r="E9" s="3">
        <f t="shared" si="0"/>
        <v>3.9034599879713929</v>
      </c>
    </row>
    <row r="10" spans="1:7" x14ac:dyDescent="0.25">
      <c r="A10" s="4">
        <v>4</v>
      </c>
      <c r="B10" s="52">
        <v>-20.303000000000001</v>
      </c>
      <c r="C10" s="53">
        <v>1.423</v>
      </c>
      <c r="D10" s="4">
        <v>940</v>
      </c>
      <c r="E10" s="3">
        <f t="shared" si="0"/>
        <v>1.3240282105434509</v>
      </c>
      <c r="G10" t="s">
        <v>98</v>
      </c>
    </row>
    <row r="11" spans="1:7" x14ac:dyDescent="0.25">
      <c r="A11" s="4">
        <v>5</v>
      </c>
      <c r="B11" s="52">
        <v>20.303000000000001</v>
      </c>
      <c r="C11" s="53">
        <v>-1.423</v>
      </c>
      <c r="D11" s="4">
        <v>940</v>
      </c>
      <c r="E11" s="3">
        <f t="shared" si="0"/>
        <v>-1.3240282105434509</v>
      </c>
      <c r="G11" t="s">
        <v>99</v>
      </c>
    </row>
    <row r="12" spans="1:7" x14ac:dyDescent="0.25">
      <c r="A12" s="4">
        <v>6</v>
      </c>
      <c r="B12" s="52">
        <v>60.707000000000001</v>
      </c>
      <c r="C12" s="53">
        <v>-3.4329999999999998</v>
      </c>
      <c r="D12" s="4">
        <v>940</v>
      </c>
      <c r="E12" s="3">
        <f t="shared" si="0"/>
        <v>-3.9034721220680018</v>
      </c>
      <c r="G12" t="s">
        <v>100</v>
      </c>
    </row>
    <row r="13" spans="1:7" x14ac:dyDescent="0.25">
      <c r="A13" s="4">
        <v>7</v>
      </c>
      <c r="B13" s="52">
        <v>100.44</v>
      </c>
      <c r="C13" s="53">
        <v>-2.7589999999999999</v>
      </c>
      <c r="D13" s="4">
        <v>940</v>
      </c>
      <c r="E13" s="3">
        <f t="shared" si="0"/>
        <v>-6.2651931354884987</v>
      </c>
      <c r="G13" t="s">
        <v>101</v>
      </c>
    </row>
    <row r="14" spans="1:7" x14ac:dyDescent="0.25">
      <c r="A14" s="4">
        <v>8</v>
      </c>
      <c r="B14" s="52">
        <v>139.82</v>
      </c>
      <c r="C14" s="53">
        <v>3.335</v>
      </c>
      <c r="D14" s="4">
        <v>940</v>
      </c>
      <c r="E14" s="3">
        <f t="shared" si="0"/>
        <v>-8.2614310150351944</v>
      </c>
      <c r="G14" t="s">
        <v>102</v>
      </c>
    </row>
    <row r="15" spans="1:7" x14ac:dyDescent="0.25">
      <c r="G15" t="s">
        <v>105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selection activeCell="E5" sqref="E5"/>
    </sheetView>
  </sheetViews>
  <sheetFormatPr defaultRowHeight="15" x14ac:dyDescent="0.25"/>
  <cols>
    <col min="1" max="1" width="19.85546875" customWidth="1"/>
    <col min="2" max="2" width="9.7109375" bestFit="1" customWidth="1"/>
    <col min="3" max="3" width="6.5703125" customWidth="1"/>
    <col min="4" max="6" width="8.7109375" customWidth="1"/>
    <col min="7" max="7" width="8.28515625" customWidth="1"/>
  </cols>
  <sheetData>
    <row r="1" spans="1:7" ht="18" x14ac:dyDescent="0.35">
      <c r="A1" s="2" t="s">
        <v>3</v>
      </c>
      <c r="B1" s="1">
        <v>44575</v>
      </c>
      <c r="D1" s="7" t="s">
        <v>73</v>
      </c>
      <c r="E1" s="7" t="s">
        <v>72</v>
      </c>
      <c r="F1" s="7" t="s">
        <v>77</v>
      </c>
      <c r="G1" s="4" t="s">
        <v>71</v>
      </c>
    </row>
    <row r="2" spans="1:7" x14ac:dyDescent="0.25">
      <c r="A2" s="2" t="s">
        <v>1</v>
      </c>
      <c r="B2" t="s">
        <v>74</v>
      </c>
      <c r="D2" s="48">
        <v>1.0246</v>
      </c>
      <c r="E2" s="48">
        <f t="shared" ref="E2:E33" si="0">(1000*D2-R_0)/a_0</f>
        <v>9.2929292929291099E-3</v>
      </c>
      <c r="F2" s="48">
        <v>4.0000000000000002E-4</v>
      </c>
      <c r="G2" s="3">
        <f>ATAN(F2)*180/PI()</f>
        <v>2.2918310582923086E-2</v>
      </c>
    </row>
    <row r="3" spans="1:7" x14ac:dyDescent="0.25">
      <c r="A3" s="2"/>
      <c r="D3" s="48">
        <v>1.0896999999999999</v>
      </c>
      <c r="E3" s="48">
        <f t="shared" si="0"/>
        <v>0.14080808080808044</v>
      </c>
      <c r="F3" s="48">
        <v>7.6399999999999996E-2</v>
      </c>
      <c r="G3" s="3">
        <f t="shared" ref="G3:G67" si="1">ATAN(F3)*180/PI()</f>
        <v>4.3689103605345805</v>
      </c>
    </row>
    <row r="4" spans="1:7" x14ac:dyDescent="0.25">
      <c r="A4" s="2" t="s">
        <v>75</v>
      </c>
      <c r="B4" s="4">
        <v>1020</v>
      </c>
      <c r="D4" s="48">
        <v>1.1149</v>
      </c>
      <c r="E4" s="48">
        <f t="shared" si="0"/>
        <v>0.1917171717171719</v>
      </c>
      <c r="F4" s="48">
        <v>0.11269999999999999</v>
      </c>
      <c r="G4" s="3">
        <f t="shared" si="1"/>
        <v>6.430102417226025</v>
      </c>
    </row>
    <row r="5" spans="1:7" x14ac:dyDescent="0.25">
      <c r="A5" s="2" t="s">
        <v>76</v>
      </c>
      <c r="B5" s="4">
        <v>495</v>
      </c>
      <c r="D5" s="48">
        <v>1.1337999999999999</v>
      </c>
      <c r="E5" s="48">
        <f t="shared" si="0"/>
        <v>0.2298989898989898</v>
      </c>
      <c r="F5" s="48">
        <v>0.14430000000000001</v>
      </c>
      <c r="G5" s="3">
        <f t="shared" si="1"/>
        <v>8.211102170451948</v>
      </c>
    </row>
    <row r="6" spans="1:7" x14ac:dyDescent="0.25">
      <c r="D6" s="48">
        <v>1.1493</v>
      </c>
      <c r="E6" s="48">
        <f t="shared" si="0"/>
        <v>0.26121212121212112</v>
      </c>
      <c r="F6" s="48">
        <v>0.1736</v>
      </c>
      <c r="G6" s="3">
        <f t="shared" si="1"/>
        <v>9.848396517000694</v>
      </c>
    </row>
    <row r="7" spans="1:7" x14ac:dyDescent="0.25">
      <c r="A7" s="49" t="s">
        <v>78</v>
      </c>
      <c r="D7" s="48">
        <v>1.1623000000000001</v>
      </c>
      <c r="E7" s="48">
        <f t="shared" si="0"/>
        <v>0.28747474747474783</v>
      </c>
      <c r="F7" s="48">
        <v>0.20100000000000001</v>
      </c>
      <c r="G7" s="3">
        <f t="shared" si="1"/>
        <v>11.365013960140343</v>
      </c>
    </row>
    <row r="8" spans="1:7" x14ac:dyDescent="0.25">
      <c r="A8" s="49" t="s">
        <v>79</v>
      </c>
      <c r="D8" s="48">
        <v>1.1735</v>
      </c>
      <c r="E8" s="48">
        <f t="shared" si="0"/>
        <v>0.3101010101010101</v>
      </c>
      <c r="F8" s="48">
        <v>0.22639999999999999</v>
      </c>
      <c r="G8" s="3">
        <f t="shared" si="1"/>
        <v>12.756709489373518</v>
      </c>
    </row>
    <row r="9" spans="1:7" x14ac:dyDescent="0.25">
      <c r="D9" s="48">
        <v>1.1839999999999999</v>
      </c>
      <c r="E9" s="48">
        <f t="shared" si="0"/>
        <v>0.33131313131313134</v>
      </c>
      <c r="F9" s="48">
        <v>0.25109999999999999</v>
      </c>
      <c r="G9" s="3">
        <f t="shared" si="1"/>
        <v>14.095546081328642</v>
      </c>
    </row>
    <row r="10" spans="1:7" x14ac:dyDescent="0.25">
      <c r="D10" s="48">
        <v>1.1930000000000001</v>
      </c>
      <c r="E10" s="48">
        <f t="shared" si="0"/>
        <v>0.34949494949494947</v>
      </c>
      <c r="F10" s="48">
        <v>0.27350000000000002</v>
      </c>
      <c r="G10" s="3">
        <f t="shared" si="1"/>
        <v>15.296319501832604</v>
      </c>
    </row>
    <row r="11" spans="1:7" x14ac:dyDescent="0.25">
      <c r="D11" s="48">
        <v>1.2018</v>
      </c>
      <c r="E11" s="48">
        <f t="shared" si="0"/>
        <v>0.3672727272727272</v>
      </c>
      <c r="F11" s="48">
        <v>0.29570000000000002</v>
      </c>
      <c r="G11" s="3">
        <f t="shared" si="1"/>
        <v>16.472948369327785</v>
      </c>
    </row>
    <row r="12" spans="1:7" x14ac:dyDescent="0.25">
      <c r="D12" s="48">
        <v>1.2097</v>
      </c>
      <c r="E12" s="48">
        <f t="shared" si="0"/>
        <v>0.38323232323232331</v>
      </c>
      <c r="F12" s="48">
        <v>0.3165</v>
      </c>
      <c r="G12" s="3">
        <f t="shared" si="1"/>
        <v>17.562579375007221</v>
      </c>
    </row>
    <row r="13" spans="1:7" x14ac:dyDescent="0.25">
      <c r="D13" s="48">
        <v>1.2172000000000001</v>
      </c>
      <c r="E13" s="48">
        <f t="shared" si="0"/>
        <v>0.39838383838383845</v>
      </c>
      <c r="F13" s="48">
        <v>0.33679999999999999</v>
      </c>
      <c r="G13" s="3">
        <f t="shared" si="1"/>
        <v>18.6135253565662</v>
      </c>
    </row>
    <row r="14" spans="1:7" x14ac:dyDescent="0.25">
      <c r="D14" s="48">
        <v>1.2244999999999999</v>
      </c>
      <c r="E14" s="48">
        <f t="shared" si="0"/>
        <v>0.41313131313131313</v>
      </c>
      <c r="F14" s="48">
        <v>0.35680000000000001</v>
      </c>
      <c r="G14" s="3">
        <f t="shared" si="1"/>
        <v>19.636400101313267</v>
      </c>
    </row>
    <row r="15" spans="1:7" x14ac:dyDescent="0.25">
      <c r="D15" s="48">
        <v>1.2311000000000001</v>
      </c>
      <c r="E15" s="48">
        <f t="shared" si="0"/>
        <v>0.42646464646464671</v>
      </c>
      <c r="F15" s="48">
        <v>0.37559999999999999</v>
      </c>
      <c r="G15" s="3">
        <f t="shared" si="1"/>
        <v>20.586178422492079</v>
      </c>
    </row>
    <row r="16" spans="1:7" x14ac:dyDescent="0.25">
      <c r="D16" s="48">
        <v>1.2376</v>
      </c>
      <c r="E16" s="48">
        <f t="shared" si="0"/>
        <v>0.43959595959595987</v>
      </c>
      <c r="F16" s="48">
        <v>0.39450000000000002</v>
      </c>
      <c r="G16" s="3">
        <f t="shared" si="1"/>
        <v>21.529234311926064</v>
      </c>
    </row>
    <row r="17" spans="4:7" x14ac:dyDescent="0.25">
      <c r="D17" s="48">
        <v>1.2439</v>
      </c>
      <c r="E17" s="48">
        <f t="shared" si="0"/>
        <v>0.45232323232323252</v>
      </c>
      <c r="F17" s="48">
        <v>0.41289999999999999</v>
      </c>
      <c r="G17" s="3">
        <f t="shared" si="1"/>
        <v>22.43573040233407</v>
      </c>
    </row>
    <row r="18" spans="4:7" x14ac:dyDescent="0.25">
      <c r="D18" s="48">
        <v>1.2496</v>
      </c>
      <c r="E18" s="48">
        <f t="shared" si="0"/>
        <v>0.46383838383838411</v>
      </c>
      <c r="F18" s="48">
        <v>0.43020000000000003</v>
      </c>
      <c r="G18" s="3">
        <f t="shared" si="1"/>
        <v>23.27737509797074</v>
      </c>
    </row>
    <row r="19" spans="4:7" x14ac:dyDescent="0.25">
      <c r="D19" s="48">
        <v>1.2553000000000001</v>
      </c>
      <c r="E19" s="48">
        <f t="shared" si="0"/>
        <v>0.47535353535353569</v>
      </c>
      <c r="F19" s="48">
        <v>0.44750000000000001</v>
      </c>
      <c r="G19" s="3">
        <f t="shared" si="1"/>
        <v>24.108515899975323</v>
      </c>
    </row>
    <row r="20" spans="4:7" x14ac:dyDescent="0.25">
      <c r="D20" s="48">
        <v>1.2609999999999999</v>
      </c>
      <c r="E20" s="48">
        <f t="shared" si="0"/>
        <v>0.4868686868686869</v>
      </c>
      <c r="F20" s="48">
        <v>0.46489999999999998</v>
      </c>
      <c r="G20" s="3">
        <f t="shared" si="1"/>
        <v>24.933716523054869</v>
      </c>
    </row>
    <row r="21" spans="4:7" x14ac:dyDescent="0.25">
      <c r="D21" s="48">
        <v>1.2662</v>
      </c>
      <c r="E21" s="48">
        <f t="shared" si="0"/>
        <v>0.49737373737373747</v>
      </c>
      <c r="F21" s="48">
        <v>0.48060000000000003</v>
      </c>
      <c r="G21" s="3">
        <f t="shared" si="1"/>
        <v>25.668939358218147</v>
      </c>
    </row>
    <row r="22" spans="4:7" x14ac:dyDescent="0.25">
      <c r="D22" s="48">
        <v>1.2712000000000001</v>
      </c>
      <c r="E22" s="48">
        <f t="shared" si="0"/>
        <v>0.50747474747474752</v>
      </c>
      <c r="F22" s="48">
        <v>0.49609999999999999</v>
      </c>
      <c r="G22" s="3">
        <f t="shared" si="1"/>
        <v>26.38600962203153</v>
      </c>
    </row>
    <row r="23" spans="4:7" x14ac:dyDescent="0.25">
      <c r="D23" s="48">
        <v>1.2763</v>
      </c>
      <c r="E23" s="48">
        <f t="shared" si="0"/>
        <v>0.51777777777777767</v>
      </c>
      <c r="F23" s="48">
        <v>0.51160000000000005</v>
      </c>
      <c r="G23" s="3">
        <f t="shared" si="1"/>
        <v>27.094285243139797</v>
      </c>
    </row>
    <row r="24" spans="4:7" x14ac:dyDescent="0.25">
      <c r="D24" s="48">
        <v>1.2813000000000001</v>
      </c>
      <c r="E24" s="48">
        <f t="shared" si="0"/>
        <v>0.52787878787878828</v>
      </c>
      <c r="F24" s="48">
        <v>0.52700000000000002</v>
      </c>
      <c r="G24" s="3">
        <f t="shared" si="1"/>
        <v>27.789230550068488</v>
      </c>
    </row>
    <row r="25" spans="4:7" x14ac:dyDescent="0.25">
      <c r="D25" s="48">
        <v>1.2859</v>
      </c>
      <c r="E25" s="48">
        <f t="shared" si="0"/>
        <v>0.5371717171717173</v>
      </c>
      <c r="F25" s="48">
        <v>0.5403</v>
      </c>
      <c r="G25" s="3">
        <f t="shared" si="1"/>
        <v>28.382352717794003</v>
      </c>
    </row>
    <row r="26" spans="4:7" x14ac:dyDescent="0.25">
      <c r="D26" s="48">
        <v>1.2905</v>
      </c>
      <c r="E26" s="48">
        <f t="shared" si="0"/>
        <v>0.54646464646464643</v>
      </c>
      <c r="F26" s="48">
        <v>0.55369999999999997</v>
      </c>
      <c r="G26" s="3">
        <f t="shared" si="1"/>
        <v>28.97329901553951</v>
      </c>
    </row>
    <row r="27" spans="4:7" x14ac:dyDescent="0.25">
      <c r="D27" s="48">
        <v>1.2950999999999999</v>
      </c>
      <c r="E27" s="48">
        <f t="shared" si="0"/>
        <v>0.55575757575757556</v>
      </c>
      <c r="F27" s="48">
        <v>0.56710000000000005</v>
      </c>
      <c r="G27" s="3">
        <f t="shared" si="1"/>
        <v>29.557572167581107</v>
      </c>
    </row>
    <row r="28" spans="4:7" x14ac:dyDescent="0.25">
      <c r="D28" s="48">
        <v>1.2997000000000001</v>
      </c>
      <c r="E28" s="48">
        <f t="shared" si="0"/>
        <v>0.56505050505050514</v>
      </c>
      <c r="F28" s="48">
        <v>0.58050000000000002</v>
      </c>
      <c r="G28" s="3">
        <f t="shared" si="1"/>
        <v>30.135165112335041</v>
      </c>
    </row>
    <row r="29" spans="4:7" x14ac:dyDescent="0.25">
      <c r="D29" s="48">
        <v>1.304</v>
      </c>
      <c r="E29" s="48">
        <f t="shared" si="0"/>
        <v>0.57373737373737377</v>
      </c>
      <c r="F29" s="48">
        <v>0.59199999999999997</v>
      </c>
      <c r="G29" s="3">
        <f t="shared" si="1"/>
        <v>30.625532718694657</v>
      </c>
    </row>
    <row r="30" spans="4:7" x14ac:dyDescent="0.25">
      <c r="D30" s="48">
        <v>1.3083</v>
      </c>
      <c r="E30" s="48">
        <f t="shared" si="0"/>
        <v>0.58242424242424229</v>
      </c>
      <c r="F30" s="48">
        <v>0.60329999999999995</v>
      </c>
      <c r="G30" s="3">
        <f t="shared" si="1"/>
        <v>31.102580672218359</v>
      </c>
    </row>
    <row r="31" spans="4:7" x14ac:dyDescent="0.25">
      <c r="D31" s="48">
        <v>1.3125</v>
      </c>
      <c r="E31" s="48">
        <f t="shared" si="0"/>
        <v>0.59090909090909094</v>
      </c>
      <c r="F31" s="48">
        <v>0.61470000000000002</v>
      </c>
      <c r="G31" s="3">
        <f t="shared" si="1"/>
        <v>31.579042385791695</v>
      </c>
    </row>
    <row r="32" spans="4:7" x14ac:dyDescent="0.25">
      <c r="D32" s="48">
        <v>1.3167</v>
      </c>
      <c r="E32" s="48">
        <f t="shared" si="0"/>
        <v>0.59939393939393948</v>
      </c>
      <c r="F32" s="48">
        <v>0.626</v>
      </c>
      <c r="G32" s="3">
        <f t="shared" si="1"/>
        <v>32.046566151225242</v>
      </c>
    </row>
    <row r="33" spans="4:7" x14ac:dyDescent="0.25">
      <c r="D33" s="48">
        <v>1.3209</v>
      </c>
      <c r="E33" s="48">
        <f t="shared" si="0"/>
        <v>0.60787878787878757</v>
      </c>
      <c r="F33" s="48">
        <v>0.63670000000000004</v>
      </c>
      <c r="G33" s="3">
        <f t="shared" si="1"/>
        <v>32.484907484719791</v>
      </c>
    </row>
    <row r="34" spans="4:7" x14ac:dyDescent="0.25">
      <c r="D34" s="48">
        <v>1.3249</v>
      </c>
      <c r="E34" s="48">
        <f t="shared" ref="E34:E65" si="2">(1000*D34-R_0)/a_0</f>
        <v>0.61595959595959571</v>
      </c>
      <c r="F34" s="48">
        <v>0.64629999999999999</v>
      </c>
      <c r="G34" s="3">
        <f t="shared" si="1"/>
        <v>32.874586060897983</v>
      </c>
    </row>
    <row r="35" spans="4:7" x14ac:dyDescent="0.25">
      <c r="D35" s="48">
        <v>1.3289</v>
      </c>
      <c r="E35" s="48">
        <f t="shared" si="2"/>
        <v>0.62404040404040373</v>
      </c>
      <c r="F35" s="48">
        <v>0.65600000000000003</v>
      </c>
      <c r="G35" s="3">
        <f t="shared" si="1"/>
        <v>33.264874741400853</v>
      </c>
    </row>
    <row r="36" spans="4:7" x14ac:dyDescent="0.25">
      <c r="D36" s="48">
        <v>1.3328</v>
      </c>
      <c r="E36" s="48">
        <f t="shared" si="2"/>
        <v>0.63191919191919188</v>
      </c>
      <c r="F36" s="48">
        <v>0.66559999999999997</v>
      </c>
      <c r="G36" s="3">
        <f t="shared" si="1"/>
        <v>33.647735964038247</v>
      </c>
    </row>
    <row r="37" spans="4:7" x14ac:dyDescent="0.25">
      <c r="D37" s="48">
        <v>1.3368</v>
      </c>
      <c r="E37" s="48">
        <f t="shared" si="2"/>
        <v>0.6399999999999999</v>
      </c>
      <c r="F37" s="48">
        <v>0.67520000000000002</v>
      </c>
      <c r="G37" s="3">
        <f t="shared" si="1"/>
        <v>34.027221586676575</v>
      </c>
    </row>
    <row r="38" spans="4:7" x14ac:dyDescent="0.25">
      <c r="D38" s="48">
        <v>1.3407</v>
      </c>
      <c r="E38" s="48">
        <f t="shared" si="2"/>
        <v>0.64787878787878794</v>
      </c>
      <c r="F38" s="48">
        <v>0.68400000000000005</v>
      </c>
      <c r="G38" s="3">
        <f t="shared" si="1"/>
        <v>34.37212791915244</v>
      </c>
    </row>
    <row r="39" spans="4:7" x14ac:dyDescent="0.25">
      <c r="D39" s="48">
        <v>1.3445</v>
      </c>
      <c r="E39" s="48">
        <f t="shared" si="2"/>
        <v>0.65555555555555556</v>
      </c>
      <c r="F39" s="48">
        <v>0.69199999999999995</v>
      </c>
      <c r="G39" s="3">
        <f t="shared" si="1"/>
        <v>34.683234292896842</v>
      </c>
    </row>
    <row r="40" spans="4:7" x14ac:dyDescent="0.25">
      <c r="D40" s="48">
        <v>1.3483000000000001</v>
      </c>
      <c r="E40" s="48">
        <f t="shared" si="2"/>
        <v>0.66323232323232317</v>
      </c>
      <c r="F40" s="48">
        <v>0.7</v>
      </c>
      <c r="G40" s="3">
        <f t="shared" si="1"/>
        <v>34.992020198558656</v>
      </c>
    </row>
    <row r="41" spans="4:7" x14ac:dyDescent="0.25">
      <c r="D41" s="48">
        <v>1.3521000000000001</v>
      </c>
      <c r="E41" s="48">
        <f t="shared" si="2"/>
        <v>0.67090909090909123</v>
      </c>
      <c r="F41" s="48">
        <v>0.70799999999999996</v>
      </c>
      <c r="G41" s="3">
        <f t="shared" si="1"/>
        <v>35.298493764070578</v>
      </c>
    </row>
    <row r="42" spans="4:7" x14ac:dyDescent="0.25">
      <c r="D42" s="48">
        <v>1.3559000000000001</v>
      </c>
      <c r="E42" s="48">
        <f t="shared" si="2"/>
        <v>0.67858585858585874</v>
      </c>
      <c r="F42" s="48">
        <v>0.71609999999999996</v>
      </c>
      <c r="G42" s="3">
        <f t="shared" si="1"/>
        <v>35.606451106123451</v>
      </c>
    </row>
    <row r="43" spans="4:7" x14ac:dyDescent="0.25">
      <c r="D43" s="48">
        <v>1.3595999999999999</v>
      </c>
      <c r="E43" s="48">
        <f t="shared" si="2"/>
        <v>0.68606060606060593</v>
      </c>
      <c r="F43" s="48">
        <v>0.72340000000000004</v>
      </c>
      <c r="G43" s="3">
        <f t="shared" si="1"/>
        <v>35.88197719229165</v>
      </c>
    </row>
    <row r="44" spans="4:7" x14ac:dyDescent="0.25">
      <c r="D44" s="48">
        <v>1.3632</v>
      </c>
      <c r="E44" s="48">
        <f t="shared" si="2"/>
        <v>0.69333333333333347</v>
      </c>
      <c r="F44" s="48">
        <v>0.73</v>
      </c>
      <c r="G44" s="3">
        <f t="shared" si="1"/>
        <v>36.12944414324086</v>
      </c>
    </row>
    <row r="45" spans="4:7" x14ac:dyDescent="0.25">
      <c r="D45" s="48">
        <v>1.3669</v>
      </c>
      <c r="E45" s="48">
        <f t="shared" si="2"/>
        <v>0.70080808080808099</v>
      </c>
      <c r="F45" s="48">
        <v>0.73650000000000004</v>
      </c>
      <c r="G45" s="3">
        <f t="shared" si="1"/>
        <v>36.371645918366333</v>
      </c>
    </row>
    <row r="46" spans="4:7" x14ac:dyDescent="0.25">
      <c r="D46" s="48">
        <v>1.3705000000000001</v>
      </c>
      <c r="E46" s="48">
        <f t="shared" si="2"/>
        <v>0.70808080808080809</v>
      </c>
      <c r="F46" s="48">
        <v>0.74309999999999998</v>
      </c>
      <c r="G46" s="3">
        <f t="shared" si="1"/>
        <v>36.616040363832752</v>
      </c>
    </row>
    <row r="47" spans="4:7" x14ac:dyDescent="0.25">
      <c r="D47" s="48">
        <v>1.3742000000000001</v>
      </c>
      <c r="E47" s="48">
        <f t="shared" si="2"/>
        <v>0.71555555555555561</v>
      </c>
      <c r="F47" s="48">
        <v>0.74960000000000004</v>
      </c>
      <c r="G47" s="3">
        <f t="shared" si="1"/>
        <v>36.855227109866313</v>
      </c>
    </row>
    <row r="48" spans="4:7" x14ac:dyDescent="0.25">
      <c r="D48" s="48">
        <v>1.3777999999999999</v>
      </c>
      <c r="E48" s="48">
        <f t="shared" si="2"/>
        <v>0.72282828282828271</v>
      </c>
      <c r="F48" s="48">
        <v>0.75590000000000002</v>
      </c>
      <c r="G48" s="3">
        <f t="shared" si="1"/>
        <v>37.08563452001907</v>
      </c>
    </row>
    <row r="49" spans="4:7" x14ac:dyDescent="0.25">
      <c r="D49" s="48">
        <v>1.3814</v>
      </c>
      <c r="E49" s="48">
        <f t="shared" si="2"/>
        <v>0.73010101010100981</v>
      </c>
      <c r="F49" s="48">
        <v>0.76119999999999999</v>
      </c>
      <c r="G49" s="3">
        <f t="shared" si="1"/>
        <v>37.278390775676193</v>
      </c>
    </row>
    <row r="50" spans="4:7" x14ac:dyDescent="0.25">
      <c r="D50" s="48">
        <v>1.3849</v>
      </c>
      <c r="E50" s="48">
        <f t="shared" si="2"/>
        <v>0.73717171717171737</v>
      </c>
      <c r="F50" s="48">
        <v>0.76639999999999997</v>
      </c>
      <c r="G50" s="3">
        <f t="shared" si="1"/>
        <v>37.466555518129901</v>
      </c>
    </row>
    <row r="51" spans="4:7" x14ac:dyDescent="0.25">
      <c r="D51" s="48">
        <v>1.3885000000000001</v>
      </c>
      <c r="E51" s="48">
        <f t="shared" si="2"/>
        <v>0.74444444444444446</v>
      </c>
      <c r="F51" s="48">
        <v>0.77170000000000005</v>
      </c>
      <c r="G51" s="3">
        <f t="shared" si="1"/>
        <v>37.657369026004922</v>
      </c>
    </row>
    <row r="52" spans="4:7" x14ac:dyDescent="0.25">
      <c r="D52" s="48">
        <v>1.3920999999999999</v>
      </c>
      <c r="E52" s="48">
        <f t="shared" si="2"/>
        <v>0.75171717171717156</v>
      </c>
      <c r="F52" s="48">
        <v>0.77690000000000003</v>
      </c>
      <c r="G52" s="3">
        <f t="shared" si="1"/>
        <v>37.843633934512226</v>
      </c>
    </row>
    <row r="53" spans="4:7" x14ac:dyDescent="0.25">
      <c r="D53" s="48">
        <v>1.3956</v>
      </c>
      <c r="E53" s="48">
        <f t="shared" si="2"/>
        <v>0.75878787878787857</v>
      </c>
      <c r="F53" s="48">
        <v>0.78220000000000001</v>
      </c>
      <c r="G53" s="3">
        <f t="shared" si="1"/>
        <v>38.032517555400091</v>
      </c>
    </row>
    <row r="54" spans="4:7" x14ac:dyDescent="0.25">
      <c r="D54" s="48">
        <v>1.3991</v>
      </c>
      <c r="E54" s="48">
        <f t="shared" si="2"/>
        <v>0.76585858585858568</v>
      </c>
      <c r="F54" s="48">
        <v>0.78620000000000001</v>
      </c>
      <c r="G54" s="3">
        <f t="shared" si="1"/>
        <v>38.174429335886892</v>
      </c>
    </row>
    <row r="55" spans="4:7" x14ac:dyDescent="0.25">
      <c r="D55" s="48">
        <v>1.4026000000000001</v>
      </c>
      <c r="E55" s="48">
        <f t="shared" si="2"/>
        <v>0.77292929292929324</v>
      </c>
      <c r="F55" s="48">
        <v>0.79</v>
      </c>
      <c r="G55" s="3">
        <f t="shared" si="1"/>
        <v>38.308735567447719</v>
      </c>
    </row>
    <row r="56" spans="4:7" x14ac:dyDescent="0.25">
      <c r="D56" s="48">
        <v>1.4060999999999999</v>
      </c>
      <c r="E56" s="48">
        <f t="shared" si="2"/>
        <v>0.7799999999999998</v>
      </c>
      <c r="F56" s="48">
        <v>0.79369999999999996</v>
      </c>
      <c r="G56" s="3">
        <f t="shared" si="1"/>
        <v>38.43903121708324</v>
      </c>
    </row>
    <row r="57" spans="4:7" x14ac:dyDescent="0.25">
      <c r="D57" s="48">
        <v>1.4096</v>
      </c>
      <c r="E57" s="48">
        <f t="shared" si="2"/>
        <v>0.78707070707070692</v>
      </c>
      <c r="F57" s="48">
        <v>0.79749999999999999</v>
      </c>
      <c r="G57" s="3">
        <f t="shared" si="1"/>
        <v>38.572360551061941</v>
      </c>
    </row>
    <row r="58" spans="4:7" x14ac:dyDescent="0.25">
      <c r="D58" s="48">
        <v>1.413</v>
      </c>
      <c r="E58" s="48">
        <f t="shared" si="2"/>
        <v>0.79393939393939394</v>
      </c>
      <c r="F58" s="48">
        <v>0.80120000000000002</v>
      </c>
      <c r="G58" s="3">
        <f t="shared" si="1"/>
        <v>38.701707461358822</v>
      </c>
    </row>
    <row r="59" spans="4:7" x14ac:dyDescent="0.25">
      <c r="D59" s="48">
        <v>1.4165000000000001</v>
      </c>
      <c r="E59" s="48">
        <f t="shared" si="2"/>
        <v>0.80101010101010106</v>
      </c>
      <c r="F59" s="48">
        <v>0.8044</v>
      </c>
      <c r="G59" s="3">
        <f t="shared" si="1"/>
        <v>38.813199041890009</v>
      </c>
    </row>
    <row r="60" spans="4:7" x14ac:dyDescent="0.25">
      <c r="D60" s="48">
        <v>1.42</v>
      </c>
      <c r="E60" s="48">
        <f t="shared" si="2"/>
        <v>0.80808080808080807</v>
      </c>
      <c r="F60" s="48">
        <v>0.80630000000000002</v>
      </c>
      <c r="G60" s="3">
        <f t="shared" si="1"/>
        <v>38.87923249073549</v>
      </c>
    </row>
    <row r="61" spans="4:7" x14ac:dyDescent="0.25">
      <c r="D61" s="48">
        <v>1.4234</v>
      </c>
      <c r="E61" s="48">
        <f t="shared" si="2"/>
        <v>0.81494949494949509</v>
      </c>
      <c r="F61" s="48">
        <v>0.80820000000000003</v>
      </c>
      <c r="G61" s="3">
        <f t="shared" si="1"/>
        <v>38.945143442597178</v>
      </c>
    </row>
    <row r="62" spans="4:7" x14ac:dyDescent="0.25">
      <c r="D62" s="48">
        <v>1.4268000000000001</v>
      </c>
      <c r="E62" s="48">
        <f t="shared" si="2"/>
        <v>0.82181818181818223</v>
      </c>
      <c r="F62" s="48">
        <v>0.81010000000000004</v>
      </c>
      <c r="G62" s="3">
        <f t="shared" si="1"/>
        <v>39.010932064061073</v>
      </c>
    </row>
    <row r="63" spans="4:7" x14ac:dyDescent="0.25">
      <c r="D63" s="48">
        <v>1.4302999999999999</v>
      </c>
      <c r="E63" s="48">
        <f t="shared" si="2"/>
        <v>0.82888888888888879</v>
      </c>
      <c r="F63" s="48">
        <v>0.81200000000000006</v>
      </c>
      <c r="G63" s="3">
        <f t="shared" si="1"/>
        <v>39.076598522385595</v>
      </c>
    </row>
    <row r="64" spans="4:7" x14ac:dyDescent="0.25">
      <c r="D64" s="48">
        <v>1.4337</v>
      </c>
      <c r="E64" s="48">
        <f t="shared" si="2"/>
        <v>0.83575757575757581</v>
      </c>
      <c r="F64" s="48">
        <v>0.81389999999999996</v>
      </c>
      <c r="G64" s="3">
        <f t="shared" si="1"/>
        <v>39.142142985492342</v>
      </c>
    </row>
    <row r="65" spans="4:7" x14ac:dyDescent="0.25">
      <c r="D65" s="48">
        <v>1.4372</v>
      </c>
      <c r="E65" s="48">
        <f t="shared" si="2"/>
        <v>0.84282828282828293</v>
      </c>
      <c r="F65" s="48">
        <v>0.8145</v>
      </c>
      <c r="G65" s="3">
        <f t="shared" si="1"/>
        <v>39.162815918750105</v>
      </c>
    </row>
    <row r="66" spans="4:7" x14ac:dyDescent="0.25">
      <c r="D66" s="48">
        <v>1.4406000000000001</v>
      </c>
      <c r="E66" s="48">
        <f t="shared" ref="E66:E86" si="3">(1000*D66-R_0)/a_0</f>
        <v>0.84969696969696995</v>
      </c>
      <c r="F66" s="48">
        <v>0.81459999999999999</v>
      </c>
      <c r="G66" s="3">
        <f t="shared" si="1"/>
        <v>39.166260226854803</v>
      </c>
    </row>
    <row r="67" spans="4:7" x14ac:dyDescent="0.25">
      <c r="D67" s="48">
        <v>1.444</v>
      </c>
      <c r="E67" s="48">
        <f t="shared" si="3"/>
        <v>0.85656565656565653</v>
      </c>
      <c r="F67" s="48">
        <v>0.81459999999999999</v>
      </c>
      <c r="G67" s="3">
        <f t="shared" si="1"/>
        <v>39.166260226854803</v>
      </c>
    </row>
    <row r="68" spans="4:7" x14ac:dyDescent="0.25">
      <c r="D68" s="48">
        <v>1.4474</v>
      </c>
      <c r="E68" s="48">
        <f t="shared" si="3"/>
        <v>0.86343434343434367</v>
      </c>
      <c r="F68" s="48">
        <v>0.81469999999999998</v>
      </c>
      <c r="G68" s="3">
        <f t="shared" ref="G68:G86" si="4">ATAN(F68)*180/PI()</f>
        <v>39.169704197661922</v>
      </c>
    </row>
    <row r="69" spans="4:7" x14ac:dyDescent="0.25">
      <c r="D69" s="48">
        <v>1.4509000000000001</v>
      </c>
      <c r="E69" s="48">
        <f t="shared" si="3"/>
        <v>0.87050505050505067</v>
      </c>
      <c r="F69" s="48">
        <v>0.81479999999999997</v>
      </c>
      <c r="G69" s="3">
        <f t="shared" si="4"/>
        <v>39.173147831196125</v>
      </c>
    </row>
    <row r="70" spans="4:7" x14ac:dyDescent="0.25">
      <c r="D70" s="48">
        <v>1.4542999999999999</v>
      </c>
      <c r="E70" s="48">
        <f t="shared" si="3"/>
        <v>0.87737373737373725</v>
      </c>
      <c r="F70" s="48">
        <v>0.81469999999999998</v>
      </c>
      <c r="G70" s="3">
        <f t="shared" si="4"/>
        <v>39.169704197661922</v>
      </c>
    </row>
    <row r="71" spans="4:7" x14ac:dyDescent="0.25">
      <c r="D71" s="48">
        <v>1.4578</v>
      </c>
      <c r="E71" s="48">
        <f t="shared" si="3"/>
        <v>0.88444444444444437</v>
      </c>
      <c r="F71" s="48">
        <v>0.81330000000000002</v>
      </c>
      <c r="G71" s="3">
        <f t="shared" si="4"/>
        <v>39.121457903312518</v>
      </c>
    </row>
    <row r="72" spans="4:7" x14ac:dyDescent="0.25">
      <c r="D72" s="48">
        <v>1.4612000000000001</v>
      </c>
      <c r="E72" s="48">
        <f t="shared" si="3"/>
        <v>0.89131313131313139</v>
      </c>
      <c r="F72" s="48">
        <v>0.81200000000000006</v>
      </c>
      <c r="G72" s="3">
        <f t="shared" si="4"/>
        <v>39.076598522385595</v>
      </c>
    </row>
    <row r="73" spans="4:7" x14ac:dyDescent="0.25">
      <c r="D73" s="48">
        <v>1.4646999999999999</v>
      </c>
      <c r="E73" s="48">
        <f t="shared" si="3"/>
        <v>0.89838383838383806</v>
      </c>
      <c r="F73" s="48">
        <v>0.81069999999999998</v>
      </c>
      <c r="G73" s="3">
        <f t="shared" si="4"/>
        <v>39.031682030110467</v>
      </c>
    </row>
    <row r="74" spans="4:7" x14ac:dyDescent="0.25">
      <c r="D74" s="48">
        <v>1.4681</v>
      </c>
      <c r="E74" s="48">
        <f t="shared" si="3"/>
        <v>0.90525252525252509</v>
      </c>
      <c r="F74" s="48">
        <v>0.80940000000000001</v>
      </c>
      <c r="G74" s="3">
        <f t="shared" si="4"/>
        <v>38.986708372666868</v>
      </c>
    </row>
    <row r="75" spans="4:7" x14ac:dyDescent="0.25">
      <c r="D75" s="48">
        <v>1.4716</v>
      </c>
      <c r="E75" s="48">
        <f t="shared" si="3"/>
        <v>0.91232323232323209</v>
      </c>
      <c r="F75" s="48">
        <v>0.80800000000000005</v>
      </c>
      <c r="G75" s="3">
        <f t="shared" si="4"/>
        <v>38.938211211271366</v>
      </c>
    </row>
    <row r="76" spans="4:7" x14ac:dyDescent="0.25">
      <c r="D76" s="48">
        <v>1.4750000000000001</v>
      </c>
      <c r="E76" s="48">
        <f t="shared" si="3"/>
        <v>0.91919191919191923</v>
      </c>
      <c r="F76" s="48">
        <v>0.80640000000000001</v>
      </c>
      <c r="G76" s="3">
        <f t="shared" si="4"/>
        <v>38.88270454068897</v>
      </c>
    </row>
    <row r="77" spans="4:7" x14ac:dyDescent="0.25">
      <c r="D77" s="48">
        <v>1.4784999999999999</v>
      </c>
      <c r="E77" s="48">
        <f t="shared" si="3"/>
        <v>0.92626262626262623</v>
      </c>
      <c r="F77" s="48">
        <v>0.80449999999999999</v>
      </c>
      <c r="G77" s="3">
        <f t="shared" si="4"/>
        <v>38.81667754319529</v>
      </c>
    </row>
    <row r="78" spans="4:7" x14ac:dyDescent="0.25">
      <c r="D78" s="48">
        <v>1.482</v>
      </c>
      <c r="E78" s="48">
        <f t="shared" si="3"/>
        <v>0.93333333333333335</v>
      </c>
      <c r="F78" s="48">
        <v>0.80259999999999998</v>
      </c>
      <c r="G78" s="3">
        <f t="shared" si="4"/>
        <v>38.750527891528385</v>
      </c>
    </row>
    <row r="79" spans="4:7" x14ac:dyDescent="0.25">
      <c r="D79" s="48">
        <v>1.4855</v>
      </c>
      <c r="E79" s="48">
        <f t="shared" si="3"/>
        <v>0.94040404040404035</v>
      </c>
      <c r="F79" s="48">
        <v>0.80069999999999997</v>
      </c>
      <c r="G79" s="3">
        <f t="shared" si="4"/>
        <v>38.684255420438909</v>
      </c>
    </row>
    <row r="80" spans="4:7" x14ac:dyDescent="0.25">
      <c r="D80" s="48">
        <v>1.4890000000000001</v>
      </c>
      <c r="E80" s="48">
        <f t="shared" si="3"/>
        <v>0.94747474747474747</v>
      </c>
      <c r="F80" s="48">
        <v>0.79879999999999995</v>
      </c>
      <c r="G80" s="3">
        <f t="shared" si="4"/>
        <v>38.617859965377818</v>
      </c>
    </row>
    <row r="81" spans="4:7" x14ac:dyDescent="0.25">
      <c r="D81" s="48">
        <v>1.4924999999999999</v>
      </c>
      <c r="E81" s="48">
        <f t="shared" si="3"/>
        <v>0.95454545454545459</v>
      </c>
      <c r="F81" s="48">
        <v>0.79690000000000005</v>
      </c>
      <c r="G81" s="3">
        <f t="shared" si="4"/>
        <v>38.551341362506037</v>
      </c>
    </row>
    <row r="82" spans="4:7" x14ac:dyDescent="0.25">
      <c r="D82" s="48">
        <v>1.496</v>
      </c>
      <c r="E82" s="48">
        <f t="shared" si="3"/>
        <v>0.96161616161616159</v>
      </c>
      <c r="F82" s="48">
        <v>0.79520000000000002</v>
      </c>
      <c r="G82" s="3">
        <f t="shared" si="4"/>
        <v>38.491720198720721</v>
      </c>
    </row>
    <row r="83" spans="4:7" x14ac:dyDescent="0.25">
      <c r="D83" s="48">
        <v>1.4995000000000001</v>
      </c>
      <c r="E83" s="48">
        <f t="shared" si="3"/>
        <v>0.96868686868686871</v>
      </c>
      <c r="F83" s="48">
        <v>0.79359999999999997</v>
      </c>
      <c r="G83" s="3">
        <f t="shared" si="4"/>
        <v>38.435515880482257</v>
      </c>
    </row>
    <row r="84" spans="4:7" x14ac:dyDescent="0.25">
      <c r="D84" s="48">
        <v>1.5029999999999999</v>
      </c>
      <c r="E84" s="48">
        <f t="shared" si="3"/>
        <v>0.97575757575757571</v>
      </c>
      <c r="F84" s="48">
        <v>0.79190000000000005</v>
      </c>
      <c r="G84" s="3">
        <f t="shared" si="4"/>
        <v>38.375702757738047</v>
      </c>
    </row>
    <row r="85" spans="4:7" x14ac:dyDescent="0.25">
      <c r="D85" s="48">
        <v>1.5065999999999999</v>
      </c>
      <c r="E85" s="48">
        <f t="shared" si="3"/>
        <v>0.98303030303030281</v>
      </c>
      <c r="F85" s="48">
        <v>0.7903</v>
      </c>
      <c r="G85" s="3">
        <f t="shared" si="4"/>
        <v>38.319317567154975</v>
      </c>
    </row>
    <row r="86" spans="4:7" x14ac:dyDescent="0.25">
      <c r="D86" s="48">
        <v>1.5101</v>
      </c>
      <c r="E86" s="48">
        <f t="shared" si="3"/>
        <v>0.99010101010100993</v>
      </c>
      <c r="F86" s="48">
        <v>0.78859999999999997</v>
      </c>
      <c r="G86" s="3">
        <f t="shared" si="4"/>
        <v>38.259312050525928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Wavenumbers</vt:lpstr>
      <vt:lpstr>Fan Beam</vt:lpstr>
      <vt:lpstr>Pitch Angle</vt:lpstr>
      <vt:lpstr>'Pitch Angle'!a_0</vt:lpstr>
      <vt:lpstr>Array_tilt</vt:lpstr>
      <vt:lpstr>k_0</vt:lpstr>
      <vt:lpstr>'Pitch Angle'!R_0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</dc:creator>
  <cp:lastModifiedBy>Calvin</cp:lastModifiedBy>
  <dcterms:created xsi:type="dcterms:W3CDTF">2021-12-21T17:24:36Z</dcterms:created>
  <dcterms:modified xsi:type="dcterms:W3CDTF">2022-05-14T20:42:16Z</dcterms:modified>
</cp:coreProperties>
</file>