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eredith/Downloads/"/>
    </mc:Choice>
  </mc:AlternateContent>
  <xr:revisionPtr revIDLastSave="0" documentId="13_ncr:1_{70868C63-D039-FC41-92B4-9B8504DD9837}" xr6:coauthVersionLast="47" xr6:coauthVersionMax="47" xr10:uidLastSave="{00000000-0000-0000-0000-000000000000}"/>
  <bookViews>
    <workbookView xWindow="0" yWindow="1940" windowWidth="38400" windowHeight="19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8" i="1" l="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D000000}">
      <text>
        <r>
          <rPr>
            <sz val="10"/>
            <color rgb="FF000000"/>
            <rFont val="Arial"/>
          </rPr>
          <t>The consistent title we'll use throughout is "Tennessee Volunteers magazine, month year".
	-Meredith Hale</t>
        </r>
      </text>
    </comment>
    <comment ref="E1" authorId="0" shapeId="0" xr:uid="{00000000-0006-0000-0000-00000A000000}">
      <text>
        <r>
          <rPr>
            <sz val="10"/>
            <color rgb="FF000000"/>
            <rFont val="Arial"/>
          </rPr>
          <t>Only insert if applicable - "Volume #, Number #"
	-Meredith Hale</t>
        </r>
      </text>
    </comment>
    <comment ref="F1" authorId="0" shapeId="0" xr:uid="{00000000-0006-0000-0000-000006000000}">
      <text>
        <r>
          <rPr>
            <sz val="10"/>
            <color rgb="FF000000"/>
            <rFont val="Arial"/>
          </rPr>
          <t>Month DD, YYYY
	-Meredith Hale</t>
        </r>
      </text>
    </comment>
    <comment ref="G1" authorId="0" shapeId="0" xr:uid="{00000000-0006-0000-0000-000007000000}">
      <text>
        <r>
          <rPr>
            <sz val="10"/>
            <color rgb="FF000000"/>
            <rFont val="Arial"/>
          </rPr>
          <t xml:space="preserve">YYYY-MM-DD
</t>
        </r>
        <r>
          <rPr>
            <sz val="10"/>
            <color rgb="FF000000"/>
            <rFont val="Arial"/>
          </rPr>
          <t xml:space="preserve">	-Meredith Hale</t>
        </r>
      </text>
    </comment>
    <comment ref="L1" authorId="0" shapeId="0" xr:uid="{00000000-0006-0000-0000-00000B000000}">
      <text>
        <r>
          <rPr>
            <sz val="10"/>
            <color rgb="FF000000"/>
            <rFont val="Arial"/>
          </rPr>
          <t>Usually either "Football" or "Basketball" (Some issues include both sports, if so include both in separate columns). If you need to look up a sport, use https://id.loc.gov/
	-Meredith Hale</t>
        </r>
      </text>
    </comment>
    <comment ref="M1" authorId="0" shapeId="0" xr:uid="{00000000-0006-0000-0000-000009000000}">
      <text>
        <r>
          <rPr>
            <sz val="10"/>
            <color rgb="FF000000"/>
            <rFont val="Arial"/>
          </rPr>
          <t>Include any additional sports with a full article on them (e.g. "Swimming", "Track and field"). Additional columns may need to be added.
	-Meredith Hale</t>
        </r>
      </text>
    </comment>
    <comment ref="B20" authorId="0" shapeId="0" xr:uid="{00000000-0006-0000-0000-000008000000}">
      <text>
        <r>
          <rPr>
            <sz val="10"/>
            <color rgb="FF000000"/>
            <rFont val="Arial"/>
          </rPr>
          <t>No supplied title needed as it matches the transcribed title.
	-Meredith Hale</t>
        </r>
      </text>
    </comment>
    <comment ref="A109" authorId="0" shapeId="0" xr:uid="{00000000-0006-0000-0000-000004000000}">
      <text>
        <r>
          <rPr>
            <sz val="10"/>
            <color rgb="FF000000"/>
            <rFont val="Arial"/>
          </rPr>
          <t>Here is one of the issues that doesn't have a visible table of contents
	-Brendon Blair
I think it is fine to leave off the tableOfContents for these. The titles for each article are long and full of punctuation (making them hard to scan) and I think adding these will also be pretty time consuming. I'll generate a generic abstract value for these in place of a table of contents.
	-Meredith Hale</t>
        </r>
      </text>
    </comment>
    <comment ref="A134" authorId="0" shapeId="0" xr:uid="{00000000-0006-0000-0000-000003000000}">
      <text>
        <r>
          <rPr>
            <sz val="10"/>
            <color rgb="FF000000"/>
            <rFont val="Arial"/>
          </rPr>
          <t>This one also is lacking a TOC for some reason
	-Brendon Blair</t>
        </r>
      </text>
    </comment>
    <comment ref="A180" authorId="0" shapeId="0" xr:uid="{00000000-0006-0000-0000-000005000000}">
      <text>
        <r>
          <rPr>
            <sz val="10"/>
            <color rgb="FF000000"/>
            <rFont val="Arial"/>
          </rPr>
          <t>Not sure if Internet should be capitalized... apparently it's a hot topic of debate as to whether or not we should keep capitalizing Internet in sentence case. I'll be double checking the sentence case of all the chapters when I'm done as well!
	-Brendon Blair</t>
        </r>
      </text>
    </comment>
    <comment ref="T190" authorId="0" shapeId="0" xr:uid="{00000000-0006-0000-0000-00000C000000}">
      <text>
        <r>
          <rPr>
            <sz val="10"/>
            <color rgb="FF000000"/>
            <rFont val="Arial"/>
          </rPr>
          <t>Copyright symbol on Delta ad
	-Meredith Hale</t>
        </r>
      </text>
    </comment>
    <comment ref="A191" authorId="0" shapeId="0" xr:uid="{00000000-0006-0000-0000-000002000000}">
      <text>
        <r>
          <rPr>
            <sz val="10"/>
            <color rgb="FF000000"/>
            <rFont val="Arial"/>
          </rPr>
          <t>Many older issues are lacking a table of contents as well- I read your previous comments but let me know if you'd like me to enter them manually at all :)
	-Brendon Blair
These are formatted quite differently than the later issues and I think the table of contents here would be more useful. I would avoid including titles of advertisements and subtitles for larger articles/content (like stats). I've filled out this one to give you an idea of what items to include and what to not include. Use your judgment based on this example to determine which titles should be included.
	-Meredith Hale</t>
        </r>
      </text>
    </comment>
    <comment ref="T196" authorId="0" shapeId="0" xr:uid="{00000000-0006-0000-0000-000001000000}">
      <text>
        <r>
          <rPr>
            <sz val="10"/>
            <color rgb="FF000000"/>
            <rFont val="Arial"/>
          </rPr>
          <t>Copyright symbol on page 17 - Pinkerton Tobacco
	-Meredith Hale</t>
        </r>
      </text>
    </comment>
  </commentList>
</comments>
</file>

<file path=xl/sharedStrings.xml><?xml version="1.0" encoding="utf-8"?>
<sst xmlns="http://schemas.openxmlformats.org/spreadsheetml/2006/main" count="3576" uniqueCount="986">
  <si>
    <t>filename</t>
  </si>
  <si>
    <t>supplied_title</t>
  </si>
  <si>
    <t>transcribed_title</t>
  </si>
  <si>
    <t>tableOfContents</t>
  </si>
  <si>
    <t>volume_number</t>
  </si>
  <si>
    <t>date</t>
  </si>
  <si>
    <t>date_edtf</t>
  </si>
  <si>
    <t>extent</t>
  </si>
  <si>
    <t>publisher</t>
  </si>
  <si>
    <t>form</t>
  </si>
  <si>
    <t>subject</t>
  </si>
  <si>
    <t>subject2</t>
  </si>
  <si>
    <t>subject3</t>
  </si>
  <si>
    <t>subject4</t>
  </si>
  <si>
    <t>subject5</t>
  </si>
  <si>
    <t>subject6</t>
  </si>
  <si>
    <t>subject_name</t>
  </si>
  <si>
    <t>classification</t>
  </si>
  <si>
    <t>typeOfResource</t>
  </si>
  <si>
    <t>rights</t>
  </si>
  <si>
    <t>rights_URI</t>
  </si>
  <si>
    <t>volunteers_2002-10</t>
  </si>
  <si>
    <t>Tennessee Volunteers magazine, October 2002</t>
  </si>
  <si>
    <t>The first word - C.H.A.M.P.S. - News from the VASF - Nathan Dougherty Society - Where are the Vols Headed? - Last time out - Neyland claims his first championship - Basketball preview - Marketing blitz - Corporate partnership spotlight - Volleyball - In the spirit of Tennessee - Lettermen's news - Whatever happened to... - The last word - Tennessee scoreboard</t>
  </si>
  <si>
    <t>October 2002</t>
  </si>
  <si>
    <t>32 pages</t>
  </si>
  <si>
    <t>University of Tennessee, Knoxville. Department of Athletics</t>
  </si>
  <si>
    <t>periodicals</t>
  </si>
  <si>
    <t>College sports</t>
  </si>
  <si>
    <t>Football</t>
  </si>
  <si>
    <t>Basketball</t>
  </si>
  <si>
    <t>Volleyball</t>
  </si>
  <si>
    <t>University of Tennessee, Knoxville</t>
  </si>
  <si>
    <t>GV691.T45 S56</t>
  </si>
  <si>
    <t>text</t>
  </si>
  <si>
    <t>In Copyright</t>
  </si>
  <si>
    <t>http://rightsstatements.org/vocab/InC/1.0/</t>
  </si>
  <si>
    <t>volunteers_2002-11</t>
  </si>
  <si>
    <t>Tennessee Volunteers magazine, November 2002</t>
  </si>
  <si>
    <t>The First Word - Thornton Athletics Student Life Center - News from the VASF - Former Vol Makes Gift - Where are the Vols Headed? - Last Time Out - Offensive line finding a way to get it done - Wade Orr returns to Vols after impressive summer - Vols' secondary up to the challenge - Brooke Novak - Marketing Blitz - Corporate Partnership Spotlight - Smokey competing for national honors - Collegiate Club - Lettermen's News - Whatever Happened To - In the Spirit of Tennessee - The Last Word - Tennessee Scoreboard</t>
  </si>
  <si>
    <t>November 2002</t>
  </si>
  <si>
    <t>42 pages</t>
  </si>
  <si>
    <t>volunteers_2002-12</t>
  </si>
  <si>
    <t>Tennessee Volunteers magazine, December 2002</t>
  </si>
  <si>
    <t>The First Word - STEP UP! - News from the VASF - Raising the Bar - Lettermen's News - Bloodlines Begin with the Feet - Last Time Out - Defensive Line: Anchoring the Vols' Defense - Tennessee's Golf Teams Close the Fall Season in Style - Marketing Blitz - Corporate Partnership Spotlight - Cross Country Teams Sweep Region - Thornton Athletics Student Life Center - In the Spirit of Tennessee - The Last Word - Tennessee Scoreboard</t>
  </si>
  <si>
    <t>December 2002</t>
  </si>
  <si>
    <t>40 pages</t>
  </si>
  <si>
    <t>Cross Country</t>
  </si>
  <si>
    <t>Golf</t>
  </si>
  <si>
    <t>Soccer</t>
  </si>
  <si>
    <t>volunteers_2003-01</t>
  </si>
  <si>
    <t>Tennessee Volunteers magazine, January 2003</t>
  </si>
  <si>
    <t>The First Word - Vols Sweep in Cuba - News from the VASF - VASF Annual Campaign - College Football Hall of Fame - A Tale of Two Spectrums - Thornton Athletics Student Life Center - Swimming and Diving - Marketing Blitz - Corporate Partnership Spotlight - Vols Fall in 35th Peach Bowl Classic - Basketball - In the Spirit of Tennessee - The Last Word - Tennessee Scoreboard</t>
  </si>
  <si>
    <t>January 2003</t>
  </si>
  <si>
    <t>Swimming</t>
  </si>
  <si>
    <t>volunteers_2003-02</t>
  </si>
  <si>
    <t>Tennessee Volunteers magazine, February 2003</t>
  </si>
  <si>
    <t>The First Word - News from the VASF - Lettermen News - Where Are They Now - Thornton Athletics Student Life Center - Football - Basketball - Basketball - Swimming and Diving - Basketball - Marketing Blitz - Corportate Partnership Spotlight - Voice of the Vols - Swimming Family Previews New Facility - Football - 11th Street Garage to Assist University in Parking - The Last Word - Tennessee Scoreboard</t>
  </si>
  <si>
    <t>February 2003</t>
  </si>
  <si>
    <t>volunteers_2003-03</t>
  </si>
  <si>
    <t>Tennessee Volunteers magazine, March 2003</t>
  </si>
  <si>
    <t>The First Word - News from the VASF - Lettermen News - Where Are They Now - Thornton Athletics Student Life Center - Swimming and Diving - Basketball - Vol Staff Spotlight - Marketing Blitz - Corporate Partnership Spotlight - Diamond Notes - Voice of the Lady Vols - In the Spirit of Tennessee - The Last Word - Tennessee Scoreboard</t>
  </si>
  <si>
    <t>March 2003</t>
  </si>
  <si>
    <t>volunteers_2003-04</t>
  </si>
  <si>
    <t>Tennessee Volunteers magazine, April 2003</t>
  </si>
  <si>
    <t>The First Word - News from the VASF - Lettermen News - Where Are They Now - Thornton Athletics Student Life Center - Out in the Community - Softball - Step-Up Campaign - Marketing Blitz - Corporate Partnership Spotlight - Rowing - Basketball - Track &amp; Field - In the Spirit of Tennessee - The Last Word - Tennessee Scoreboard</t>
  </si>
  <si>
    <t>April 2003</t>
  </si>
  <si>
    <t>36 pages</t>
  </si>
  <si>
    <t>Track and field &amp; Field</t>
  </si>
  <si>
    <t>Rowing</t>
  </si>
  <si>
    <t>Softball</t>
  </si>
  <si>
    <t>volunteers_2003-05</t>
  </si>
  <si>
    <t>Tennessee Volunteers magazine, May 2003</t>
  </si>
  <si>
    <t>The First Word - The NFL Draft - News from the VASF - Lettermen News - Thornton Athletics Student Life Center - VASF Fund Drive - Baseball - STEP UP Campaign Update - Johnny Majors Honored with Robert R. Neyland Memorial Trophy - Marketing Blitz - Corporate Partnership Spotlight - Basketball - Golf - In the Spirit of Tennessee - The Last Word - Tennessee Scoreboard</t>
  </si>
  <si>
    <t>May 2003</t>
  </si>
  <si>
    <t>Baseball</t>
  </si>
  <si>
    <t>volunteers_2003-06</t>
  </si>
  <si>
    <t>Tennessee Volunteers magazine, June 2003</t>
  </si>
  <si>
    <t>The First Word - News from the VASF - Contributor Spotlight - Lettermen News - In the Community - Thornton Athletics Student Life Center - Coca-Cola Big Orange Caravan - Track &amp; Field - Adidas Partners in Sports Program - Marketing Blitz - Corporate Partnership Spotlight - Tennis - Golf - In the Spirit of Tennessee - The Last Word - Tennessee Scoreboard</t>
  </si>
  <si>
    <t>June 2003</t>
  </si>
  <si>
    <t>Tennis</t>
  </si>
  <si>
    <t>volunteers_2003-08</t>
  </si>
  <si>
    <t>Tennessee Volunteers magazine, August 2003</t>
  </si>
  <si>
    <t>The First Word - Howard Family Honored - What Ever Happened To Bubba Miller? - VASF News - Former Vols Spotlight - Lettermen News - Basketball Scholarship Announced - Thornton Center - Marketing Blitz - Corporate Sponsorship - Academics and Community - Tailgating - Pre-Game Showcase - The Last Word - Tennessee Scoreboard</t>
  </si>
  <si>
    <t>August 2003</t>
  </si>
  <si>
    <t>48 pages</t>
  </si>
  <si>
    <t>volunteers_2003-10</t>
  </si>
  <si>
    <t>Tennessee Volunteers magazine, October 2003</t>
  </si>
  <si>
    <t>The First Word - Athletic Spotlight - 25 Millionth Fan Contest - Lettermen's Club - STEP UP Campaign - STEP UP Campaign - CHAMPS/Life Skills - Marketing Blitz - Volleyball - Women's Golf - Corporate Partnership - Men's Cross Country Preview - Men's Basketball Preview - Women's Cross Country - Meet Your New VASF Staff - The Last Word</t>
  </si>
  <si>
    <t>October 2003</t>
  </si>
  <si>
    <t>volunteers_2003-11</t>
  </si>
  <si>
    <t>Tennessee Volunteers magazine, November 2003</t>
  </si>
  <si>
    <t>The First Word - Alma Mater Turns 75 This Season - CHAMPS - Lettermen News - VASF Happenings - Alabama Retrospective - Golf Highlights - Corporate Partner Spotlight - The Last Word - Tennessee Scoreboard</t>
  </si>
  <si>
    <t>November 2003</t>
  </si>
  <si>
    <t>volunteers_2003-12</t>
  </si>
  <si>
    <t>Tennessee Volunteers magazine, December 2003</t>
  </si>
  <si>
    <t>The First Word - News from the VASF - Lettermen News - Thornton Athletics Student Life Center - Basketball Signees - Lady Vol Season Preview - Marketing Blitz - Corporate Partnership Spotlight - Lady Vol Soccer - The Last Word - Tennessee Scoreboard</t>
  </si>
  <si>
    <t>December 2003</t>
  </si>
  <si>
    <t>volunteers_2004-01</t>
  </si>
  <si>
    <t>Tennessee Volunteers magazine, January 2004</t>
  </si>
  <si>
    <t>The First Word - News from the VASF - Lettermen News - Hoops Profile - Thornton Athletics Student Life Center - Player Profile - Marketing Blitz - Corporate Partnership Spotlight - In the Spirit of Tennessee - The Last Word - Tennessee Scoreboard</t>
  </si>
  <si>
    <t>January 2004</t>
  </si>
  <si>
    <t>volunteers_2004-02</t>
  </si>
  <si>
    <t>Tennessee Volunteers magazine, February 2004</t>
  </si>
  <si>
    <t>The First Word - Big Orange Fan Receptions - Lettermen News - VASF News and Happenings - Thornton Athletics Student Life Center - Swimming &amp; Diving - Basketball - Football - Marketing Blitz - Corporate Partnership Spotlight - Lady Vol Spotlight - Staff Spotlight - In the Spirit of Tennessee - The Last Word - Tennessee Scoreboard</t>
  </si>
  <si>
    <t>February 2004</t>
  </si>
  <si>
    <t>volunteers_2004-06</t>
  </si>
  <si>
    <t>Tennessee Volunteers magazine, June 2004</t>
  </si>
  <si>
    <t>The First Word - Fathers and Sons in Tennessee Football History - "Hounds on the Town" - Behind the Byline - A Man of Faith Leads the Vols - Where Are They Now? - Enjoying The Games - Lady Vols Honored - A Look Back at Joe Johnson - Mayfield Dairy and Tennessee Athletics - CHAMPS Corner - The Last Word - Tennessee Scoreboard</t>
  </si>
  <si>
    <t>June 2004</t>
  </si>
  <si>
    <t>volunteers_2004-07</t>
  </si>
  <si>
    <t>Tennessee Volunteers magazine, July 2004</t>
  </si>
  <si>
    <t>The First Word - New Seating Options for Lady Vols Basketball Games. - Joan Cronan Honored by NACDA - Baseball Vols Finish Season at NCAA Regional - Where Are They Now? - Pre-Game Faculty Showcase - New Faculty Rep Named - VASF Fund Drive Workers Recognized - Advance Auto Parts and Tennessee Athletics - CHAMPS Corner - Compliance Corner - The Last Word - Tennessee Scoreboard</t>
  </si>
  <si>
    <t>July 2004</t>
  </si>
  <si>
    <t>volunteers_2004-08</t>
  </si>
  <si>
    <t>Tennessee Volunteers magazine, August 2004</t>
  </si>
  <si>
    <t>The First Word - Chairback Seats Available for Season Ticket Holders in 2004 - A New Head Man for the University of Tennessee - New Life for an Old Stadium for the next 75 Years - Bertelkamps Newest Nathan Dougherty Society Members - Redemption a Good Feeling for Cindy Noble Hauserman - "Tennessee Athletics Means So Much To So Many" - Lettermen's Reunion Weekend Set Sept. 5 Around UNLV Weekend - Leader of the Band - Whitfords Honored as Youthful Donors - Tennessee Football Lettermen's Reunion - CHAMPS Corner - Compliance Corner - The Last Word - Tennessee Scoreboard</t>
  </si>
  <si>
    <t>August 2004</t>
  </si>
  <si>
    <t>volunteers_2004-10</t>
  </si>
  <si>
    <t>Tennessee Volunteers magazine, October 2004</t>
  </si>
  <si>
    <t>The first word - Locker room dedication - Kozar book celebrates Neyland's contribution to the game of football - Jason Respert - Smokey IX makes his debut - The lettermen's "T" club - VASF day 2004 - Lettermen return home to open season - The high five - Kevin Burnett - CHAMPS corner - Compliance corner - The last word - Tennessee scoreboard</t>
  </si>
  <si>
    <t>October 2004</t>
  </si>
  <si>
    <t>volunteers_vol10-no24</t>
  </si>
  <si>
    <t>Tennessee Volunteers magazine, May/June 1989</t>
  </si>
  <si>
    <t>Tennessee Volunteers magazine/Smokey's Tale</t>
  </si>
  <si>
    <t>The First Word - Wade Houston: Beginning the Job - Nothing to Kick About - Eric Still: Leader On and Off the Field - The Last Time Out - The Reese Years: Setting the Direction - The Last Word</t>
  </si>
  <si>
    <t>May/June 1989</t>
  </si>
  <si>
    <t>volunteers_vol10-no6</t>
  </si>
  <si>
    <t>Tennessee Volunteers magazine, October 1988</t>
  </si>
  <si>
    <t>The First Word - "Voice of the Vol" - In the Wings - Neyland Stadium Cloned - Taking Stewardship - The Last Word</t>
  </si>
  <si>
    <t>October 1988</t>
  </si>
  <si>
    <t>volunteers_vol11-no22</t>
  </si>
  <si>
    <t>Tennessee Volunteers magazine, April 1990</t>
  </si>
  <si>
    <t>Volunteers magazine/Smokey's Tale Hall Of Fame Special Issue</t>
  </si>
  <si>
    <t>Vickers Tops List Of Scholar Athletes - Schembechler To Recieve 1990 Neyland Award - Elam Earns 1990 Distinguished American Award - Amatuer Football Award Winners - 1989 Tennessee Volunteer Football Awards - Spring Practice Prepares Vols For 1990</t>
  </si>
  <si>
    <t>April 1990</t>
  </si>
  <si>
    <t>6 pages</t>
  </si>
  <si>
    <t>volunteers_vol11-no23</t>
  </si>
  <si>
    <t>Tennessee Volunteers magazine, May 1990</t>
  </si>
  <si>
    <t>Volunteers magazine/Smokey's Tale Special Spring Sports Issue</t>
  </si>
  <si>
    <t>Spring Review - Honors Come to DePalmer - Basketball Award Winners Named - 1990 Academic Achievement Awards - Student-Athletes Honored by Chancellor - Graduation Notes</t>
  </si>
  <si>
    <t>May 1990</t>
  </si>
  <si>
    <t>volunteers_vol11-no27</t>
  </si>
  <si>
    <t>Tennessee Volunteers magazine, March/April 1990</t>
  </si>
  <si>
    <t>The First Word - Meeting the Challenge - Hall of Famer No. 14 - Looking to the 1900s - Strength for the Battle - The Last Word</t>
  </si>
  <si>
    <t>March/April 1990</t>
  </si>
  <si>
    <t>volunteers_vol12-no13</t>
  </si>
  <si>
    <t>Tennessee Volunteers magazine, December 3, 1990</t>
  </si>
  <si>
    <t>Smokey's Tale News from the Tennessee Volunteers</t>
  </si>
  <si>
    <t>How Sweet It Is! Sugar Vols Blast Vandy 49-20 - This Week In Big Orange Country</t>
  </si>
  <si>
    <t>December 3, 1990</t>
  </si>
  <si>
    <t>volunteers_vol12-no14</t>
  </si>
  <si>
    <t>Tennessee Volunteers magazine, December 19, 1990</t>
  </si>
  <si>
    <t>New Orleans Bound! 1991 Sugar Bowl Preview - How They Got Here: - 1990 Season Statistics</t>
  </si>
  <si>
    <t>December 19, 1990</t>
  </si>
  <si>
    <t>volunteers_vol12-no15</t>
  </si>
  <si>
    <t>Tennessee Volunteers magazine, January 8, 1991</t>
  </si>
  <si>
    <t>Happy 1991! Vols Upend Cavs 23-22 - This Week In Big Orange Country</t>
  </si>
  <si>
    <t>January 8, 1991</t>
  </si>
  <si>
    <t>volunteers_vol12-no16</t>
  </si>
  <si>
    <t>Tennessee Volunteers magazine, February 5, 1991</t>
  </si>
  <si>
    <t>1991 Winter Sports Report - This Week In Big Orange Country</t>
  </si>
  <si>
    <t>February 5, 1991</t>
  </si>
  <si>
    <t>volunteers_vol12-no17</t>
  </si>
  <si>
    <t>Tennessee Volunteers magazine, February 25, 1991</t>
  </si>
  <si>
    <t>1991 Winter Sports Report - Vol Hoops Game By Game - Wiseman, Goodson Honred - Tennis Vols 3rd at Louisville Tournament - Swimmers Second in SEC Meet - 1991 Football Signees</t>
  </si>
  <si>
    <t>February 25, 1991</t>
  </si>
  <si>
    <t>volunteers_vol12-no18</t>
  </si>
  <si>
    <t>Tennessee Volunteers magazine, March 13, 1991</t>
  </si>
  <si>
    <t>1991 SEC Tournament Report - Vol Hoops Game By Game - This Week In Big Orange Country</t>
  </si>
  <si>
    <t>March 13, 1991</t>
  </si>
  <si>
    <t>volunteers_vol12-no20</t>
  </si>
  <si>
    <t>Tennessee Volunteers magazine, April 23, 1991</t>
  </si>
  <si>
    <t>Spring Practice And Spring Sports Review - Academic Achievement Awards - News And Notes From VASF And UTAD</t>
  </si>
  <si>
    <t>April 23, 1991</t>
  </si>
  <si>
    <t>volunteers_vol12-no21</t>
  </si>
  <si>
    <t>Tennessee Volunteers magazine, June 10, 1991</t>
  </si>
  <si>
    <t>Number 1!! Track Team NCAA Champs! - UTAD Names And Faces - VASF And UTAD Notes</t>
  </si>
  <si>
    <t>June 10, 1991</t>
  </si>
  <si>
    <t>Track and field</t>
  </si>
  <si>
    <t>volunteers_vol12-no24</t>
  </si>
  <si>
    <t>Tennessee Volunteers magazine, August 1991</t>
  </si>
  <si>
    <t>Volunteers magazine: news from Tennessee</t>
  </si>
  <si>
    <t>The First Word - In Search of "Somewhere" - Taking the next Step Upward - Pre-Game Show-case: Campus Spotlight - "Dear General Neyland" - "Mission Accomplished" - Honoring the Graduates - The Last Word</t>
  </si>
  <si>
    <t>August 1991</t>
  </si>
  <si>
    <t>volunteers_vol13-no16</t>
  </si>
  <si>
    <t>Tennessee Volunteers magazine, February 1992</t>
  </si>
  <si>
    <t>The First Word - Meeting the Challenge - Hitting the Floor, Hitting the Books - "The Fearless Five" - Overcoming the Odds - "The Miracle at South Bend" - The Last Word</t>
  </si>
  <si>
    <t>February 1992</t>
  </si>
  <si>
    <t>volunteers_vol13-no21</t>
  </si>
  <si>
    <t>Tennessee Volunteers magazine, May 1992</t>
  </si>
  <si>
    <t>The First Word - A Look at UTAD - Double Image - Old Hand Up Front - Changing of the Guard (and Tackles, Quarterback, Defensive Ends, Linebackers, etc.) - The Last Word</t>
  </si>
  <si>
    <t>May 1992</t>
  </si>
  <si>
    <t>volunteers_vol13-no23</t>
  </si>
  <si>
    <t>Tennessee Volunteers magazine, August 1993</t>
  </si>
  <si>
    <t>The First Word - Carrying the Torch - Pre-Game Campus Showcase: ACT IV - Cutting a Rug with the Vols - Escape from the Phillipines - The Last Word</t>
  </si>
  <si>
    <t>August 1993</t>
  </si>
  <si>
    <t>volunteers_vol13-no24</t>
  </si>
  <si>
    <t>Tennessee Volunteers magazine, August 1992</t>
  </si>
  <si>
    <t>The First Word - Moving to the Top - The Silver Anniversary - New Faces on the Schedule - Liberal Arts Showcase - Walking on, Making It Happen - Competing at the Top - The Last Word</t>
  </si>
  <si>
    <t>August 1992</t>
  </si>
  <si>
    <t>volunteers_vol13-no7</t>
  </si>
  <si>
    <t>Tennessee Volunteers magazine, November 1991</t>
  </si>
  <si>
    <t>The First Word - The Subject Was Mentors - 15 To Remember - Making Vol Fans Proud - Taking the Reins - Making Things Happen - The Last Word</t>
  </si>
  <si>
    <t>November 1991</t>
  </si>
  <si>
    <t>volunteers_vol14-no10</t>
  </si>
  <si>
    <t>Tennessee Volunteers magazine, November 16, 1992</t>
  </si>
  <si>
    <t>Smokey's Tale News From the Tennessee Volunteers</t>
  </si>
  <si>
    <t>Vol Take Memphis State, Kentucky Next Up This Week! - Tennessee Statistics vs. Memphis State - This Week In Big Orange Country - Memphis State Game</t>
  </si>
  <si>
    <t>November 16, 1992</t>
  </si>
  <si>
    <t>volunteers_vol14-no11</t>
  </si>
  <si>
    <t>Tennessee Volunteers magazine, November 23, 1992</t>
  </si>
  <si>
    <t>Vols Roll By Kentucky in Home Finale, Vanderbilt Next Up This Week! - Tennessee Statistics vs. Kentucky - This Week In Big Orange Country - Kentucky Game</t>
  </si>
  <si>
    <t>November 23, 1992</t>
  </si>
  <si>
    <t>volunteers_vol14-no12</t>
  </si>
  <si>
    <t>Tennessee Volunteers magazine, November 30, 1992</t>
  </si>
  <si>
    <t>Tennessee Edges Vanderbilt With Fourth Quarter Rally; Fulmer Named Head Coach - Tennessee Statistics vs. Vanderbilt - This Week In Big Orange Country - Vanderbilt Game</t>
  </si>
  <si>
    <t>November 30, 1992</t>
  </si>
  <si>
    <t>volunteers_vol14-no13</t>
  </si>
  <si>
    <t>Tennessee Volunteers magazine, January 4, 1993</t>
  </si>
  <si>
    <t>Happy New Year! Vols Down BC, SEC Hoops Action Begins - Tennessee Statistics vs. Boston College - This Week In Big Orange Country - Boston College Game</t>
  </si>
  <si>
    <t>January 4, 1993</t>
  </si>
  <si>
    <t>volunteers_vol14-no14</t>
  </si>
  <si>
    <t>Tennessee Volunteers magazine, January 19, 1993</t>
  </si>
  <si>
    <t>Vols Earn NCAA and NFL Honors, Hoops Action Continues - This Week In Big Orange Country - Wade Houston's Court Report</t>
  </si>
  <si>
    <t>January 19, 1993</t>
  </si>
  <si>
    <t>volunteers_vol14-no16</t>
  </si>
  <si>
    <t>Tennessee Volunteers magazine, February 1993</t>
  </si>
  <si>
    <t>The First Word - 1992: A Season in Review - Allan Houston: The Last Hurrah - The Great Scorers - "Doc Julian" - Stars, Stories and Winning - The Last Word</t>
  </si>
  <si>
    <t>February 1993</t>
  </si>
  <si>
    <t>volunteers_vol14-no2</t>
  </si>
  <si>
    <t>Tennessee Volunteers magazine, September 14, 1992</t>
  </si>
  <si>
    <t>Vols Now 2-0, Win Between Hedges Sets Up Clash with Gators - Tennessee Statistics vs. Georgia - This Week In Big Orange Country - Georgia Game</t>
  </si>
  <si>
    <t>September 14, 1992</t>
  </si>
  <si>
    <t>volunteers_vol14-no21</t>
  </si>
  <si>
    <t>Tennessee Volunteers magazine, May 1993</t>
  </si>
  <si>
    <t>The First Word - Taking Stewardship - A Day in the Life: The Journey Continues - Looking to 1993 - "Voice of the Vol" - The Last Word</t>
  </si>
  <si>
    <t>May 1993</t>
  </si>
  <si>
    <t>volunteers_vol14-no3</t>
  </si>
  <si>
    <t>Tennessee Volunteers magazine, September 21, 1992</t>
  </si>
  <si>
    <t>Vols Now 3-0, Win Against Gators Sets Up Homecoming '92 Clash With Cincinati! - Tennessee Statistics vs. Florida - This Week In Big Orange Country - Florida Game</t>
  </si>
  <si>
    <t>September 21, 1992</t>
  </si>
  <si>
    <t>volunteers_vol14-no5</t>
  </si>
  <si>
    <t>Tennessee Volunteers magazine, October 5, 1992</t>
  </si>
  <si>
    <t>Vols Now 5-0, Shutout Win Over LSU Sets Up Clash With Arkansas in Knoxville! - Tennessee Statistics vs. LSU - This Week In Big Orange Country - LSU Game</t>
  </si>
  <si>
    <t>October 5, 1992</t>
  </si>
  <si>
    <t>volunteers_vol14-no6</t>
  </si>
  <si>
    <t>Tennessee Volunteers magazine, October 13, 1992</t>
  </si>
  <si>
    <t>Vols Now 5-1 After Last Second Loss to Arkansas, Alabama Up Next! - Tennessee Statistics vs. Arkansas - This Week In Big Orange Country - Arkansas Game</t>
  </si>
  <si>
    <t>October 13, 1992</t>
  </si>
  <si>
    <t>volunteers_vol14-no8</t>
  </si>
  <si>
    <t>Tennessee Volunteers magazine, December 1992</t>
  </si>
  <si>
    <t>The First Word - Father and Son, the Tide and the Vols - Building on the Tradition - Building on Success, Reaching for Higher Ground - The Neyland Legacy - Stars, Stories and Winning - The Last Word</t>
  </si>
  <si>
    <t>December 1992</t>
  </si>
  <si>
    <t>volunteers_vol14-no9</t>
  </si>
  <si>
    <t>Tennessee Volunteers magazine, November 2, 1992</t>
  </si>
  <si>
    <t>South Carolina Edges Vols, Memphis State Next Up! - Tennessee Statistics vs. South Carolina - This Week In Big Orange Country - South Carolina Game</t>
  </si>
  <si>
    <t>November 2, 1992</t>
  </si>
  <si>
    <t>volunteers_vol15-no18</t>
  </si>
  <si>
    <t>Tennessee Volunteers magazine, May 1994</t>
  </si>
  <si>
    <t>The First Word - Through the Years on Artificial Turf - Getting His Kicks In - A Lifetime of Service - Meeting the Challenge - Looking Ahead to 1994 - The Last Word</t>
  </si>
  <si>
    <t>May 1994</t>
  </si>
  <si>
    <t>volunteers_vol15-no21</t>
  </si>
  <si>
    <t>Tennessee Volunteers magazine, August 1994</t>
  </si>
  <si>
    <t>The First Word - "The Crossville Comet" - "Putting Down the Turf" - Jerry For the Offense - Liberal Arts and Vol Football: What To Do Before the Game. - The Upsets of 1959 - The Last Word</t>
  </si>
  <si>
    <t>August 1994</t>
  </si>
  <si>
    <t>volunteers_vol15-no9</t>
  </si>
  <si>
    <t>Tennessee Volunteers magazine, November 1993</t>
  </si>
  <si>
    <t>On the Road, Again - Hitting the Mark - Backing the Line, Becoming a Legend - The Long-Awaited Arrival - November Through the Years - Bringing You the Game - The Second Chance - The Last Word</t>
  </si>
  <si>
    <t>November 1993</t>
  </si>
  <si>
    <t>volunteers_vol19-no18</t>
  </si>
  <si>
    <t>Tennessee Volunteers magazine, April 15, 1997</t>
  </si>
  <si>
    <t>Smokey's tale Volunteers magazine: news from the Tennessee Volunteers</t>
  </si>
  <si>
    <t>NCAA Champs For the Fifth Time! - Jerry Green Named Tennessee's New Head Basketball Coach! - Lady Vols Bring Home Championship No. 5 A Conversation with the Coach - Vols Take 2 At Ole Miss - Ben Byrd On The Vols "A Look At Spring Football Games Past" - This Week In Big Orange Country - VASF News And Notes - "Condredge Holloway"</t>
  </si>
  <si>
    <t>April 15, 1997</t>
  </si>
  <si>
    <t>16 pages</t>
  </si>
  <si>
    <t>volunteers_vol19-no19</t>
  </si>
  <si>
    <t>Tennessee Volunteers magazine, April 28, 1997</t>
  </si>
  <si>
    <t>Orange and White Game Ends Spring Practice! - Spotlight On Tennessee Football - Orange And White Game 1997 - Remembering The Diamond Vols Of 1970 - This Week In Big Orange Country - VASF News And Notes - The Sea Ray Relays "Spring Tradition" - Season Tickets And Lots Of Good Times</t>
  </si>
  <si>
    <t>April 28, 1997</t>
  </si>
  <si>
    <t>24 pages</t>
  </si>
  <si>
    <t>volunteers_vol19-no20</t>
  </si>
  <si>
    <t>Tennessee Volunteers magazine, May 19, 1997</t>
  </si>
  <si>
    <t>Doing What It Takes! - Tournament Time On Diamond! - Jim Haslam And The Class Of 1997 - The Vol Radio Network! - This Week In Big Orange Country - VASF News And Notes - "In Memoriam: Jim McDonald"</t>
  </si>
  <si>
    <t>May 19, 1997</t>
  </si>
  <si>
    <t>volunteers_vol19-no21</t>
  </si>
  <si>
    <t>Tennessee Volunteers magazine, June 2, 1997</t>
  </si>
  <si>
    <t>Profile on Vol Linksters! - Manning Earns Cum Laude Honors - Vol Linksters In Chicago - Vols End Season In Stillwater - "Minor Sports"-No Longer Minor! - This Week In Big Orange Country - VASF News And Notes - The 30th Anniversary</t>
  </si>
  <si>
    <t>June 2, 1997</t>
  </si>
  <si>
    <t>volunteers_vol19-no22</t>
  </si>
  <si>
    <t>Tennessee Volunteers magazine, June 23, 1997</t>
  </si>
  <si>
    <t>A Year In Review! - Ben Byrd On The Vols How Vol Sports Developed - This Week In Big Orange Country - VASF News And Notes - One Of The Best</t>
  </si>
  <si>
    <t>June 23, 1997</t>
  </si>
  <si>
    <t>volunteers_vol19-no23</t>
  </si>
  <si>
    <t>Tennessee Volunteers magazine, July 15, 1997</t>
  </si>
  <si>
    <t>Preview with a Review! - A Look At The Vol Opponents - Spotlight On The Tennessee Track &amp; Field Teams - Good Things In Athletics - Ben Byrd On The Vols The Vol Gridiron-Where It All Began - This Week In Big Orange Country - VASF News And Notes - Bo Shafer</t>
  </si>
  <si>
    <t>July 15, 1997</t>
  </si>
  <si>
    <t>volunteers_vol19-no24</t>
  </si>
  <si>
    <t>Tennessee Volunteers magazine, August 8, 1997</t>
  </si>
  <si>
    <t>Getting Ready for the Season! - UT Hosts Children's Amputee Camp - Ben Byrd On The Vols A Look At The Archrivals - This Week In Big Orange Country - VASF News And Notes - A Memorial Tribute to Tim Kerin November 6, 1947-August 3, 1992</t>
  </si>
  <si>
    <t>August 8, 1997</t>
  </si>
  <si>
    <t>volunteers_vol19-no25</t>
  </si>
  <si>
    <t>Tennessee Volunteers magazine, August 21, 1997</t>
  </si>
  <si>
    <t>The Graduates: Little, Manning Lead Vols In 1997! - Preseason Media Conference, August 9, 1997 - Ben Byrd On The Vols A Look At Season Openers - This Week In Big Orange Country - VASF News And Notes - New Leader Of The Band - A Look Back 30 Years</t>
  </si>
  <si>
    <t>August 21, 1997</t>
  </si>
  <si>
    <t>volunteers_vol19-no4</t>
  </si>
  <si>
    <t>Tennessee Volunteers magazine, October 8, 1996</t>
  </si>
  <si>
    <t>Making His Dreams Come True! - Third Quarter Blitz Lifts Vols! - Mississippi Game - Ben Byrd On The Vols - This Week In Big Orange Country - VASF News And Notes - "An Orange And White Mother"</t>
  </si>
  <si>
    <t>October 8, 1996</t>
  </si>
  <si>
    <t>volunteers_vol19-no5</t>
  </si>
  <si>
    <t>Tennessee Volunteers magazine, October 15, 1996</t>
  </si>
  <si>
    <t>Making His Impact! - Vols Get By Georgia 29-17! - Georgia Game - Ben Byrd On The Vols - This Week In Big Orange Country - VASF News And Notes - Conversation With The Coach: Part 1</t>
  </si>
  <si>
    <t>October 15, 1996</t>
  </si>
  <si>
    <t>volunteers_vol20-no1</t>
  </si>
  <si>
    <t>Tennessee Volunteers magazine, September 2, 1997</t>
  </si>
  <si>
    <t>"Big Play Guy" - Vols Take Season Opening Win! - 1997 Texas Tech Game - Ben Byrd On The Vols Tennessee-UCLA 1985: A Look Back - This Week In Big Orange Country - VASF News And Notes - Miller At The Meadowlands</t>
  </si>
  <si>
    <t>September 2, 1997</t>
  </si>
  <si>
    <t>20 pages</t>
  </si>
  <si>
    <t>volunteers_vol20-no10</t>
  </si>
  <si>
    <t>Tennessee Volunteers magazine, November 25, 1997</t>
  </si>
  <si>
    <t>Peerless Is Priceless! - Vols Zoom Past Cats, Retain Beer Barrel! - 1997 Kentucky Game - Ben Byrd On The Vols...A Look At Bobby Dodd - This Week In Big Orange Country - VASF News And Notes - Vols Open Jerry Green Era With A Victory! - Lady Vols Tuneup In Exhibition Win - "Gen. Neyland: The Last Hurrah!"</t>
  </si>
  <si>
    <t>November 25, 1997</t>
  </si>
  <si>
    <t>volunteers_vol20-no11</t>
  </si>
  <si>
    <t>Tennessee Volunteers magazine, December 2, 1997</t>
  </si>
  <si>
    <t>Last Line Of Defense-Cory Gaines - SEC East Champs! Vols 17, Vanderbilt 10 - 1997 Vanderbilt Game - Ben Byrd On The Vols...A Look at Special Bowl Games - Vols Fall To Longhorns In Final Race - This Week In Big Orange Country - VASF News And Notes - Vols Open Season With Four Wins - Set To Defend Title - "A Look Back At Road Trips"</t>
  </si>
  <si>
    <t>December 2, 1997</t>
  </si>
  <si>
    <t>volunteers_vol20-no12</t>
  </si>
  <si>
    <t>Tennessee Volunteers magazine, December 9, 1997</t>
  </si>
  <si>
    <t>Getting It Done-On And Off The Field - SEC Champs! Tennessee 30, Auburn 29 - 1997 SEC Title Game - Ben Byrd On The Vols...A Look Back At Conference Titles - This Week In Big Orange Country - VASF News And Notes - Solidified Their No. 1 Ranking - "The ABC's of Big Orange Basketball"</t>
  </si>
  <si>
    <t>December 9, 1997</t>
  </si>
  <si>
    <t>volunteers_vol20-no13</t>
  </si>
  <si>
    <t>Tennessee Volunteers magazine, December 19, 1997</t>
  </si>
  <si>
    <t>A Tribute to Peyton Manning! - Bowl Game Preparations! - Ben Byrd On The Vols...It All Began In 1902! - VASF News And Notes - The 11-1 SEC Champs For 1997! - Off To Impressive Starts! - "The 1968 Orange Bowl"</t>
  </si>
  <si>
    <t>December 19, 1997</t>
  </si>
  <si>
    <t>volunteers_vol20-no14</t>
  </si>
  <si>
    <t>Tennessee Volunteers magazine, January 6, 1998</t>
  </si>
  <si>
    <t>Nebraska Ends Vol Season with 42-17 Decision at Orange Bowl! - 1998 Orange Bowl - Ben Byrd On The Vols... - Vols Off to a 10-0 Start Heading Into SEC Play - This Week In Big Orange Country - VASF News And Notes - Lady Vols Capture Northern Lights Invitational - "A Look Back At 1997!"</t>
  </si>
  <si>
    <t>January 6, 1998</t>
  </si>
  <si>
    <t>volunteers_vol20-no15</t>
  </si>
  <si>
    <t>Tennessee Volunteers magazine, January 23, 1998</t>
  </si>
  <si>
    <t>Excelling In A New Style Of Play! - Vols Knock Off Ole Miss! - Green's Fast Break...Ole Miss Game 1-17-98 - Ben Byrd On The Vols...Vol Hoops History - This Week In Big Orange Country - Defense! Turning Up The Heat! - VASF News And Notes - "Man On A Mission!"</t>
  </si>
  <si>
    <t>January 23, 1998</t>
  </si>
  <si>
    <t>volunteers_vol20-no16</t>
  </si>
  <si>
    <t>Tennessee Volunteers magazine, February 13, 1998</t>
  </si>
  <si>
    <t>Three New Faces Don Orange And White - Vols Take SEC Games! - February Hoops Action! - Ben Byrd On The Vols...A Look Back At Paul Herman! - Runnin' Like The Wind! - This Week In Big Orange Country - VASF News And Notes - A Look at the Class of 2002! - The 1,000-point Club!</t>
  </si>
  <si>
    <t>February 13, 1998</t>
  </si>
  <si>
    <t>volunteers_vol20-no17</t>
  </si>
  <si>
    <t>Tennessee Volunteers magazine, February 27, 1998</t>
  </si>
  <si>
    <t>Leading The Resurgence! - Roundballers on a Roll! - Hoops Action vs. Vanderbilt! - Ben Byrd On The Vols...Remembering George Cafego! - This Week In Big Orange Country - First Undefeated Regular Season! - VASF News And Notes - On Jersey No. 72 And The Vols!</t>
  </si>
  <si>
    <t>February 27, 1998</t>
  </si>
  <si>
    <t>volunteers_vol20-no18</t>
  </si>
  <si>
    <t>Tennessee Volunteers magazine, March 16, 1998</t>
  </si>
  <si>
    <t>Providing The Foundation! - NCAA Sends Vols To Sacramento! - Thoughts On NCAA Tourney! - Ben Byrd On The Vols...A Look At Bill Gibbs! - With SEC Title Comes No. 1 Seed! - This Week In Big Orange Country - VASF News And Notes - A Memorial To Tom Elam!</t>
  </si>
  <si>
    <t>March 16, 1998</t>
  </si>
  <si>
    <t>volunteers_vol20-no19</t>
  </si>
  <si>
    <t>Tennessee Volunteers magazine, April 1, 1998</t>
  </si>
  <si>
    <t>Vols Drop Overtime Thriller! - Mideast Regional Champs! - A Look at Spring Practice! - Ben Byrd On The Vols...Covering The Games! - Tennessee Bounces Back Against Cats! - This Week In Big Orange Country - VASF News And Notes - Spring Practice 1968!</t>
  </si>
  <si>
    <t>April 1, 1998</t>
  </si>
  <si>
    <t>volunteers_vol20-no2</t>
  </si>
  <si>
    <t>Tennessee Volunteers magazine, September 9, 1997</t>
  </si>
  <si>
    <t>"Stepping Out Of The Shadows" - Vols Hold On For West Coast Win! - 1997 UCLA Game - Ben Byrd On The Vols...On The Vols And Florida - This Week In Big Orange Country - VASF News And Notes - A Couple Of 99-Yard Drives</t>
  </si>
  <si>
    <t>September 9, 1997</t>
  </si>
  <si>
    <t>volunteers_vol20-no20</t>
  </si>
  <si>
    <t>Tennessee Volunteers magazine, April 14, 1998</t>
  </si>
  <si>
    <t>Pat Summit...Conversation with the Coach! - The 1997-98 Season By The Numbers! - First Full Spring Scrimmage! - Ben Byrd On The Vols...Champs, Again! - This Week In Big Orange Country - VASF News And Notes - Jeremy Linn Captures Another NCAA Title! - Vols Most Productive Season in 8 Years! - John Ward Recieves "Lindsey Nelson Award!"</t>
  </si>
  <si>
    <t>April 14, 1998</t>
  </si>
  <si>
    <t>volunteers_vol20-no21</t>
  </si>
  <si>
    <t>Tennessee Volunteers magazine, April 24, 1998</t>
  </si>
  <si>
    <t>Solid At The Plate - Jeff Pickler! - O&amp;W Game Ends Spring Drills! - 1998 Orange and White Game - Ben Byrd On The Vols...QB's Meeting The Challenge! - This Week In Big Orange Country - Position-By-Position At A Glance! - "Big John Tate!"</t>
  </si>
  <si>
    <t>April 24, 1998</t>
  </si>
  <si>
    <t>volunteers_vol20-no22</t>
  </si>
  <si>
    <t>Tennessee Volunteers magazine, May 19, 1998</t>
  </si>
  <si>
    <t>An Interview With The Diamond Vols Outfielder! - Sweep Over Vandy Not Enough! - Comments from 1998 Senior Luncheon - Ben Byrd On The Vols...A Look At Scholar-Athletes! - This Week In Big Orange Country - VASF News And Notes - Dickey To Recieve Toner Award In New York!</t>
  </si>
  <si>
    <t>May 19, 1998</t>
  </si>
  <si>
    <t>volunteers_vol20-no23</t>
  </si>
  <si>
    <t>Tennessee Volunteers magazine, June 9, 1998</t>
  </si>
  <si>
    <t>An Interview With Mark Way And Chad Copenhaver! - 13 Stops in 4 Weeks! - Vols Claim 4th Place In SEC Track! - Ben Byrd On The Vols...A Different View Of The Game - This Week In Big Orange Country - Golf Tourney Ends 1997-1998 Year! - VASF News And Notes - Vol Dance Team Emerges With New Faces! - Kelli White Leads Lady Vols to NCAAs! - John Ward And Bill Anderson!</t>
  </si>
  <si>
    <t>June 9, 1998</t>
  </si>
  <si>
    <t>volunteers_vol20-no24</t>
  </si>
  <si>
    <t>Tennessee Volunteers magazine, June 30, 1998</t>
  </si>
  <si>
    <t>Tennessee Athletics Has Another Outstanding Year! - Ben Byrd On The Vols...Voices Of The Vols! - This Week In Big Orange Country - Most Successful Lady Vol Ever - VASF News And Notes - Academic Excellence!</t>
  </si>
  <si>
    <t>June 30, 1998</t>
  </si>
  <si>
    <t>volunteers_vol20-no25</t>
  </si>
  <si>
    <t>Tennessee Volunteers magazine, August 25, 1998</t>
  </si>
  <si>
    <t>A Preview of the 1998 Season! - The Outlook For 1998! - Ben Byrd On The Vols...Gene McEver Forever! - This Week In Big Orange Country - VASF News And Notes - UT Faculty To Speak Each Week! - A Look At The 1998 Team... - On Roy Rodgers, Turning 50 And Summer 1998!</t>
  </si>
  <si>
    <t>August 25, 1998</t>
  </si>
  <si>
    <t>volunteers_vol20-no3</t>
  </si>
  <si>
    <t>Tennessee Volunteers magazine, September 23, 1997</t>
  </si>
  <si>
    <t>Fulfilling A Dream! - Florida Upends Vols - 1997 Florida Game - Ben Byrd On The Vols...Ole Miss Comes Back To Neyland Stadium - This Week In Big Orange Country - VASF News And Notes - 30 Years In The Vol Network Booth</t>
  </si>
  <si>
    <t>September 23, 1997</t>
  </si>
  <si>
    <t>volunteers_vol20-no4</t>
  </si>
  <si>
    <t>Tennessee Volunteers magazine, October 7, 1997</t>
  </si>
  <si>
    <t>It Starts With The Exchange! - Vols Win On Return Home - 1997 Mississippi Game - Ben Byrd On The Vols...A Look At The Georgia Bulldogs - This Week In Big Orange Country - A Look At Cross Country - VASF News And Notes - Quo Vadis (Or Tennessee To Kick Off And Defend The North Goal)</t>
  </si>
  <si>
    <t>October 7, 1997</t>
  </si>
  <si>
    <t>volunteers_vol20-no5</t>
  </si>
  <si>
    <t>Tennessee Volunteers magazine, October 14, 1997</t>
  </si>
  <si>
    <t>Exceeding The Standards! - Vols Dog Georgia, 38-13 - 1997 Georgia Game - Ben Byrd On The Vols...Duel In The Rain - This Week In Big Orange Country - VASF News And Notes - Jack Reynolds</t>
  </si>
  <si>
    <t>October 14, 1997</t>
  </si>
  <si>
    <t>volunteers_vol20-no6</t>
  </si>
  <si>
    <t>Tennessee Volunteers magazine, October 21, 1997</t>
  </si>
  <si>
    <t>It Takes Discipline! - Three In A Row! Vols 38, Alabama 21! - 1997 Alabama Game - Ben Byrd On The Vols..."Blest Be The Tie!" - This Week In Big Orange Country - VASF News And Notes - An Interview With Head Coach Jeremy Green - Seeking Leadership In Youth - The 40 Year Anniversary</t>
  </si>
  <si>
    <t>October 21, 1997</t>
  </si>
  <si>
    <t>volunteers_vol20-no7</t>
  </si>
  <si>
    <t>Tennessee Volunteers magazine, November 4, 1997</t>
  </si>
  <si>
    <t>Overcoming Adversity! - Defense, Defense! Vols Get After South Carolina! - 1997 South Carolina Game - Ben Byrd On The Vols...Hall Of Famer Bowden Wyatt - This Week In Big Orange Country - VASF News And Notes - The McKenzie Foundation... - "The Fans"</t>
  </si>
  <si>
    <t>November 4, 1997</t>
  </si>
  <si>
    <t>volunteers_vol20-no8</t>
  </si>
  <si>
    <t>Tennessee Volunteers magazine, November 11, 1997</t>
  </si>
  <si>
    <t>Finding A Home! - Vols Soar Past Golden Eagles - 1997 Southern Miss Game - Ben Byrd On The Vols...Hall Of Famer Bowden Wyatt - This Week In Big Orange Country - VASF News And Notes - "Academics And Athletics"</t>
  </si>
  <si>
    <t>November 11, 1997</t>
  </si>
  <si>
    <t>volunteers_vol20-no9</t>
  </si>
  <si>
    <t>Tennessee Volunteers magazine, November 18, 1997</t>
  </si>
  <si>
    <t>The (Other) End Of The Line - Whew! Vols Escape Razor-back Trap, Win 30-22 - 1997 Arkansas Game - Ben Byrd On The Vols...The Tennessee-Kentucky Game - This Week In Big Orange Country - VASF News And Notes - Vols Take First Step In Exhibition - Lady Vols Return To White House - Remember November 1972</t>
  </si>
  <si>
    <t>November 18, 1997</t>
  </si>
  <si>
    <t>volunteers_vol21-no1</t>
  </si>
  <si>
    <t>Tennessee Volunteers magazine, September 9, 1998</t>
  </si>
  <si>
    <t>Al Wilson-Playing To Win! - What A Finish! Vols Win 1998 Season Opener, 34-33! - Syracuse Game 1998 - Ben Byrd On The Vols...Special Players Recieved Honor! - This Week In Big Orange Country - VASF &amp; Marketing News - A Look At The 1998 Team... - The 1966 Gator Bowl!</t>
  </si>
  <si>
    <t>September 9, 1998</t>
  </si>
  <si>
    <t>volunteers_vol21-no10</t>
  </si>
  <si>
    <t>Tennessee Volunteers magazine, November 24, 1998</t>
  </si>
  <si>
    <t>Making The Hit-Fred White! - Vols 59, Cats 21...Vols Dominate In Home Finale! - Kentucky Game 1998! - Ben Byrd On The Vols...The Harvey Robinson Story! - This Week In Big Orange Country - VASF &amp; Marketing News - Lady Vols Fall To Purdue 78-68! - A Tribute To Joe Johnson!</t>
  </si>
  <si>
    <t>November 24, 1998</t>
  </si>
  <si>
    <t>volunteers_vol21-no11</t>
  </si>
  <si>
    <t>Tennessee Volunteers magazine, December 1, 1998</t>
  </si>
  <si>
    <t>Cedrick Wilson-Coming Into His Own! - Vols 41, Vanderbilt 0...First Shutout Since 1995! - 1998 Vanderbilt Game! - Ben Byrd On The Vols...Colonel Bill Britton - This Week In Big Orange Country - VASF &amp; Marketing News - A Look Back 35 Years</t>
  </si>
  <si>
    <t>December 1, 1998</t>
  </si>
  <si>
    <t>volunteers_vol21-no12</t>
  </si>
  <si>
    <t>Tennessee Volunteers magazine, December 8, 1998</t>
  </si>
  <si>
    <t>Taking The Helm-Tee Martin! - Vols 24, Miss. State 14-Vols Repeat, Fiesta Bowl Bound - SEC Championship Game - Ben Byrd On The Vols...Big Jim McDonald - This Week In Big Orange Country - VASF &amp; Marketing News - Johnny Mills: Still On Top</t>
  </si>
  <si>
    <t>December 8, 1998</t>
  </si>
  <si>
    <t>volunteers_vol21-no13</t>
  </si>
  <si>
    <t>Tennessee Volunteers magazine, December 18, 1998</t>
  </si>
  <si>
    <t>First Undefeated Season Since 1956 - Thoughts on the Season - Ben Byrd On The Vols...General Neyland And Bowl Games - VASF &amp; Marketing News - Notes on the 1998 Season - A Christmas Remembrance By Lindsey Nelson</t>
  </si>
  <si>
    <t>December 18, 1998</t>
  </si>
  <si>
    <t>volunteers_vol21-no14</t>
  </si>
  <si>
    <t>Tennessee Volunteers magazine, January 12, 1999</t>
  </si>
  <si>
    <t>Vols Claim National Crown In 23-16 Victory - Tostitos Fiesta Bowl - Ben Byrd On The Vols-The Bowls Have Come A Long Way - This Week In Big Orange Country - VASF &amp; Marketing News - Looking Back...Gene Tormohlen</t>
  </si>
  <si>
    <t>January 12, 1999</t>
  </si>
  <si>
    <t>volunteers_vol21-no15</t>
  </si>
  <si>
    <t>Tennessee Volunteers magazine, January 22, 1999</t>
  </si>
  <si>
    <t>The Trophy Is Clad N Big Orange - National Champions!!!!! - Ben Byrd On The Vols-Two Decades After Ernie And Bernie - Tennessee News And Notes - VASF &amp; Marketing News - This Week In Big Orange Country - Vols Top Cats In Rupp - Huskies Home Streak Snapped at 50 - Looking Back: The 1978-79 Hoops Season</t>
  </si>
  <si>
    <t>January 22, 1999</t>
  </si>
  <si>
    <t>volunteers_vol21-no16</t>
  </si>
  <si>
    <t>Tennessee Volunteers magazine, February 10, 1999</t>
  </si>
  <si>
    <t>The Last Call For Four Vol Seniors - Men's race still unsettled; Women set for Tourney - 1998-99 Hoops - Ben Byrd On The Vols...Reflections On Old Times - This Week In Big Orange Country - VASF &amp; Marketing News - Over 40,000 Attend Despite Rain - A Look At The Future Vols - Another National Championship?</t>
  </si>
  <si>
    <t>February 10, 1999</t>
  </si>
  <si>
    <t>volunteers_vol21-no17</t>
  </si>
  <si>
    <t>Tennessee Volunteers magazine, February 24, 1999</t>
  </si>
  <si>
    <t>Isiah Victor-Showing What He Can Do - Vols pull into tie in SEC East with win - February Hoops - Ben Byrd On The Vols...Ron Widby Did It All - This Week In Big Orange Country - VASF &amp; Marketing News - Seniors Win In Home Finale 89-53 - Vols Take 2-Out-Of-3 To Open Season - Sam Bartholomew And The 1939 Team</t>
  </si>
  <si>
    <t>February 24, 1999</t>
  </si>
  <si>
    <t>volunteers_vol21-no18</t>
  </si>
  <si>
    <t>Tennessee Volunteers magazine, March 11, 1999</t>
  </si>
  <si>
    <t>Vincent Yarbrough-Making An Impact - Vols Claim No. 4 NCAA Seed - Thoughts on NCAA and SEC - Ben Byrd On The Vols...Remembering Emmett Lowery - This Week In Big Orange Country - VASF &amp; Marketing News - Women Sweep Through Tourney - Vols Still Looking For Consistency - Legion Field: End Of An Era</t>
  </si>
  <si>
    <t>March 11, 1999</t>
  </si>
  <si>
    <t>volunteers_vol21-no19</t>
  </si>
  <si>
    <t>Tennessee Volunteers magazine, March 31, 1999</t>
  </si>
  <si>
    <t>Vols Prepare To Defend Title - A Few Notes on the 1998-99 Season - Ben Byrd On The Vols...Honoring John Ward - This Week In Big Orange Country - VASF &amp; Marketing News - Duke Ends Tennessee Reign Of Titles - Memories Of Hartsville</t>
  </si>
  <si>
    <t>March 31, 1999</t>
  </si>
  <si>
    <t>volunteers_vol21-no2</t>
  </si>
  <si>
    <t>Tennessee Volunteers magazine, September 22, 1998</t>
  </si>
  <si>
    <t>September 22, 1998</t>
  </si>
  <si>
    <t>volunteers_vol21-no20</t>
  </si>
  <si>
    <t>Tennessee Volunteers magazine, April 14, 1999</t>
  </si>
  <si>
    <t>Letterman news &amp; notes - CHAMPS program - Comments from Thorton dedication - Vol diamond notes - Hound dogs ad - Frame express ad - Ben Byrd / former Vol - Vol news &amp; notes - Steve Kiner newest hall member - Gridworks ad - VASF - Lady Vol news &amp; notes - Softball takes UF series - Danbury mint ad - Faces in Big Orange Country - Last word - Everlasting images ad</t>
  </si>
  <si>
    <t>volunteers_vol21-no21</t>
  </si>
  <si>
    <t>Tennessee Volunteers magazine, April 28, 1999</t>
  </si>
  <si>
    <t>Lettermen news &amp; notes - CHAMPS program - Orange&amp;White Story/199 preview - Coach Phillip Fulmer - Vol network ad - Ben Byrd / former Vol - Tennessee news &amp; notes - This week in Big Orange Country - Bridgepoint marketing ad - VASF - Edsouth ad - Gridworks ad - Frame express ad - Sea Ray Relay Results - Vol baseball - Everlasting images ad - Faces in Big Orange Country - Last word</t>
  </si>
  <si>
    <t>April 28, 1998</t>
  </si>
  <si>
    <t xml:space="preserve">Baseball </t>
  </si>
  <si>
    <t>volunteers_vol21-no22</t>
  </si>
  <si>
    <t>Tennessee Volunteers magazine, May 14, 1999</t>
  </si>
  <si>
    <t>Lettermen news &amp; notes - CHAMPS program - Freshman sprinter Leonard Scott - Gatorade track classic - Diamond Vols wrapup - Frame express ad - Ben Byrd / former Vol - Tennessee news &amp; notes - This week in Big Orange Country - Anderson news ad - VASF / marketing news - Edsouth ad - Gridworks ad - Vol network ad - Faces in Big Orange Country - Last word - Everlasting images ad</t>
  </si>
  <si>
    <t>May 14, 1999</t>
  </si>
  <si>
    <t>volunteers_vol21-no23</t>
  </si>
  <si>
    <t>Tennessee Volunteers magazine, May 27, 1999</t>
  </si>
  <si>
    <t>Lettermen news &amp; notes - CHAMPS program - NCAA tennis tournament results - SEC track &amp; field results - City of Knoxville presentation - Patio ad and Sterling Marlin ad - Ben Byrd / former Vol - Tennessee news &amp; notes - This week in Big Orange Country - Dale's winning edge golf &amp; tennis ad - VASF / marketing news - Diamond results - Football time ad - Frame Express Ad - Summer camp information - Last word - Rocky Top racer ad</t>
  </si>
  <si>
    <t>May 27, 1999</t>
  </si>
  <si>
    <t>volunteers_vol21-no24</t>
  </si>
  <si>
    <t>Tennessee Volunteers magazine, June 25, 1999</t>
  </si>
  <si>
    <r>
      <t xml:space="preserve">Lettermen news &amp; notes - CHAMPS program - Reflections 1998-99 review - </t>
    </r>
    <r>
      <rPr>
        <u/>
        <sz val="10"/>
        <color rgb="FF1155CC"/>
        <rFont val="Arial"/>
      </rPr>
      <t>Sterlingmartin.net</t>
    </r>
    <r>
      <rPr>
        <sz val="10"/>
        <color rgb="FF000000"/>
        <rFont val="Arial"/>
      </rPr>
      <t xml:space="preserve"> ad - Ben Byrd / former Vol - Tennessee news &amp; notes - Tom Pappas - decathalon champion - Dale's winning edge ad - VASF &amp; marketing news - The voice ad - UT patio/matryshka sports ad - UT camps/premier sports ad - Football time in Tennessee ad - Fulmer &amp; Holdsclaw get street names - Frame express ad - Reflections (cont.) &amp; Gridworks ad - The last word - Graphic creations ad</t>
    </r>
  </si>
  <si>
    <t>June 25, 1999</t>
  </si>
  <si>
    <t>Track and Field</t>
  </si>
  <si>
    <t>volunteers_vol21-no25</t>
  </si>
  <si>
    <t>Tennessee Volunteers magazine, August 17, 1999</t>
  </si>
  <si>
    <t>Lettermen news &amp; notes - CHAMPS program - Previewing the 1999 season - Coach Fulmer's comments - Advertising - Ben Byrd / former Vol - Tennessee news &amp; notes - T.W.I.B.O.C. - advertising - Revelation donation - Parking and road problems - Advertising - Advertising - Road construction - Advertising - Advertising - Advertising - Pre-game showcase - Advertising - Advertising - Advertising - Advertising - Advertising - Advertising - The last word</t>
  </si>
  <si>
    <t>August 17, 1999</t>
  </si>
  <si>
    <t>volunteers_vol21-no3</t>
  </si>
  <si>
    <t>Tennessee Volunteers magazine, September 29, 1998</t>
  </si>
  <si>
    <t>September 29, 1998</t>
  </si>
  <si>
    <t>volunteers_vol21-no4</t>
  </si>
  <si>
    <t>Tennessee Volunteers magazine, October 6, 1998</t>
  </si>
  <si>
    <t>October 6, 1998</t>
  </si>
  <si>
    <t>volunteers_vol21-no5</t>
  </si>
  <si>
    <t>Tennessee Volunteers magazine, October 13, 1998</t>
  </si>
  <si>
    <t>October 13, 1998</t>
  </si>
  <si>
    <t>volunteers_vol21-no6</t>
  </si>
  <si>
    <t>Tennessee Volunteers magazine, October 27, 1998</t>
  </si>
  <si>
    <t>October 27, 1998</t>
  </si>
  <si>
    <t>volunteers_vol21-no7</t>
  </si>
  <si>
    <t>Tennessee Volunteers magazine, November 3, 1998</t>
  </si>
  <si>
    <t>November 3, 1998</t>
  </si>
  <si>
    <t>volunteers_vol21-no8</t>
  </si>
  <si>
    <t>Tennessee Volunteers magazine, November 10, 1998</t>
  </si>
  <si>
    <t>November 10, 1998</t>
  </si>
  <si>
    <t>volunteers_vol21-no9</t>
  </si>
  <si>
    <t>Tennessee Volunteers magazine, November 17, 1998</t>
  </si>
  <si>
    <t>November 17, 1998</t>
  </si>
  <si>
    <t>volunteers_vol22-no1</t>
  </si>
  <si>
    <t>Tennessee Volunteers magazine, September 8, 1999</t>
  </si>
  <si>
    <t>Wyoming game - Lettermen news &amp; notes - CHAMPS program - Wyoming game coverage - Coach Fulmer's comments - Advertising - Ben Byrd / former Vol - Tennessee News &amp; notes - T.W.I.B.O.C. - Advertising - VASF &amp; marketing news - Advertising - Faces/advertising - Advertising - Player profile: Spencer Riley - The last word - Advertising</t>
  </si>
  <si>
    <t>September 8, 1999</t>
  </si>
  <si>
    <t>volunteers_vol22-no10</t>
  </si>
  <si>
    <t>Tennessee Volunteers magazine, November 23, 1999</t>
  </si>
  <si>
    <t xml:space="preserve"> Lettermen news &amp; notes - CHAMPS program - Kentucky game coverage - Coach Fulmer's comments - Advertising - Ben Byrd / former Vol - Tennessee news &amp; notes - T.W.I.B.O.C. - Advertising - VASF &amp; marketing news - Dasani village/advertising - Between the lines/advertising - Advertising - Billy Ratliff - Faces/advertising - Men's basketball action - Women's basketball action - Advertising - Advertising - The last word - Advertising</t>
  </si>
  <si>
    <t>November 23, 1999</t>
  </si>
  <si>
    <t>26 pages</t>
  </si>
  <si>
    <t>volunteers_vol22-no11</t>
  </si>
  <si>
    <t>Tennessee Volunteers magazine, December 7, 1999</t>
  </si>
  <si>
    <t>Lettermen news &amp; notes - CHAMPS program - Vanderbilt game coverage - Coach Fulmer's comments - Advertising - Ben Byrd / former Vol - T.W.I.B.O.C. - Advertising - VASF &amp; marketing news - Advertising - Between the lines/advertising - Advertising - Men's basketball - Women's basketball - Between the lines/advertising - The 1899 season - Advertising - Baseball signees - Travis Henry media conference - Advertising - Last word - Advertising</t>
  </si>
  <si>
    <t>December 7, 1999</t>
  </si>
  <si>
    <t>volunteers_vol22-no12</t>
  </si>
  <si>
    <t>Tennessee Volunteers magazine, December 28, 1999</t>
  </si>
  <si>
    <t>Lettermen news &amp; notes - CHAMPS program - 1999 season highlights - Coach Fulmer's comments - Advertising - Ben Byrd / former Vol - Player profile: Doon Grant - T.W.I.B.O.C - Advertising - VASF &amp; marketing news - Between the lines/advertising - Advertising - Men's basketball - Women's basketball - Tennessee depth chart - Fiesta Bowl seating - Nebraska Cornhuskers - Advertising - Advertising - The last word - Advertising</t>
  </si>
  <si>
    <t>December 28, 1999</t>
  </si>
  <si>
    <t>volunteers_vol22-no13</t>
  </si>
  <si>
    <t>Tennessee Volunteers magazine, January 12, 2000</t>
  </si>
  <si>
    <t>Lettermen news &amp; notes - CHAMPS program - Nebraska game coverage 0 Coach Fulmer's comments - Advertising - Ben Byrd / former Vol - T.W.I.B.O.C. - Tennessee news &amp; notes - VASF &amp; marketing news - Advertising - Advertising - Men's basketball - Women's basketball - Advertising - Walter Camp all-century team - Advertising - Advertising - Charles Hathaway - Faces in BOC/advertising - Advertising - The last word - Advertising</t>
  </si>
  <si>
    <t>January 12, 2000</t>
  </si>
  <si>
    <t>28 pages</t>
  </si>
  <si>
    <t>volunteers_vol22-no14</t>
  </si>
  <si>
    <t>Tennessee Volunteers magazine, January 21, 2000</t>
  </si>
  <si>
    <t>Lettermen news &amp; notes - CHAMPS program - Men's basketball - Women's basketball - Coach Green's comments - Advertising - Ben Byrd / former Vol - Tennessee news &amp; notes - Faces in BOC/advertising - VASF &amp; marketing news - Sprint teams bring home honors - What's in a number? - The last word - Back cover</t>
  </si>
  <si>
    <t>January 21, 2000</t>
  </si>
  <si>
    <t>Cheerleading</t>
  </si>
  <si>
    <t>volunteers_vol22-no15</t>
  </si>
  <si>
    <t>Tennessee Volunteers magazine, February 8, 2000</t>
  </si>
  <si>
    <t xml:space="preserve">Lettermen news &amp; notes - CHAMPS program - Men's basketball - Women's basketball - C.J. Black - Coach Green's comments - Advertising - Ben Byrd / former Vol - Tennessee news &amp; notes - Coach Fulmer's on recruiting - Advertising - Recruiting 2000 - VASF &amp; marketing news - Duo captures SEC crown - Advertising - The last word </t>
  </si>
  <si>
    <t>February 8, 2000</t>
  </si>
  <si>
    <t>volunteers_vol22-no16</t>
  </si>
  <si>
    <t>Tennessee Volunteers magazine, February 25, 2000</t>
  </si>
  <si>
    <t>Lettermen news &amp; notes - CHAMPS program - Men's basketball - Vincent Yarbrough - Coach Green's comments - Advertising - Ben Byrd / former Vol - Tennessee news &amp; notes - Faces in Big Orange Country - Advertising - VASF &amp; marketing news - Diamond notes - Women's basketball - The last word</t>
  </si>
  <si>
    <t>February 25, 2000</t>
  </si>
  <si>
    <t>volunteers_vol22-no17</t>
  </si>
  <si>
    <t>Tennessee Volunteers magazine, March 20, 2000</t>
  </si>
  <si>
    <t xml:space="preserve">Lettermen news &amp; notes - CHAMPS program - Men's basketball - Reviewing 1999-2000 hoops - Coach Green's comments - Advertising - Ben Byrd / former Vol - From the clubhouse - Between the lines - Advertising - VASF &amp; marketing notes - Diamond notes - Women's basketball - Tennis - Swimming &amp; diving - Coach Fulmer's comments - Advertising - Football banquet pictures - 2000 Big Orange caravan - Advertising - Tennis: Dr. Robert Barksdale - Track &amp; field - Advertising - Advertising - The last word - Back cover
</t>
  </si>
  <si>
    <t>March 20, 2000</t>
  </si>
  <si>
    <t>volunteers_vol22-no18</t>
  </si>
  <si>
    <t>Tennessee Volunteers magazine, April 3, 2000</t>
  </si>
  <si>
    <t>Lettermen news &amp; notes - CHAMPS program - Men's basketball - Women's basketball - Swimming &amp; diving @ NCAAs - Coach Green's comments - Advertising - Ben Byrd / former Vol - From the clubhouse - Faces in Big Orange country - Advertising - VASF &amp; marketing news - Track &amp; field - Rowing - Advertising - Tennis - Diamond news - 2000 Big Orange caravan - Advertising - The last word</t>
  </si>
  <si>
    <t>April 3, 2000</t>
  </si>
  <si>
    <t>volunteers_vol22-no19</t>
  </si>
  <si>
    <t>Tennessee Volunteers magazine, April 11, 2000</t>
  </si>
  <si>
    <t xml:space="preserve">Lettermen news &amp; notes - CHAMPS program - Women's basketball - Diamond news - Tennis - Advertising - Ben Byrd / former Vol - From the clubhouse - Advertising - Advertising - VASF &amp; marketing news - Track &amp; Field - 2000 Big Orange caravan - News &amp; notes - The last word </t>
  </si>
  <si>
    <t>April 11, 2000</t>
  </si>
  <si>
    <t>volunteers_vol22-no2</t>
  </si>
  <si>
    <t>Tennessee Volunteers magazine, September 21, 1999</t>
  </si>
  <si>
    <t>Action from Florida game - Lettermen news &amp; notes - CHAMPS program - Florida game coverage - Coach Fulmer's comments - Advertising - Ben Byrd / former Vol - T.W.I.B.O.C. - Vol news &amp; notes - JumboTron/advertising - Nathan Dougherty Dinner - Advertising - VASF &amp; marketing news - Holloway scholarship - Advertising - Lady Vols news &amp; notes - Faces in Big Orange Country - Advertising - Dwayne Goodrich - TClub honorary member forms - Advertising - The last word - Advertising</t>
  </si>
  <si>
    <t>September 21, 1999</t>
  </si>
  <si>
    <t xml:space="preserve">28 pages </t>
  </si>
  <si>
    <t>volunteers_vol22-no20</t>
  </si>
  <si>
    <t>Tennessee Volunteers magazine, April 24, 2000</t>
  </si>
  <si>
    <t>Lettermen news &amp; notes - CHAMPS program - Football outlook - Orange &amp; White game results - Coach Fulmer's comments - Advertising - Basketball banquets - News &amp; notes - Faces in Big Orange country - Tennis claims SEC title - VASF &amp; marketing news - Toby McKenzie donation - 2000 Big Orange caravan - Advertising - Sea Ray Relays -  Diamond news - The last word</t>
  </si>
  <si>
    <t>April 24, 2000</t>
  </si>
  <si>
    <t>volunteers_vol22-no21</t>
  </si>
  <si>
    <t>Tennessee Volunteers magazine, May 22, 2000</t>
  </si>
  <si>
    <t>Lettermen news &amp; notes - CHAMPS program - Tennis news - Track &amp; field news - Coach Fulmer chairs golf event - Advertising - Rowing news / former Vol - Golf news - Faces in Big Orange Country - Academic performance - VASF &amp; marketing news - Advertising - Big Orange caravan - Advertising - Diamond news - News &amp; notes/advertising - The last word - Advertising</t>
  </si>
  <si>
    <t>May 22, 2000</t>
  </si>
  <si>
    <t>volunteers_vol22-no22</t>
  </si>
  <si>
    <t>Tennessee Volunteers magazine, July 10, 2000</t>
  </si>
  <si>
    <t>Lettermen news &amp; notes - CHAMPS program - Track &amp; field news - Tennis news - SEC meetings - Advertising - Ben Byrd / former Vol - Golf news - Advertising - Men &amp; Women news &amp; notes - VASF &amp; marketing news - Advertising - Faces in Big Orange Country - Advertising - The last word - Advertising</t>
  </si>
  <si>
    <t>July 10, 2000</t>
  </si>
  <si>
    <t>volunteers_vol22-no23</t>
  </si>
  <si>
    <t>Tennessee Volunteers magazine, July 31, 2000</t>
  </si>
  <si>
    <t>Advertising - CHAMPS program - Track &amp; field news - Athletic spotlight - Men's news &amp; notes - Advertising - Ben Byrd / former Vol - Women's news &amp; notes - VASF &amp; marketing news - Advertising - Last word - Volunteer village</t>
  </si>
  <si>
    <t>July 31, 2000</t>
  </si>
  <si>
    <t>volunteers_vol22-no24</t>
  </si>
  <si>
    <t>Tennessee Volunteers magazine, August 17, 2000</t>
  </si>
  <si>
    <t>Lettermen news - CHAMPS program - Vols set to kickoff season - Campus showcase - Coach Fulmer - Advertising - Ben Byrd / former Vol - Soccer aiming for NCAAs - VASF &amp; marketing news - Advertising - Vols on the road - Gameday parking - Last word</t>
  </si>
  <si>
    <t>August 17, 2000</t>
  </si>
  <si>
    <t>volunteers_vol22-no25</t>
  </si>
  <si>
    <t>Tennessee Volunteers magazine, August 30, 2000</t>
  </si>
  <si>
    <t>Lettermen news - CHAMPS program - Plans for the future - Facilities beyond 2000 - Coach Fulmer - Advertising - Ben Byrd - Volleyball taking next step - VASF &amp; marketing news - Collegiate club - Last word - Volunteer village</t>
  </si>
  <si>
    <t>August 30, 2000</t>
  </si>
  <si>
    <t>volunteers_vol22-no3</t>
  </si>
  <si>
    <t>Tennessee Volunteers magazine, September 28, 1999</t>
  </si>
  <si>
    <t>September 28, 1999</t>
  </si>
  <si>
    <t>22 pages</t>
  </si>
  <si>
    <t>volunteers_vol22-no4</t>
  </si>
  <si>
    <t>Tennessee Volunteers magazine, October 5, 1999</t>
  </si>
  <si>
    <t>Lettermen news &amp; notes - CHAMPS program - Auburn game coverage - Coach Fulmer's comments - Advertisements - Ben Byrd / former Vol - Tennessee news &amp; notes - TWIBOC - Advertising - VASF &amp; marketing - Impact of the BCS - Between the lines - Advertising - Raynoch Thompson - Faces/advertising - Advertising - The last word - Advertising</t>
  </si>
  <si>
    <t>October 5, 1999</t>
  </si>
  <si>
    <t>volunteers_vol22-no5</t>
  </si>
  <si>
    <t>Tennessee Volunteers magazine, October 12, 1999</t>
  </si>
  <si>
    <t>Lettermen news &amp; notes - CHAMPS program - Georgia game coverage - Coach Fulmer's comments - Advertising - Ben Byrd / former Vol - Tennessee news &amp; notes - Hall of fame inductee Kiner - Advertising - VASF &amp; marketing news - Haywood Harris-Easteries - Between the lines - Advertising - Cedrick Wilson - Faces/advertising - Advertising - The last word - Advertising</t>
  </si>
  <si>
    <t>October 12, 1999</t>
  </si>
  <si>
    <t>volunteers_vol22-no6</t>
  </si>
  <si>
    <t>Tennessee Volunteers magazine, October 26, 1999</t>
  </si>
  <si>
    <t>Lettermen news &amp; notes - CHAMPS program - Alabama game coverage - Coach Culmer's comments - Advertising - Ben Byrd / former Vol - Tennessee news &amp; notes - TWIBOC: golf results - Advertising - VASF &amp; marketing news - Walter Morris endowment - Basketball schedules - Advertising - Darwin Walker - Faces/advertising - ADvertising - A look at Vol hoops - Between the lines - Advertising - The last word - Advertising</t>
  </si>
  <si>
    <t>October 26, 1999</t>
  </si>
  <si>
    <t>volunteers_vol22-no7</t>
  </si>
  <si>
    <t>Tennessee Volunteers magazine, November 2, 1999</t>
  </si>
  <si>
    <t>Lettermen news &amp; notes - CHAMPS program - South Carolina game coverage - Coach Fulmer's comments - Advertising - Ben Byrd / former Vol - Tennessee news &amp; notes - Advertising - Between the lines/advertising - Advertising - Tee Martin - Faces/advertising - Advertising - The last word - Advertising</t>
  </si>
  <si>
    <t>November 2, 1999</t>
  </si>
  <si>
    <t>volunteers_vol22-no8</t>
  </si>
  <si>
    <t>Tennessee Volunteers magazine, November 9, 1999</t>
  </si>
  <si>
    <t>Lettermen news &amp; notes - CHAMPS program - Notre Dame game coverage - Coach Fulmer's comments - Advertising - Ben Byrd / former Vol - Tennessee news &amp; notes - TWIBOC - Advertising - VASF &amp; marketing news - The magic of Notre Dame - Between the lines/advertising - Advertising - By the numbers- Faces/advertising - Advertising - The last word - Benson Scott honored</t>
  </si>
  <si>
    <t>November 9, 1999</t>
  </si>
  <si>
    <t>volunteers_vol22-no9</t>
  </si>
  <si>
    <t>Tennessee Volunteers magazine, November 16, 1999</t>
  </si>
  <si>
    <t>Lettermen news &amp; notes - CHAMPS program - Arkansas game coverage - Coach Fulmer's comments - Advertising - Ben Byrd / former Vol - Tennessee news &amp; notes - Lady Vols stun team USA - Advertising - VASF &amp; marketing news - Advertising - Between the lines/advertising - Advertising - David Leaverton - Faces/advertising - Advertising - The last word - Advertising</t>
  </si>
  <si>
    <t>November 16, 2999</t>
  </si>
  <si>
    <t>1999-16-09</t>
  </si>
  <si>
    <t>volunteers_vol23-no1</t>
  </si>
  <si>
    <t>Tennessee Volunteers magazine, September 9, 2000</t>
  </si>
  <si>
    <t>Lettermen news - CHAMPS program - Vols vs. Southern Miss - Coach Fulmer - Advertising - Haywood Harris / former Vol - Advertising - VASF &amp; marketing news - Faces/advertising - Eric Westmoreland - Tennessee T.O.C/advertising - Advertising - Last word - Volunteer Village</t>
  </si>
  <si>
    <t>September 6, 2000</t>
  </si>
  <si>
    <t>volunteers_vol23-no10</t>
  </si>
  <si>
    <t>Tennessee Volunteers magazine, November 20, 2000</t>
  </si>
  <si>
    <r>
      <rPr>
        <sz val="10"/>
        <color theme="1"/>
        <rFont val="Arial"/>
      </rPr>
      <t xml:space="preserve">Lettermen news - CHAMPS program - Kentucky vs. Tennessee - Coach Phillip Fulmer - Advertising - Ben Byrd / former Vol - Smokeys nearing 50 - VASF &amp; marketing news - Advertising - David Leaverton - Advertising - Advertising - Last word - </t>
    </r>
    <r>
      <rPr>
        <sz val="10"/>
        <color rgb="FF000000"/>
        <rFont val="Arial"/>
      </rPr>
      <t>VolMall.com</t>
    </r>
  </si>
  <si>
    <t>November 20, 2000</t>
  </si>
  <si>
    <t>2000-11-20</t>
  </si>
  <si>
    <t>volunteers_vol23-no11</t>
  </si>
  <si>
    <t>Tennessee Volunteers magazine, November 27, 2000</t>
  </si>
  <si>
    <r>
      <rPr>
        <sz val="10"/>
        <color theme="1"/>
        <rFont val="Arial"/>
      </rPr>
      <t xml:space="preserve">Advertising - CHAMPS program - Tennessee vs. Vanderbilt - Coach Phillip Fulmer - Advertising - Ben Byrd / former Vol - Graduation rate climbs - VASF &amp; merketing news - Advertising - Will Bartholomew - Advertising - Advertising - Last word: wall dedication - </t>
    </r>
    <r>
      <rPr>
        <sz val="10"/>
        <color rgb="FF000000"/>
        <rFont val="Arial"/>
      </rPr>
      <t>VolMall.com</t>
    </r>
  </si>
  <si>
    <t>November 27, 2000</t>
  </si>
  <si>
    <t>volunteers_vol23-no12</t>
  </si>
  <si>
    <t>Tennessee Volunteers magazine, December 18, 2000</t>
  </si>
  <si>
    <t>Lettermen news - CHAMPS program - John Henderson wins Outland - Vol awards: Academic &amp; Athletic - 2000 season in review - Fulmer file - Advertising - Ben Byrd / former Vol - Advertising - VASF &amp; marketing news - Advertising - Kansas state history - Team depth charts - Advertising - Tennessee &amp; Kansas state info - Christmas time in Knoxville - Advertising - Basketball reviews - Vols' bowl record - Advertising - Last word</t>
  </si>
  <si>
    <t>December 18, 2000</t>
  </si>
  <si>
    <t>volunteers_vol23-no13</t>
  </si>
  <si>
    <t>Tennessee Volunteers magazine, January 12, 2001</t>
  </si>
  <si>
    <t>Vols donate $20 million to school - CHAMPS program - Cotton bowl coverage - Coach Fulmer - Advertising - Ben Byrd / former Vol - Advertising - VASF &amp; marketing news - Advertising - Local students design tickets - Last word</t>
  </si>
  <si>
    <t>January 12, 2001</t>
  </si>
  <si>
    <t>volunteers_vol23-no14</t>
  </si>
  <si>
    <t>Tennessee Volunteers magazine, February 2, 2001</t>
  </si>
  <si>
    <t xml:space="preserve">Lettermen news - CHAMPS program - Charles Hathaway - Vol basketball recaps - Jerry Green - Advertising - Ben Byrd/advertising - Former Vol - VASF &amp; marketing news - Parsons wins Milwaukee classic - Advertising - Basketball lettermen - Lady Vol basketball recaps - Baseball banquet - Last word </t>
  </si>
  <si>
    <t>February 2, 2001</t>
  </si>
  <si>
    <t>volunteers_vol23-no16</t>
  </si>
  <si>
    <t>Tennessee Volunteers magazine, February 16, 2001</t>
  </si>
  <si>
    <t xml:space="preserve">Lettermen news - CHAMPS program - Isiah Victor - Basketball recaps - Coach Jerry Green - Ben Byrd - Bob Kesling - Where are they now... - Smokey claims title - Advertising - Semeka Randall - VASF &amp; marketing news - Football recruiting - Advertising - Last word </t>
  </si>
  <si>
    <t>February 16, 2001</t>
  </si>
  <si>
    <t>volunteers_vol23-no17</t>
  </si>
  <si>
    <t>Tennessee Volunteers magazine, February 28, 2001</t>
  </si>
  <si>
    <t>Lettermen news - CHAMPS program - Basketball recap - Vincent Yarbrough - Jerry Green - Advertising - Ben Byrd / tennis - Where are they now - VASF &amp; marketing news - Kyra Elzy - Diamond news - SEC track &amp; field results - SEC swimming &amp; diving - Last word</t>
  </si>
  <si>
    <t>February 28, 2001</t>
  </si>
  <si>
    <t>volunteers_vol23-no18</t>
  </si>
  <si>
    <t>Tennessee Volunteers magazine, March 30, 2001</t>
  </si>
  <si>
    <t>Lettermen news - CHAMPS program - Baseball recap - NCAA swimming &amp; diving - American record holders - Advertising - Golf news - Where are they now - Vols sprint corp sweep - Vasf news &amp; notes - Lady Vols fall in regionals - Coach Jerry Green steps down - Kristen "Ace" Clement - Track &amp; field results - Advertising - Coach Phillip Fulmer - Tennis news - Last word: Ken Donahue</t>
  </si>
  <si>
    <t>March 30, 2001</t>
  </si>
  <si>
    <t>volunteers_vol23-no19</t>
  </si>
  <si>
    <t>Tennessee Volunteers magazine, April 16, 2001</t>
  </si>
  <si>
    <t>Lettermen news - CHAMPS program - Peterson named head coach - Gatorade track results - Diamond notes - Advertising - Tennis news - Where are they now/sports news - VASF news - Marketing news - April play day - Preview of the Thordon Center - L.W.: Dr. Ruth Darling</t>
  </si>
  <si>
    <t>April 16, 2001</t>
  </si>
  <si>
    <t>volunteers_vol23-no2</t>
  </si>
  <si>
    <t>Tennessee Volunteers magazine, September 19, 2000</t>
  </si>
  <si>
    <t>Lettermen news - CHAMPS program - Vols vs. Florida - Coach Fulmer - Advertising - Haywood Harris / former Vol - Advertising - VASF &amp; Marketing news - Faces.../advertising - Cedrick Wilson - Story/advertising - Advertising - Last word</t>
  </si>
  <si>
    <t>September 19, 2000</t>
  </si>
  <si>
    <t>volunteers_vol23-no20</t>
  </si>
  <si>
    <t>Tennessee Volunteers magazine, April 25, 2001</t>
  </si>
  <si>
    <t>Lettermen news - CHAMPS program - Thornton Center ceremonies - Sea Ray relay results - Diamond news - Advertising - Tennis teams off to SEC tourney - Gus Manning - VASP news - CARAVAN schedule - Marketing news - Fulmer file - Orange &amp; White game recap - Tamika Catchings - Last word: Doug Dickey</t>
  </si>
  <si>
    <t>April 25, 2001</t>
  </si>
  <si>
    <t>volunteers_vol23-no21</t>
  </si>
  <si>
    <t>Tennessee Volunteers magazine, May 22, 2001</t>
  </si>
  <si>
    <t>Lettermen news - CHAMPS program - Men Take SEC Track Title - Tennis teams advance in NCAAs - 2001 Spring graduates - Where are they now - Smokey's Tale - VASF news - Marketing news/Corporate corner - Andy Brimer - Baseball news - Advertising - The last word</t>
  </si>
  <si>
    <t>May 22, 2001</t>
  </si>
  <si>
    <t>volunteers_vol23-no22</t>
  </si>
  <si>
    <t>Tennessee Volunteers magazine, June 11, 2001</t>
  </si>
  <si>
    <t>Lettermen news &amp; notes - The first word - Vols dance in Tracktown USA - Diamond Vols head to Omaha - Vol Netters finish second - Athletic news &amp; notes - Marketing news &amp; notes - VASF news &amp; notes - Advertising - The last word</t>
  </si>
  <si>
    <t>June 11, 2001</t>
  </si>
  <si>
    <t>volunteers_vol23-no23</t>
  </si>
  <si>
    <t>Tennessee Volunteers magazine, July 27, 2001</t>
  </si>
  <si>
    <t>Lettermen news - CHAMPS program - Men's year-in-review - Kim Campbell earns scholarship - News &amp; notes - Young-A Yang - Advertising - VASF &amp; marketing news - Lady Vols year-in-review - Last word</t>
  </si>
  <si>
    <t>July 27, 2001</t>
  </si>
  <si>
    <t>volunteers_vol23-no24</t>
  </si>
  <si>
    <t>Tennessee Volunteers magazine, August 17, 2001</t>
  </si>
  <si>
    <t>Lettermen news &amp; notes - CHAMPS program - Fred Weary assists boys club - Basketball schedule released - Clifton B. Cates - Fulmer File - Football notes - Tennessee news &amp; notes - VASF news - Marketing news - The rites of early August</t>
  </si>
  <si>
    <t>August 17, 2001</t>
  </si>
  <si>
    <t>volunteers_vol23-no25</t>
  </si>
  <si>
    <t>Tennessee Volunteers magazine, August 27, 2001</t>
  </si>
  <si>
    <t>Advertising - CHAMPS program - 2001 season opponents - Fulmer file - Advertising - Lady Vols news &amp; notes - Haywood Harris/advertising - VASF news - Advertising - Marketing news - Football 101/advertising - Volunteer voices/advertising - Soccer preview - Travel plans with the Vols - Vol news &amp; notes - Campus contributions - Lady Vol athletic awards - Campus showcase - The last word: 1951 team</t>
  </si>
  <si>
    <t>August 27, 2001</t>
  </si>
  <si>
    <t>31 pages</t>
  </si>
  <si>
    <t>volunteers_vol23-no3</t>
  </si>
  <si>
    <t>Tennessee Volunteers magazine, September 26, 2000</t>
  </si>
  <si>
    <t>Lettermen news - CHAMPS program - Vols vs. LMU - Coach Fulmer - Advertising - Ben Byrd / former Vol - Advertising - VASF &amp; marketing news - Advertising - Andre Lott - Coca-cola TOC - TOC (cont.)/advertising - Last word - Volunteer village</t>
  </si>
  <si>
    <t>September 26, 2000</t>
  </si>
  <si>
    <t>volunteers_vol23-no4</t>
  </si>
  <si>
    <t>Tennessee Volunteers magazine, October 3, 2000</t>
  </si>
  <si>
    <t>Lettermen news - CHAMPS program - Vols vs. LSU - Coach Fulmer - Advertising - Ben Byrd / former Vol - Advertising - VASF &amp; marketing news - Advertising - Fred Weary - Volleyball - Faces / advertising - Last word - Neyland Stadium</t>
  </si>
  <si>
    <t>October 3, 2000</t>
  </si>
  <si>
    <t>volunteers_vol23-no5</t>
  </si>
  <si>
    <t>Tennessee Volunteers magazine, October 10, 2000</t>
  </si>
  <si>
    <t>Lettermen news - Tim Kerin Food Drive - Vols vs. Georgia - Coach Fulmer - Advertising - Ben Byrd / former Vol - Lady Vol Spotlight - VASF &amp; marketing news - Advertising - Dominique Stevenson - The locker room show - Fall sports summary - Last word - Volunteer Village</t>
  </si>
  <si>
    <t>October 10, 2000</t>
  </si>
  <si>
    <t>volunteers_vol23-no6</t>
  </si>
  <si>
    <t>Tennessee Volunteers magazine, October 24, 2000</t>
  </si>
  <si>
    <t>Lettermen news - CHAMPS program - Vols vs. Alabama - Coach Fulmer - Advertising - Ben Byrd / former Vol - Summitt honored - VASF &amp; marketing news - Advertising - Travis Henry - Mercedes Benz championship - Advertising - Vol basketball: players - Vol basketball outook - Last Word: Jerry Green - Volunteer Village</t>
  </si>
  <si>
    <t>October 24, 2000</t>
  </si>
  <si>
    <t>volunteers_vol23-no7</t>
  </si>
  <si>
    <t>Tennessee Volunteers magazine, October 31, 2000</t>
  </si>
  <si>
    <t>Lettermen news - CHAMPS program - Tennessee vs. So Carolina - Coach Fulmer - Advertising - Ben Byrd / former Vol - Advertising - VASF &amp; marketing news - Advertising - John Henderson - Mercedes Benz championship - Advertising - Last word - Volunteer Village</t>
  </si>
  <si>
    <t>October 31, 2000</t>
  </si>
  <si>
    <t>18 pages</t>
  </si>
  <si>
    <t>volunteers_vol23-no8</t>
  </si>
  <si>
    <t>Tennessee Volunteers magazine, November 7, 2000</t>
  </si>
  <si>
    <t>Lettermen news - CHAMPS program - Tennessee vs. Memphis - Coach Fulmer - Advertising - Ben Byrd / former Vol - Advertising - Ben Byrd / former Vol - Advertising - VASF &amp; marketing news - Advertising - Will Overstreet - Advertising - Advertising - Last word - Volunteer Village</t>
  </si>
  <si>
    <t>November 7, 2000</t>
  </si>
  <si>
    <t>volunteers_vol23-no9</t>
  </si>
  <si>
    <t>Tennessee Volunteers magazine, November 13, 2000</t>
  </si>
  <si>
    <t>Lettermen news - CHAMPS program - Arkansas vs. Tennessee - Coach Phillip Fulmer - Advertising - Ben Byrd / former Vol - Advertising - VASF &amp; marketing news - Advertising - Alex Walls - Advertising - Advertising - Last word - Volunteer Village</t>
  </si>
  <si>
    <t>November 13, 2000</t>
  </si>
  <si>
    <t>2000-111-13</t>
  </si>
  <si>
    <t>volunteers_vol24-no1</t>
  </si>
  <si>
    <t>Tennessee Volunteers magazine, September 5, 2001</t>
  </si>
  <si>
    <t>Lettermen news - The first word - Syracuse Game Coverage - Fulmer file - Advertising - Tennessee news &amp; notes - Time Kerin food drive - VASF - Marketing news - Fred Weary - Volleyball: fine tuned - Super fan/mission statement - Advertising - Last word: Game Maxima</t>
  </si>
  <si>
    <t>September 5, 2001</t>
  </si>
  <si>
    <t>volunteers_vol24-no10</t>
  </si>
  <si>
    <t>Tennessee Volunteers magazine, November 20, 2001</t>
  </si>
  <si>
    <t>Lettermen news - CHAMPS: community service - Kentucky game coverage - Fulmer file - Advertising - Tennessee news &amp; notes - VASF news - Marketing news &amp; notes - Donte Stallworth - Hoops coverage - Between the lines - Advertising - The last word</t>
  </si>
  <si>
    <t>November 20, 2001</t>
  </si>
  <si>
    <t>volunteers_vol24-no12</t>
  </si>
  <si>
    <t>Tennessee Volunteers magazine, December 3, 2001</t>
  </si>
  <si>
    <t>Lettermen news - CHAMPS program - Florida game coverage - The Fulmer file - Advertising - Diamond Vols signings - Tennessee news &amp; notes - VASF news - Advertising - Marketing news - Constantin Ritzmann - Football: post-season awards - Strength &amp; conditioning - Advertising - Last word</t>
  </si>
  <si>
    <t>December 3, 2001</t>
  </si>
  <si>
    <t>volunteers_vol24-no13</t>
  </si>
  <si>
    <t>Tennessee Volunteers magazine, December 11, 2001</t>
  </si>
  <si>
    <t>Lettermen news - CHAMPS program - SEC championship game - The Fulmer file - Lady Vols softball signings - Tennessee news &amp; notes - VASF news - Advertising - Marketing news - 2001 All-SEC FB awards - Awards - Editorial - Collegiate Club SEC coverage - Advertising - Soccer post-season recognition - Advertising - Scott Well - Basketball news - Advertising - The last word - Advertising</t>
  </si>
  <si>
    <t>December 11, 2001</t>
  </si>
  <si>
    <t>volunteers_vol24-no14</t>
  </si>
  <si>
    <t>Tennessee Volunteers magazine, December 21, 2001</t>
  </si>
  <si>
    <t>Special feature article - CHAMPS program - Football season review - Tennessee and Michigan - Fulmer file - Advertising - Starting lineups - Tennessee season starts - Michigan coach Lloyd Carr - Michigan season stats - Michigan traditions - Tennessee Bowl details - Advertising - Basketball news - Preparing for battle - Advertising - Florida Citrus Bowl information - Citrus Bowl tips/advertising - VASF news - Lady Vol news &amp; notes - The last word</t>
  </si>
  <si>
    <t>December 21, 2001</t>
  </si>
  <si>
    <t>volunteers_vol24-no15</t>
  </si>
  <si>
    <t>Tennessee Volunteers magazine, January 9, 2002</t>
  </si>
  <si>
    <t>Former Vol - CHAMPS/life skills - Florida Citrus Bowl coverage - The Fulmer file - From the hardwood - Tennessee news &amp; notes - VASF news - Advertising - The last word</t>
  </si>
  <si>
    <t>January 9, 2002</t>
  </si>
  <si>
    <t>volunteers_vol24-no16</t>
  </si>
  <si>
    <t>Tennessee Volunteers magazine, January 30, 2002</t>
  </si>
  <si>
    <t>Lettermen news - CHAMPS program - Vincent Yarbrough - Basketball in review - Buzz Peterson - Advertising - Verizon Scholar-Atheletes award - Early football signees enroll - VASF news - Marketing news - Tennessee news &amp; notes - Spirit squads compete - Handeye claims SEC crowns - Shyra Ely - Castellvi and Lady Vols tennis - Last word</t>
  </si>
  <si>
    <t>January 30, 2002</t>
  </si>
  <si>
    <t>23 pages</t>
  </si>
  <si>
    <t>volunteers_vol24-no17</t>
  </si>
  <si>
    <t>Tennessee Volunteers magazine, February 13, 2002</t>
  </si>
  <si>
    <t>Lettermen news - CHAMPS program - 2002 football signees - The Fulmer file - Advertising - Lady Vol diamond preview - VASF news - Faces in Big Orange Country - Marketing news and notes - Tennessee news and notes - Coach Buzz Peterson - From the hardwood - Advertising - Track spotlight: Steve Pitlik - Softball spotlight: the Humphreys - Swim teams in final home meet - Leadoff banquet: season outlook - Kara Lawson - Marcus Haislip - Last word</t>
  </si>
  <si>
    <t>February 13, 2002</t>
  </si>
  <si>
    <t>volunteers_vol24-no18</t>
  </si>
  <si>
    <t>Tennessee Volunteers magazine, March 4, 2002</t>
  </si>
  <si>
    <t xml:space="preserve">Lettermen news - CHAMPS program - Vol hoop seniors - Jones &amp; Shannahan - Buzz Peterson - Tennessee news &amp; notes - Special recognition - VASF news - Marketing news - Tennessee scoreboard - Javi Herrera - Michelle Snow - Justin Gatlin - Jeffery Terrell - Last word </t>
  </si>
  <si>
    <t>March 4, 2002</t>
  </si>
  <si>
    <t>volunteers_vol24-no19</t>
  </si>
  <si>
    <t>Tennessee Volunteers magazine, March 25, 2002</t>
  </si>
  <si>
    <t>Lettermen news - CHAMPS program - Spring football preview - Coach Fulmer - Tennessee news &amp; notes - VASF news - Marketing news - Tennessee scoreboard - Indoor track &amp; field champs - Vols overachieve to win title - Coach Summitt - Women's NCAA photo gallery - Coach Peterson - Men's SEC photo gallery - George du Rand - Agnes Wiski - Vols show stuff for scouts - Delmonico wins 500th/faces - Between the lines - Hall of Fame announcements - Tai Perry - Cannon &amp; Pillow: commitment - Last word</t>
  </si>
  <si>
    <t>March 25, 2002</t>
  </si>
  <si>
    <t>volunteers_vol24-no2</t>
  </si>
  <si>
    <t>Tennessee Volunteers magazine, September 11, 2001</t>
  </si>
  <si>
    <t>Lettermen news - CHAMPS program - Tenn/Arkansas game coverage - Fulmer file - Advertising - Tennessee news &amp; notes - 2002 Baseball schedule - VASF news - Marketing news &amp; notes - Will Overstreet - Last word</t>
  </si>
  <si>
    <t>September 11, 2001</t>
  </si>
  <si>
    <t>volunteers_vol24-no21</t>
  </si>
  <si>
    <t>Tennessee Volunteers magazine, May 1, 2002</t>
  </si>
  <si>
    <t>Lettermen news - CHAMPS program - Tennis Vols tops in SEC - Orange &amp; White weekend reviews - Fulmer file: Spring review - Tennessee news &amp; notes - VASF news - Big Orange Caravan schedule - Marketing news - Tennessee scoreboard - Practice field expansion - Volleyball looks to 2002 - April playday on campus - Jenis Grindstaff - Faces in Big Orange Country - Gatorade classic - Sea Ray relays - Life and times of Col. Gene Moeller</t>
  </si>
  <si>
    <t>May 1, 2002</t>
  </si>
  <si>
    <t>volunteers_vol24-no22</t>
  </si>
  <si>
    <t>Tennessee Volunteers magazine, May 20, 2002</t>
  </si>
  <si>
    <t>Lettermen news - CHAMPS program - Men's SEC track &amp; field - Women's SEC track &amp; field - Reggie White selected for Hall - Tennessee news &amp; notes - Stewart inducted into ISHoF - VASF news - Caravan schedule - Marketing news - Tennessee scoreboard - Judy Constantine - Special Feature/faces in BOC - The NFL draft - Collegiate club - Rivals turned teammates - Men's SEC tennis - Rowing: head of the Tennessee - Albert paving way for others - Women's SEC tennis - Last word: Oskee Wow Wow</t>
  </si>
  <si>
    <t>May 20, 2002</t>
  </si>
  <si>
    <t>30 pages</t>
  </si>
  <si>
    <t>volunteers_vol24-no24</t>
  </si>
  <si>
    <t>Tennessee Volunteers magazine, July 17, 2002</t>
  </si>
  <si>
    <t>Tennessee news &amp; notes - CHAMPS program - Title IX (30 years later) - Rocky Danner - From the editor - Meet the new SEC commissioner - Peyton Manning scholarship awardee - VASF news - Marketing news - Last word</t>
  </si>
  <si>
    <t>July 17, 2002</t>
  </si>
  <si>
    <t>volunteers_vol24-no25</t>
  </si>
  <si>
    <t>Tennessee Volunteers magazine, August 12, 2002</t>
  </si>
  <si>
    <t>Lettermen's page - Offensive preview - Defensive preview - Special teams preview - 2004 schedule released - Vols tops in football last 75 years - Fall sports schedules - Donor profile - VASF news - Marketing news - Traveling with the Vols - In the spirit of Tennessee - 2002 pregame showcase - Vols sport new uniforms - The last word</t>
  </si>
  <si>
    <t>August 12, 2002</t>
  </si>
  <si>
    <t>volunteers_vol24-no3</t>
  </si>
  <si>
    <t>Tennessee Volunteers magazine, September 18, 2001</t>
  </si>
  <si>
    <t>Lettermen news - CHAMPS program - An editor's comments - Advertising - Advertising - Tennessee news &amp; notes - Vols on the Internet/advertising - VASF news - Marketing news &amp; notes - VASF news - Marketing news &amp; notes - Kelley Washington - Last word</t>
  </si>
  <si>
    <t>September 18, 2001</t>
  </si>
  <si>
    <t>volunteers_vol24-no4</t>
  </si>
  <si>
    <t>Tennessee Volunteers magazine, October 2, 2001</t>
  </si>
  <si>
    <t>Lettermen news - CHAMPS program - Fulmer file - Advertising - Tennessee news &amp; notes - Tennis/advertising - VASF news - Marketing news &amp; notes - John Henderson - Erica Lear &amp; Ariana Wilson - Lady Vol soccer - Advertising - Last word</t>
  </si>
  <si>
    <t>October 2, 2001</t>
  </si>
  <si>
    <t>volunteers_vol24-no5</t>
  </si>
  <si>
    <t>Tennessee Volunteers magazine, October 9, 2001</t>
  </si>
  <si>
    <t>Lettermen news - The first word: Diamond Vols - Georgia game coverage - The Fulmer file - Advertising - Vol news &amp; notes - Kim Patrick: Soccer - VASF news - Marketing news - Will Bartholomew - Lady Vols news &amp; notes - VASF day/advertising - The Last Word</t>
  </si>
  <si>
    <t>October 9, 2001</t>
  </si>
  <si>
    <t xml:space="preserve">Football </t>
  </si>
  <si>
    <t>volunteers_vol24-no6</t>
  </si>
  <si>
    <t>Tennessee Volunteers magazine, October 23, 2001</t>
  </si>
  <si>
    <t>Lettermen news - CHAMPS program - Alabama game coverage - Fulmer file - Advertising - Mercedes-Benz championships - Tennessee news &amp; notes - VASF news/donor profile - Marketing news &amp; notes - Travis Stephens - Football visits area hospitals - Advertising - Interview with Buzz Peterson - Buzz Ball era set to begin - Between the lines - Lady Vols hoops insider - Advertising - Last word</t>
  </si>
  <si>
    <t>October 23, 2001</t>
  </si>
  <si>
    <t>volunteers_vol24-no7</t>
  </si>
  <si>
    <t>Tennessee Volunteers magazine, October 30, 2001</t>
  </si>
  <si>
    <t>Lettermen news - CHAMPS program - South Carolina game coverage - Fulmer file - Advertising - Tennessee news &amp; notes - Aqua Vols take dual meets - VASF news - Advertising - Marketing news &amp; notes - Corporate partnership corner - Advertising - Swimming &amp; diving preview - Dominique Stevenson - Vols capture CCTOC - Big Orange Support - Postal forms/advertising - Last word</t>
  </si>
  <si>
    <t>October 30, 2001</t>
  </si>
  <si>
    <t>volunteers_vol24-no8</t>
  </si>
  <si>
    <t>Tennessee Volunteers magazine, November 6, 2001</t>
  </si>
  <si>
    <t>Lettermen news - CHAMPS program - Notre Dame Game Coverage - Fulmer file - Advertising - SEC news &amp; notes - Omni hotel championships - VASF news - Advertising - Marketing news &amp; notes - Andre Lott - David Wachtel - Lady Vols Hall of Fame photos - Tennessee news &amp; notes - Advertising - Lady Vols hoops conference - Advertising - SEC cross country - Lady Vol golf - Janelle Hester - The last word</t>
  </si>
  <si>
    <t>November 6, 2001</t>
  </si>
  <si>
    <t>volunteers_vol24-no9</t>
  </si>
  <si>
    <t>Tennessee Volunteers magazine, November 13, 2001</t>
  </si>
  <si>
    <t>Lettermen news - CHAMPS program - Memphis game coverage - Fulmer file - Advertising - Tennessee news &amp; notes - VASF news - Marketing news &amp; notes - Casey Clausen - Bob Woodruff - Vols final exhibition game - Advertising</t>
  </si>
  <si>
    <t>November 13, 2001</t>
  </si>
  <si>
    <t>volunteers_vol6-no20</t>
  </si>
  <si>
    <t>Tennessee Volunteers magazine, February 25, 1985</t>
  </si>
  <si>
    <t>Tennessee Volunteers magazine / Smokey's tale, February 25, 1985</t>
  </si>
  <si>
    <t>The DeVoe report - LSU holds off Vol rally for 87-82 victory - Vandy continues Volunteer skid - Smith bows out with 75-60 Auburn victory - Bama blisters nets in win - Atkins picked for Hall of Fame - Here they are: 23 new Volunteers - Notes on the numbers - Season stats - This week in Big Orange Country - TV schedule</t>
  </si>
  <si>
    <t>Volume 6, Number 20</t>
  </si>
  <si>
    <t>February 25, 1985</t>
  </si>
  <si>
    <t>9 pages</t>
  </si>
  <si>
    <t>No Copyright - United States</t>
  </si>
  <si>
    <t>http://rightsstatements.org/vocab/NoC-US/1.0/</t>
  </si>
  <si>
    <t>volunteers_vol6-no21</t>
  </si>
  <si>
    <t>Tennessee Volunteers magazine, March 1985</t>
  </si>
  <si>
    <t>Tennessee Volunteers magazine / Smokey's tale, March 1986</t>
  </si>
  <si>
    <t>Strong possibilities - Spring sports outlook - Tony! - New York, New York - Out of the blue - Spirit of the hill - The last word</t>
  </si>
  <si>
    <t>March 1985</t>
  </si>
  <si>
    <t>volunteers_vol6-no22</t>
  </si>
  <si>
    <t>Tennessee Volunteers magazine, April 1985</t>
  </si>
  <si>
    <t>Tennessee Volunteers magazine / Smokey's tale, April 1985</t>
  </si>
  <si>
    <t>Volume 6, Number 22</t>
  </si>
  <si>
    <t>April 1985</t>
  </si>
  <si>
    <t>Wrestling</t>
  </si>
  <si>
    <t>volunteers_vol7-no1</t>
  </si>
  <si>
    <t>Tennessee Volunteers magazine, September 1985</t>
  </si>
  <si>
    <t>Tennessee Volunteers magazine / Smokey's tale, September 1985</t>
  </si>
  <si>
    <t>In this issue - Gaining a foothold - Safety first - Facing the future - The Memphis classic - New Target - The last word</t>
  </si>
  <si>
    <t>Volume 7, Number 1</t>
  </si>
  <si>
    <t>September 1985</t>
  </si>
  <si>
    <t>volunteers_vol7-no10</t>
  </si>
  <si>
    <t>Tennesee Volunteers magazine, November 9, 1985</t>
  </si>
  <si>
    <t>Tennessee Volunteers magazine / Smokey's tale, November 1985</t>
  </si>
  <si>
    <t>Major's memo: coach majors' report on the Rutgers game - Tennessee pounds Rutgers 40-0 - Scouting report: Memphis State Tigers - Season stats - Vol-Tiger facts - This week in Big Orange Country</t>
  </si>
  <si>
    <t>Volume 7, Number 10</t>
  </si>
  <si>
    <t>November 9, 1985</t>
  </si>
  <si>
    <t>volunteers_vol7-no11</t>
  </si>
  <si>
    <t>Tennessee Volunteers magazine, November 16, 1985</t>
  </si>
  <si>
    <t>Major's memo: coach majors' report on Memphis State game - Vols fight off Memphis State - Scouting report: 1985 Mississippi Rebels - Season states - Vol-Tiger facts - This week in Big Orange Country</t>
  </si>
  <si>
    <t>Volume 7, Number 11</t>
  </si>
  <si>
    <t>November 16, 1985</t>
  </si>
  <si>
    <t>volunteers_vol7-no12</t>
  </si>
  <si>
    <t>Tennessee Volunteers magazine, November 23, 1985</t>
  </si>
  <si>
    <t>Major's memo: coach majors' report on the Ole Miss Game - Tennessee rattles Rebels 34-14 - Scouting report: 1985 Kentucky Wildcats - Season stats - Vol-Tiger facts - This week in Big Orange Country</t>
  </si>
  <si>
    <t>Volume 7, Number 12</t>
  </si>
  <si>
    <t>November 23, 1985</t>
  </si>
  <si>
    <t>volunteers_vol7-no13</t>
  </si>
  <si>
    <t>Tennessee Volunteers magazine, November 30, 1985</t>
  </si>
  <si>
    <t>Major's memo: coach majors' report on the Kentucky game - Tennessee buries Kentucky 42-0 -Scouting report: Vanderbilt Commodores - Season stats - Vol-Tiger facts - This week in Big Orange Country</t>
  </si>
  <si>
    <t>Volume 7, Number 13</t>
  </si>
  <si>
    <t>November 30, 1985</t>
  </si>
  <si>
    <t>volunteers_vol7-no14</t>
  </si>
  <si>
    <t>Tennessee Volunteers magazine, December 1985</t>
  </si>
  <si>
    <t>Tennessee Volunteers magazine / Smokey's tale, December 1985</t>
  </si>
  <si>
    <t>Majors' memo: coach majors' report on Vanderbilt game - How sweet it is!!: Tennessee takes SEC title with 30-0 over Vandy - Scouting report: 1985 Miami Hurricanes - Season stats - Vol-Tiger facts This week in Big Orange Country</t>
  </si>
  <si>
    <t>Volume 7, Number 14</t>
  </si>
  <si>
    <t>December 1985</t>
  </si>
  <si>
    <t>volunteers_vol7-no15</t>
  </si>
  <si>
    <t>Tennessee Volunteers magazine, January 1986</t>
  </si>
  <si>
    <t>Tennessee Volunteers magazine / Smokey's tale, January 1986</t>
  </si>
  <si>
    <t>Double duty - Perpetual motion - Junior achievement - Marine life - Reach for the stars - Lofty ambition - The last word</t>
  </si>
  <si>
    <t>Volume 7, Number 15</t>
  </si>
  <si>
    <t>January 1986</t>
  </si>
  <si>
    <t>volunteers_vol7-no16</t>
  </si>
  <si>
    <t>Tennessee Volunteers magazine, January 13, 1986</t>
  </si>
  <si>
    <t xml:space="preserve">The Devoe report - 35-7! Vols upset Miami in Sugar Bowl - Volunteers post 6-2 record in December - Florida wins conference opener 77-75 -Tennessee defeats Missippi 74-66 - Auburn defense paces comeback victory - Numbers - Season stats - This week in Big Orange Country - TV schedule </t>
  </si>
  <si>
    <t>Volume 7, Number 16</t>
  </si>
  <si>
    <t>January 13, 1986</t>
  </si>
  <si>
    <t>volunteers_vol7-no18</t>
  </si>
  <si>
    <t>Tennessee Volunteers magazine, February 1986</t>
  </si>
  <si>
    <t>Tennessee Volunteers magazine / Smokey's tale, February 1986</t>
  </si>
  <si>
    <t>Golden age of guards - Big man on campus - The wiz - Caribbean treasure - Serious matter - T for Texas, T for Tennessee, The last word</t>
  </si>
  <si>
    <t>Volume 7, Number 18</t>
  </si>
  <si>
    <t>February 1986</t>
  </si>
  <si>
    <t>volunteers_vol7-no19</t>
  </si>
  <si>
    <t>Tennessee Volunteers magazine, February 10, 1986</t>
  </si>
  <si>
    <t>The Devoe report - White hero of Dramatic UT win - Mississippi ralles for 59-54 Victory - Kentucky's inside game Whips Volunteers - Gator second half guns down Tennessee - Winter sports roundup - Notes on the numbers - Season stats - This week in Big Orange Country - TV schedule</t>
  </si>
  <si>
    <t>Volume 7, Number 19</t>
  </si>
  <si>
    <t>February 10, 1986</t>
  </si>
  <si>
    <t>volunteers_vol7-no2</t>
  </si>
  <si>
    <t>Tennessee Volunteers magazine, September 28, 1985</t>
  </si>
  <si>
    <t>Tennessee Volunteers magazine / Smokey's tale, September 28, 1985</t>
  </si>
  <si>
    <t>Major's memo: coach's report on the UCLA game - Vols, UCLA battle to 26-26 tie - Scouting Report: 1985 Auburn Tigers - Season stats - Vol-Tiger facts -  This week in Big Orange Country</t>
  </si>
  <si>
    <t>Volume 7, Number 2</t>
  </si>
  <si>
    <t>September 28, 1985</t>
  </si>
  <si>
    <t>volunteers_vol7-no20</t>
  </si>
  <si>
    <t>Tennessee Volunteers magazine, February 24, 1985</t>
  </si>
  <si>
    <t>Tennessee Volunteers magazine / Smokey's tale, February 1985</t>
  </si>
  <si>
    <t>The Devoe report - White Lightning strikes again - Vanderbilt thwarts Vols again - Tigers avenge Stokely loss - Torrid tide wins 80-64 - Here they are: 22 new Volunteers - Notes on the numbers - Season stats - This week in Big Orange Country - TV schedule</t>
  </si>
  <si>
    <t>Volume 7, Number 20</t>
  </si>
  <si>
    <t>February 24, 1985</t>
  </si>
  <si>
    <t>volunteers_vol7-no21</t>
  </si>
  <si>
    <t>Tennessee Volunteers magazine, March 1986</t>
  </si>
  <si>
    <t>Cream of the corp - 1986 Spring sports outlook - Silent partner - Golden boys - Storybook season - Sweet dreams</t>
  </si>
  <si>
    <t>Volume 7, Number 21</t>
  </si>
  <si>
    <t>March 1986</t>
  </si>
  <si>
    <t>volunteers_vol7-no22</t>
  </si>
  <si>
    <t>Tennessee Volunteers magazine, April 1986</t>
  </si>
  <si>
    <t>Tennessee Volunteers magazine / Smokey's tale, April 1986</t>
  </si>
  <si>
    <t>The Devoe report - Vols keep indoor track crown - Powerful Kentucky shrugs off Jinx - Rebels bump Vols in SEC first round - Georgia avenges defeat - Boys bows out with victory - The view from the Coaches' box - Vol swimmers second - Committee set - Notes on the numbers - Season stats - This week in Big Orange Country - 1986 Volunteer Spring sports schedules</t>
  </si>
  <si>
    <t>Volume 7, Number 22</t>
  </si>
  <si>
    <t>April 1986</t>
  </si>
  <si>
    <t>volunteers_vol7-no23</t>
  </si>
  <si>
    <t>Tennessee Volunteers magazine, May 1986</t>
  </si>
  <si>
    <t>Tennessee Volunteers magazine / Smokey's tale, May 1986</t>
  </si>
  <si>
    <t>Majors' memo: coach majors' report on Spring practice - Record crowd sees Orange win - Offense trails defense, coaches report - Netters win 9 straight - SEC race thwarts Vols - Vol tradition continues - Spring awards honor past &amp; present Vols - Season stats - This week in Big Orange Country - Vols to Host SEC track championships</t>
  </si>
  <si>
    <t>Volume 7, Number 23</t>
  </si>
  <si>
    <t>May 1986</t>
  </si>
  <si>
    <t>volunteers_vol7-no24</t>
  </si>
  <si>
    <t>Tennessee Volunteers magazine, June 1986</t>
  </si>
  <si>
    <t>Tennessee Volunteers magazine / Smokey's tale, June 1986</t>
  </si>
  <si>
    <t>Track, tennis teams claim SEC crowns - Vol netters upset SEC field - Track team wins 6th straight - Vols build strong all-sports legacy - UT golfers fail - Vounteers to rebuild - Graddy chosen as top Volunteer athlete - Of recruits and records - Spring sports scoreboard - This week in Big Orange Country</t>
  </si>
  <si>
    <t>Volume 7, Number 24</t>
  </si>
  <si>
    <t>June 1986</t>
  </si>
  <si>
    <t>volunteers_vol7-no3</t>
  </si>
  <si>
    <t>Tennessee Volunteers magazine, October 5, 1985</t>
  </si>
  <si>
    <t>Tennessee Volunteers magazine / Smokey's tale, October 1985</t>
  </si>
  <si>
    <t>Majors' memo: coach majors report on the Auburn game - Vols thwart top-ranked Auburn - Scouting report: Wake Forest Demon Deacons - When Donahue talks, Vol defense listens - Season stats - Vol-Deacon facts - This week in Big Orange Country</t>
  </si>
  <si>
    <t>Volume 7, Number 3</t>
  </si>
  <si>
    <t>October 5, 1985</t>
  </si>
  <si>
    <t>volunteers_vol7-no4</t>
  </si>
  <si>
    <t>Tennessee Volunteers magazine, October 1985</t>
  </si>
  <si>
    <t>All for one - Contract in orange - The next act - The big numbers - Catch as catch can - The last word</t>
  </si>
  <si>
    <t>Volume 7, Number 4</t>
  </si>
  <si>
    <t>October 1985</t>
  </si>
  <si>
    <t>volunteers_vol7-no5</t>
  </si>
  <si>
    <t>Majors' memo: coach majors' report on Wake Forest game - Volunteers take Wake 31-29 - Scouting report: 1985 Florida Gators - This week in college football history - Florida's Criswell faces thankless job - Season stats - Vol-Gator facts - This week in Big Orange Country</t>
  </si>
  <si>
    <t>Volume 7, Number 5</t>
  </si>
  <si>
    <t>October 12, 1985</t>
  </si>
  <si>
    <t>1985-10-12</t>
  </si>
  <si>
    <t>volunteers_vol7-no6</t>
  </si>
  <si>
    <t>Tennessee Volunteers magazine, October 19, 1985</t>
  </si>
  <si>
    <t>Majors' memo: coach majors' report on the Florida Game - Gators escape with 17-10 win - Scouting report: Alabama Crimson Tide - The view from the sideline - UT has colorful legacy at Legion Field - Season stats - Vol-Tide facts - This week in Big Orange Country - Hall of Fame salutes football's best</t>
  </si>
  <si>
    <t>Volume 7, Number 6</t>
  </si>
  <si>
    <t>October 19, 1985</t>
  </si>
  <si>
    <t>volunteers_vol7-no7</t>
  </si>
  <si>
    <t>Tennessee Volunteers magazine, October 26, 1985</t>
  </si>
  <si>
    <t>Tennessee Volunteers magazine / Smokey's tale, October 26, 1985</t>
  </si>
  <si>
    <t>Majors' memo: coach majors' report on the Alabama game - UT tops Bama in 16-14 thriller: Robinson suffers knee injury, may be sidelined for season - Scouting report: Georgia Tech Yellow Jackets - SEC notebook - Tech's Lee dresses himself in catches - Season stats - Vol-Jacket facts - This week in Big Orange Country - Opponent schedules, scores</t>
  </si>
  <si>
    <t>Volume 7, Number 7</t>
  </si>
  <si>
    <t>October 26, 1985</t>
  </si>
  <si>
    <t>volunteers_vol7-no8</t>
  </si>
  <si>
    <t>Tennessee Volunteers magazine, November 2, 1985</t>
  </si>
  <si>
    <t>Tennessee Volunteers magazine / Smokey's tale, November 2, 1985</t>
  </si>
  <si>
    <t>Majors' memo: coach majors' report on Georgia Tech game - Vols battle back to tie Tech - Scouting report: Rutgers Scarlet Kings - Ask Coach Majors - Robinson may be sidelined for a year - Stokely gets new floor - Season stats - Vol-Knight facts - This week in Big Orange Country</t>
  </si>
  <si>
    <t>Volume 7, Number 8</t>
  </si>
  <si>
    <t>November 2, 1985</t>
  </si>
  <si>
    <t>volunteers_vol7-no9</t>
  </si>
  <si>
    <t>Tennessee Volunteers magazine, November 1985</t>
  </si>
  <si>
    <t>Secondary education - Protective custody - Nobody does it better - The first championship - Bon appetit! - The last word</t>
  </si>
  <si>
    <t>Volume 7, Number 9</t>
  </si>
  <si>
    <t>November 1985</t>
  </si>
  <si>
    <t>volunteers_vol8-no1</t>
  </si>
  <si>
    <t>Tennessee Volunteers magazine, September 13, 1986</t>
  </si>
  <si>
    <t>Tennessee Volunteers magazine / Smokey's tale, September 13, 1986</t>
  </si>
  <si>
    <t>Majors' memo: coach majors' report on New Mexico game - Vols open with 35-21 victory - Scouting report: Mississippi State Bulldogs - Ask coach Majors - Administrative Promotions Announced - Boxes planned - Season stats - Opponent schedules, scores - Vol-Bulldog facts - This week in Big Orange Country</t>
  </si>
  <si>
    <t>Volume 8, Number 1</t>
  </si>
  <si>
    <t>September 13, 1986</t>
  </si>
  <si>
    <t>volunteers_vol8-no2</t>
  </si>
  <si>
    <t>Tennessee Volunteers magazine, September 1986</t>
  </si>
  <si>
    <t>Tennessee Volunteers magazine / Smokey's tale, September 1986</t>
  </si>
  <si>
    <t>The challenge - Hit parade - Great Scott! - State secrets - The receiving end - The last word</t>
  </si>
  <si>
    <t>Volume 8, Number 2</t>
  </si>
  <si>
    <t>September 1986</t>
  </si>
  <si>
    <t>volunteers_vol8-no3</t>
  </si>
  <si>
    <t>Tennessee Volunteers magazine, September 27, 1986</t>
  </si>
  <si>
    <t>Tennessee Volunteers magazine / Smokey's tale, September 27, 1986</t>
  </si>
  <si>
    <t>Majors' memo: coach majors' report on the Miss. State game - Smith, State whip Vols 27-33 - Scouting report: 1986 Auburn Tigers - SEC Notebook - Colquitt returns as Volunteer coach - Season stats - Vol-Tiger facts - This week in Big Orange Country</t>
  </si>
  <si>
    <t>Volume 8, Number 3</t>
  </si>
  <si>
    <t>September 27, 1986</t>
  </si>
  <si>
    <t>volunteers_vol8-no4</t>
  </si>
  <si>
    <t>Tennessee Volunteers magazine, October 4, 1986</t>
  </si>
  <si>
    <t>Tennessee Volunteers magazine / Smokey's tale, October 4, 1986</t>
  </si>
  <si>
    <t xml:space="preserve">Majors' memo: coach Majors' report on the Auburn Game - Auburn avenges '85 Loss, 34-8 - Scouting report: 1986 Texas-El Paso Miners - Cross-country Vols ready to defend title - 10 years ago: Vols thwarted Clemson for second time - Season stats - Vol-Miner - This week in Big Orange Country </t>
  </si>
  <si>
    <t>Volume 8, Number 4</t>
  </si>
  <si>
    <t>October 4, 1986</t>
  </si>
  <si>
    <t>volunteers_vol8-no5</t>
  </si>
  <si>
    <t>Tennessee Volunteers magazine, October 1986</t>
  </si>
  <si>
    <t>Tennessee Volunteers magazine / Smokey's tale, October 1986</t>
  </si>
  <si>
    <t>The wild life - The graduate - Carlos Reveiz, American - Decade of destiny - We want Wilkerson - The last word</t>
  </si>
  <si>
    <t>Volume 8, Number 5</t>
  </si>
  <si>
    <t>October 1986</t>
  </si>
  <si>
    <t>volunteers_vol8-no6</t>
  </si>
  <si>
    <t>Tennessee Volunteers magazine, October 11, 1986</t>
  </si>
  <si>
    <t>Tennessee Volunteers magazine / Smokey's tale, October 11, 1986</t>
  </si>
  <si>
    <t xml:space="preserve">Majors' memo: coach Majors' report on the UTEP game - Volunteers defeat Miners 26-16 - Scouting report: 1986 Army Black Knights - Howard makes mark as Volunteer back - UT has colorful past with academics - Season stats - Vol-Cadet facts - This week in Big Orange Country </t>
  </si>
  <si>
    <t>Volume 8, Number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</si>
</sst>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
  </numFmts>
  <fonts count="14" x14ac:knownFonts="1">
    <font>
      <sz val="10"/>
      <color rgb="FF000000"/>
      <name val="Arial"/>
    </font>
    <font>
      <sz val="10"/>
      <color theme="1"/>
      <name val="Arial"/>
    </font>
    <font>
      <sz val="9"/>
      <color rgb="FF1D1C1D"/>
      <name val="Monaco"/>
    </font>
    <font>
      <sz val="10"/>
      <name val="Arial"/>
    </font>
    <font>
      <u/>
      <sz val="10"/>
      <color rgb="FF1155CC"/>
      <name val="Arial"/>
    </font>
    <font>
      <u/>
      <sz val="10"/>
      <color rgb="FF0000FF"/>
      <name val="Arial"/>
    </font>
    <font>
      <u/>
      <sz val="10"/>
      <color rgb="FF0000FF"/>
      <name val="Arial"/>
    </font>
    <font>
      <sz val="10"/>
      <color rgb="FF000000"/>
      <name val="Arial"/>
    </font>
    <font>
      <u/>
      <sz val="10"/>
      <color rgb="FF1155CC"/>
      <name val="Arial"/>
    </font>
    <font>
      <sz val="10"/>
      <color rgb="FF000000"/>
      <name val="Roboto"/>
    </font>
    <font>
      <u/>
      <sz val="10"/>
      <color rgb="FF0000FF"/>
      <name val="Arial"/>
    </font>
    <font>
      <sz val="11"/>
      <name val="Arial"/>
    </font>
    <font>
      <sz val="11"/>
      <color theme="1"/>
      <name val="Arial"/>
    </font>
    <font>
      <u/>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0" borderId="0" xfId="0" applyFont="1" applyAlignment="1">
      <alignment wrapText="1"/>
    </xf>
    <xf numFmtId="49" fontId="1" fillId="0" borderId="0" xfId="0" applyNumberFormat="1" applyFont="1" applyAlignment="1"/>
    <xf numFmtId="0" fontId="2" fillId="0" borderId="0" xfId="0" applyFont="1" applyAlignment="1">
      <alignment horizontal="lef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xf numFmtId="0" fontId="7" fillId="2" borderId="0" xfId="0" applyFont="1" applyFill="1" applyAlignment="1">
      <alignment horizontal="left"/>
    </xf>
    <xf numFmtId="0" fontId="7" fillId="2" borderId="0" xfId="0" applyFont="1" applyFill="1" applyAlignment="1">
      <alignment horizontal="left" wrapText="1"/>
    </xf>
    <xf numFmtId="0" fontId="2" fillId="3" borderId="0" xfId="0" applyFont="1" applyFill="1" applyAlignment="1">
      <alignment horizontal="left" wrapText="1"/>
    </xf>
    <xf numFmtId="0" fontId="1" fillId="3" borderId="0" xfId="0" applyFont="1" applyFill="1" applyAlignment="1"/>
    <xf numFmtId="0" fontId="7" fillId="3" borderId="0" xfId="0" applyFont="1" applyFill="1" applyAlignment="1">
      <alignment horizontal="left"/>
    </xf>
    <xf numFmtId="0" fontId="1" fillId="3" borderId="0" xfId="0" applyFont="1" applyFill="1" applyAlignment="1">
      <alignment wrapText="1"/>
    </xf>
    <xf numFmtId="0" fontId="1" fillId="3" borderId="0" xfId="0" applyFont="1" applyFill="1"/>
    <xf numFmtId="49" fontId="1" fillId="3" borderId="0" xfId="0" applyNumberFormat="1" applyFont="1" applyFill="1" applyAlignment="1"/>
    <xf numFmtId="0" fontId="8" fillId="3" borderId="0" xfId="0" applyFont="1" applyFill="1" applyAlignment="1"/>
    <xf numFmtId="49" fontId="1" fillId="0" borderId="0" xfId="0" applyNumberFormat="1" applyFont="1" applyAlignment="1">
      <alignment horizontal="right"/>
    </xf>
    <xf numFmtId="0" fontId="1" fillId="0" borderId="0" xfId="0" applyFont="1"/>
    <xf numFmtId="0" fontId="9" fillId="2" borderId="0" xfId="0" applyFont="1" applyFill="1" applyAlignment="1"/>
    <xf numFmtId="0" fontId="1" fillId="0" borderId="0" xfId="0" applyFont="1" applyAlignment="1">
      <alignment wrapText="1"/>
    </xf>
    <xf numFmtId="49" fontId="9" fillId="2" borderId="0" xfId="0" applyNumberFormat="1" applyFont="1" applyFill="1" applyAlignment="1"/>
    <xf numFmtId="0" fontId="10" fillId="0" borderId="0" xfId="0" applyFont="1" applyAlignment="1">
      <alignment wrapText="1"/>
    </xf>
    <xf numFmtId="0" fontId="3" fillId="0" borderId="0" xfId="0" applyFont="1" applyAlignment="1"/>
    <xf numFmtId="0" fontId="11" fillId="0" borderId="0" xfId="0" applyFont="1" applyAlignment="1">
      <alignment wrapText="1"/>
    </xf>
    <xf numFmtId="0" fontId="12" fillId="0" borderId="0" xfId="0" applyFont="1" applyAlignment="1"/>
    <xf numFmtId="0" fontId="1" fillId="0" borderId="0" xfId="0" applyFont="1" applyAlignment="1">
      <alignment wrapText="1"/>
    </xf>
    <xf numFmtId="0" fontId="13" fillId="3" borderId="0" xfId="0" applyFont="1" applyFill="1" applyAlignment="1"/>
    <xf numFmtId="49" fontId="1" fillId="0" borderId="0" xfId="0" applyNumberFormat="1" applyFont="1"/>
    <xf numFmtId="168" fontId="1" fillId="0" borderId="0" xfId="0" applyNumberFormat="1" applyFont="1" applyAlignment="1"/>
    <xf numFmtId="168" fontId="1" fillId="3" borderId="0" xfId="0" applyNumberFormat="1" applyFont="1" applyFill="1" applyAlignment="1"/>
    <xf numFmtId="168"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rightsstatements.org/vocab/InC/1.0/" TargetMode="External"/><Relationship Id="rId21" Type="http://schemas.openxmlformats.org/officeDocument/2006/relationships/hyperlink" Target="http://rightsstatements.org/vocab/InC/1.0/" TargetMode="External"/><Relationship Id="rId42" Type="http://schemas.openxmlformats.org/officeDocument/2006/relationships/hyperlink" Target="http://rightsstatements.org/vocab/InC/1.0/" TargetMode="External"/><Relationship Id="rId63" Type="http://schemas.openxmlformats.org/officeDocument/2006/relationships/hyperlink" Target="http://rightsstatements.org/vocab/InC/1.0/" TargetMode="External"/><Relationship Id="rId84" Type="http://schemas.openxmlformats.org/officeDocument/2006/relationships/hyperlink" Target="http://rightsstatements.org/vocab/InC/1.0/" TargetMode="External"/><Relationship Id="rId138" Type="http://schemas.openxmlformats.org/officeDocument/2006/relationships/hyperlink" Target="http://rightsstatements.org/vocab/InC/1.0/" TargetMode="External"/><Relationship Id="rId159" Type="http://schemas.openxmlformats.org/officeDocument/2006/relationships/hyperlink" Target="http://rightsstatements.org/vocab/InC/1.0/" TargetMode="External"/><Relationship Id="rId170" Type="http://schemas.openxmlformats.org/officeDocument/2006/relationships/hyperlink" Target="http://rightsstatements.org/vocab/InC/1.0/" TargetMode="External"/><Relationship Id="rId191" Type="http://schemas.openxmlformats.org/officeDocument/2006/relationships/hyperlink" Target="http://rightsstatements.org/vocab/NoC-US/1.0/" TargetMode="External"/><Relationship Id="rId205" Type="http://schemas.openxmlformats.org/officeDocument/2006/relationships/hyperlink" Target="http://rightsstatements.org/vocab/NoC-US/1.0/" TargetMode="External"/><Relationship Id="rId107" Type="http://schemas.openxmlformats.org/officeDocument/2006/relationships/hyperlink" Target="http://rightsstatements.org/vocab/InC/1.0/" TargetMode="External"/><Relationship Id="rId11" Type="http://schemas.openxmlformats.org/officeDocument/2006/relationships/hyperlink" Target="http://rightsstatements.org/vocab/InC/1.0/" TargetMode="External"/><Relationship Id="rId32" Type="http://schemas.openxmlformats.org/officeDocument/2006/relationships/hyperlink" Target="http://rightsstatements.org/vocab/InC/1.0/" TargetMode="External"/><Relationship Id="rId53" Type="http://schemas.openxmlformats.org/officeDocument/2006/relationships/hyperlink" Target="http://rightsstatements.org/vocab/InC/1.0/" TargetMode="External"/><Relationship Id="rId74" Type="http://schemas.openxmlformats.org/officeDocument/2006/relationships/hyperlink" Target="http://rightsstatements.org/vocab/InC/1.0/" TargetMode="External"/><Relationship Id="rId128" Type="http://schemas.openxmlformats.org/officeDocument/2006/relationships/hyperlink" Target="http://rightsstatements.org/vocab/InC/1.0/" TargetMode="External"/><Relationship Id="rId149" Type="http://schemas.openxmlformats.org/officeDocument/2006/relationships/hyperlink" Target="http://rightsstatements.org/vocab/InC/1.0/" TargetMode="External"/><Relationship Id="rId5" Type="http://schemas.openxmlformats.org/officeDocument/2006/relationships/hyperlink" Target="http://rightsstatements.org/vocab/InC/1.0/" TargetMode="External"/><Relationship Id="rId95" Type="http://schemas.openxmlformats.org/officeDocument/2006/relationships/hyperlink" Target="http://rightsstatements.org/vocab/InC/1.0/" TargetMode="External"/><Relationship Id="rId160" Type="http://schemas.openxmlformats.org/officeDocument/2006/relationships/hyperlink" Target="http://rightsstatements.org/vocab/InC/1.0/" TargetMode="External"/><Relationship Id="rId181" Type="http://schemas.openxmlformats.org/officeDocument/2006/relationships/hyperlink" Target="http://rightsstatements.org/vocab/InC/1.0/" TargetMode="External"/><Relationship Id="rId216" Type="http://schemas.openxmlformats.org/officeDocument/2006/relationships/hyperlink" Target="http://rightsstatements.org/vocab/NoC-US/1.0/" TargetMode="External"/><Relationship Id="rId22" Type="http://schemas.openxmlformats.org/officeDocument/2006/relationships/hyperlink" Target="http://rightsstatements.org/vocab/InC/1.0/" TargetMode="External"/><Relationship Id="rId43" Type="http://schemas.openxmlformats.org/officeDocument/2006/relationships/hyperlink" Target="http://rightsstatements.org/vocab/InC/1.0/" TargetMode="External"/><Relationship Id="rId64" Type="http://schemas.openxmlformats.org/officeDocument/2006/relationships/hyperlink" Target="http://rightsstatements.org/vocab/InC/1.0/" TargetMode="External"/><Relationship Id="rId118" Type="http://schemas.openxmlformats.org/officeDocument/2006/relationships/hyperlink" Target="http://rightsstatements.org/vocab/InC/1.0/" TargetMode="External"/><Relationship Id="rId139" Type="http://schemas.openxmlformats.org/officeDocument/2006/relationships/hyperlink" Target="http://rightsstatements.org/vocab/InC/1.0/" TargetMode="External"/><Relationship Id="rId85" Type="http://schemas.openxmlformats.org/officeDocument/2006/relationships/hyperlink" Target="http://rightsstatements.org/vocab/InC/1.0/" TargetMode="External"/><Relationship Id="rId150" Type="http://schemas.openxmlformats.org/officeDocument/2006/relationships/hyperlink" Target="http://rightsstatements.org/vocab/InC/1.0/" TargetMode="External"/><Relationship Id="rId171" Type="http://schemas.openxmlformats.org/officeDocument/2006/relationships/hyperlink" Target="http://rightsstatements.org/vocab/InC/1.0/" TargetMode="External"/><Relationship Id="rId192" Type="http://schemas.openxmlformats.org/officeDocument/2006/relationships/hyperlink" Target="http://rightsstatements.org/vocab/NoC-US/1.0/" TargetMode="External"/><Relationship Id="rId206" Type="http://schemas.openxmlformats.org/officeDocument/2006/relationships/hyperlink" Target="http://rightsstatements.org/vocab/NoC-US/1.0/" TargetMode="External"/><Relationship Id="rId12" Type="http://schemas.openxmlformats.org/officeDocument/2006/relationships/hyperlink" Target="http://rightsstatements.org/vocab/InC/1.0/" TargetMode="External"/><Relationship Id="rId33" Type="http://schemas.openxmlformats.org/officeDocument/2006/relationships/hyperlink" Target="http://rightsstatements.org/vocab/InC/1.0/" TargetMode="External"/><Relationship Id="rId108" Type="http://schemas.openxmlformats.org/officeDocument/2006/relationships/hyperlink" Target="http://rightsstatements.org/vocab/InC/1.0/" TargetMode="External"/><Relationship Id="rId129" Type="http://schemas.openxmlformats.org/officeDocument/2006/relationships/hyperlink" Target="http://rightsstatements.org/vocab/InC/1.0/" TargetMode="External"/><Relationship Id="rId54" Type="http://schemas.openxmlformats.org/officeDocument/2006/relationships/hyperlink" Target="http://rightsstatements.org/vocab/InC/1.0/" TargetMode="External"/><Relationship Id="rId75" Type="http://schemas.openxmlformats.org/officeDocument/2006/relationships/hyperlink" Target="http://rightsstatements.org/vocab/InC/1.0/" TargetMode="External"/><Relationship Id="rId96" Type="http://schemas.openxmlformats.org/officeDocument/2006/relationships/hyperlink" Target="http://rightsstatements.org/vocab/InC/1.0/" TargetMode="External"/><Relationship Id="rId140" Type="http://schemas.openxmlformats.org/officeDocument/2006/relationships/hyperlink" Target="http://rightsstatements.org/vocab/InC/1.0/" TargetMode="External"/><Relationship Id="rId161" Type="http://schemas.openxmlformats.org/officeDocument/2006/relationships/hyperlink" Target="http://rightsstatements.org/vocab/InC/1.0/" TargetMode="External"/><Relationship Id="rId182" Type="http://schemas.openxmlformats.org/officeDocument/2006/relationships/hyperlink" Target="http://rightsstatements.org/vocab/InC/1.0/" TargetMode="External"/><Relationship Id="rId217" Type="http://schemas.openxmlformats.org/officeDocument/2006/relationships/hyperlink" Target="http://rightsstatements.org/vocab/InC/1.0/" TargetMode="External"/><Relationship Id="rId6" Type="http://schemas.openxmlformats.org/officeDocument/2006/relationships/hyperlink" Target="http://rightsstatements.org/vocab/InC/1.0/" TargetMode="External"/><Relationship Id="rId23" Type="http://schemas.openxmlformats.org/officeDocument/2006/relationships/hyperlink" Target="http://rightsstatements.org/vocab/InC/1.0/" TargetMode="External"/><Relationship Id="rId119" Type="http://schemas.openxmlformats.org/officeDocument/2006/relationships/hyperlink" Target="http://rightsstatements.org/vocab/InC/1.0/" TargetMode="External"/><Relationship Id="rId44" Type="http://schemas.openxmlformats.org/officeDocument/2006/relationships/hyperlink" Target="http://rightsstatements.org/vocab/InC/1.0/" TargetMode="External"/><Relationship Id="rId65" Type="http://schemas.openxmlformats.org/officeDocument/2006/relationships/hyperlink" Target="http://rightsstatements.org/vocab/InC/1.0/" TargetMode="External"/><Relationship Id="rId86" Type="http://schemas.openxmlformats.org/officeDocument/2006/relationships/hyperlink" Target="http://rightsstatements.org/vocab/InC/1.0/" TargetMode="External"/><Relationship Id="rId130" Type="http://schemas.openxmlformats.org/officeDocument/2006/relationships/hyperlink" Target="http://rightsstatements.org/vocab/InC/1.0/" TargetMode="External"/><Relationship Id="rId151" Type="http://schemas.openxmlformats.org/officeDocument/2006/relationships/hyperlink" Target="http://rightsstatements.org/vocab/InC/1.0/" TargetMode="External"/><Relationship Id="rId172" Type="http://schemas.openxmlformats.org/officeDocument/2006/relationships/hyperlink" Target="http://rightsstatements.org/vocab/InC/1.0/" TargetMode="External"/><Relationship Id="rId193" Type="http://schemas.openxmlformats.org/officeDocument/2006/relationships/hyperlink" Target="http://rightsstatements.org/vocab/NoC-US/1.0/" TargetMode="External"/><Relationship Id="rId207" Type="http://schemas.openxmlformats.org/officeDocument/2006/relationships/hyperlink" Target="http://rightsstatements.org/vocab/InC/1.0/" TargetMode="External"/><Relationship Id="rId13" Type="http://schemas.openxmlformats.org/officeDocument/2006/relationships/hyperlink" Target="http://rightsstatements.org/vocab/InC/1.0/" TargetMode="External"/><Relationship Id="rId109" Type="http://schemas.openxmlformats.org/officeDocument/2006/relationships/hyperlink" Target="http://rightsstatements.org/vocab/InC/1.0/" TargetMode="External"/><Relationship Id="rId34" Type="http://schemas.openxmlformats.org/officeDocument/2006/relationships/hyperlink" Target="http://rightsstatements.org/vocab/InC/1.0/" TargetMode="External"/><Relationship Id="rId55" Type="http://schemas.openxmlformats.org/officeDocument/2006/relationships/hyperlink" Target="http://rightsstatements.org/vocab/InC/1.0/" TargetMode="External"/><Relationship Id="rId76" Type="http://schemas.openxmlformats.org/officeDocument/2006/relationships/hyperlink" Target="http://rightsstatements.org/vocab/InC/1.0/" TargetMode="External"/><Relationship Id="rId97" Type="http://schemas.openxmlformats.org/officeDocument/2006/relationships/hyperlink" Target="http://rightsstatements.org/vocab/InC/1.0/" TargetMode="External"/><Relationship Id="rId120" Type="http://schemas.openxmlformats.org/officeDocument/2006/relationships/hyperlink" Target="http://rightsstatements.org/vocab/InC/1.0/" TargetMode="External"/><Relationship Id="rId141" Type="http://schemas.openxmlformats.org/officeDocument/2006/relationships/hyperlink" Target="http://rightsstatements.org/vocab/InC/1.0/" TargetMode="External"/><Relationship Id="rId7" Type="http://schemas.openxmlformats.org/officeDocument/2006/relationships/hyperlink" Target="http://rightsstatements.org/vocab/InC/1.0/" TargetMode="External"/><Relationship Id="rId162" Type="http://schemas.openxmlformats.org/officeDocument/2006/relationships/hyperlink" Target="http://rightsstatements.org/vocab/InC/1.0/" TargetMode="External"/><Relationship Id="rId183" Type="http://schemas.openxmlformats.org/officeDocument/2006/relationships/hyperlink" Target="http://rightsstatements.org/vocab/InC/1.0/" TargetMode="External"/><Relationship Id="rId218" Type="http://schemas.openxmlformats.org/officeDocument/2006/relationships/hyperlink" Target="http://rightsstatements.org/vocab/NoC-US/1.0/" TargetMode="External"/><Relationship Id="rId24" Type="http://schemas.openxmlformats.org/officeDocument/2006/relationships/hyperlink" Target="http://rightsstatements.org/vocab/InC/1.0/" TargetMode="External"/><Relationship Id="rId45" Type="http://schemas.openxmlformats.org/officeDocument/2006/relationships/hyperlink" Target="http://rightsstatements.org/vocab/InC/1.0/" TargetMode="External"/><Relationship Id="rId66" Type="http://schemas.openxmlformats.org/officeDocument/2006/relationships/hyperlink" Target="http://rightsstatements.org/vocab/InC/1.0/" TargetMode="External"/><Relationship Id="rId87" Type="http://schemas.openxmlformats.org/officeDocument/2006/relationships/hyperlink" Target="http://rightsstatements.org/vocab/InC/1.0/" TargetMode="External"/><Relationship Id="rId110" Type="http://schemas.openxmlformats.org/officeDocument/2006/relationships/hyperlink" Target="http://rightsstatements.org/vocab/InC/1.0/" TargetMode="External"/><Relationship Id="rId131" Type="http://schemas.openxmlformats.org/officeDocument/2006/relationships/hyperlink" Target="http://rightsstatements.org/vocab/InC/1.0/" TargetMode="External"/><Relationship Id="rId152" Type="http://schemas.openxmlformats.org/officeDocument/2006/relationships/hyperlink" Target="http://rightsstatements.org/vocab/InC/1.0/" TargetMode="External"/><Relationship Id="rId173" Type="http://schemas.openxmlformats.org/officeDocument/2006/relationships/hyperlink" Target="http://rightsstatements.org/vocab/InC/1.0/" TargetMode="External"/><Relationship Id="rId194" Type="http://schemas.openxmlformats.org/officeDocument/2006/relationships/hyperlink" Target="http://rightsstatements.org/vocab/NoC-US/1.0/" TargetMode="External"/><Relationship Id="rId208" Type="http://schemas.openxmlformats.org/officeDocument/2006/relationships/hyperlink" Target="http://rightsstatements.org/vocab/NoC-US/1.0/" TargetMode="External"/><Relationship Id="rId14" Type="http://schemas.openxmlformats.org/officeDocument/2006/relationships/hyperlink" Target="http://rightsstatements.org/vocab/InC/1.0/" TargetMode="External"/><Relationship Id="rId30" Type="http://schemas.openxmlformats.org/officeDocument/2006/relationships/hyperlink" Target="http://rightsstatements.org/vocab/InC/1.0/" TargetMode="External"/><Relationship Id="rId35" Type="http://schemas.openxmlformats.org/officeDocument/2006/relationships/hyperlink" Target="http://rightsstatements.org/vocab/InC/1.0/" TargetMode="External"/><Relationship Id="rId56" Type="http://schemas.openxmlformats.org/officeDocument/2006/relationships/hyperlink" Target="http://rightsstatements.org/vocab/InC/1.0/" TargetMode="External"/><Relationship Id="rId77" Type="http://schemas.openxmlformats.org/officeDocument/2006/relationships/hyperlink" Target="http://rightsstatements.org/vocab/InC/1.0/" TargetMode="External"/><Relationship Id="rId100" Type="http://schemas.openxmlformats.org/officeDocument/2006/relationships/hyperlink" Target="http://rightsstatements.org/vocab/InC/1.0/" TargetMode="External"/><Relationship Id="rId105" Type="http://schemas.openxmlformats.org/officeDocument/2006/relationships/hyperlink" Target="http://rightsstatements.org/vocab/InC/1.0/" TargetMode="External"/><Relationship Id="rId126" Type="http://schemas.openxmlformats.org/officeDocument/2006/relationships/hyperlink" Target="http://rightsstatements.org/vocab/InC/1.0/" TargetMode="External"/><Relationship Id="rId147" Type="http://schemas.openxmlformats.org/officeDocument/2006/relationships/hyperlink" Target="http://rightsstatements.org/vocab/InC/1.0/" TargetMode="External"/><Relationship Id="rId168" Type="http://schemas.openxmlformats.org/officeDocument/2006/relationships/hyperlink" Target="http://rightsstatements.org/vocab/InC/1.0/" TargetMode="External"/><Relationship Id="rId8" Type="http://schemas.openxmlformats.org/officeDocument/2006/relationships/hyperlink" Target="http://rightsstatements.org/vocab/InC/1.0/" TargetMode="External"/><Relationship Id="rId51" Type="http://schemas.openxmlformats.org/officeDocument/2006/relationships/hyperlink" Target="http://rightsstatements.org/vocab/InC/1.0/" TargetMode="External"/><Relationship Id="rId72" Type="http://schemas.openxmlformats.org/officeDocument/2006/relationships/hyperlink" Target="http://rightsstatements.org/vocab/InC/1.0/" TargetMode="External"/><Relationship Id="rId93" Type="http://schemas.openxmlformats.org/officeDocument/2006/relationships/hyperlink" Target="http://rightsstatements.org/vocab/InC/1.0/" TargetMode="External"/><Relationship Id="rId98" Type="http://schemas.openxmlformats.org/officeDocument/2006/relationships/hyperlink" Target="http://rightsstatements.org/vocab/InC/1.0/" TargetMode="External"/><Relationship Id="rId121" Type="http://schemas.openxmlformats.org/officeDocument/2006/relationships/hyperlink" Target="http://rightsstatements.org/vocab/InC/1.0/" TargetMode="External"/><Relationship Id="rId142" Type="http://schemas.openxmlformats.org/officeDocument/2006/relationships/hyperlink" Target="http://rightsstatements.org/vocab/InC/1.0/" TargetMode="External"/><Relationship Id="rId163" Type="http://schemas.openxmlformats.org/officeDocument/2006/relationships/hyperlink" Target="http://rightsstatements.org/vocab/InC/1.0/" TargetMode="External"/><Relationship Id="rId184" Type="http://schemas.openxmlformats.org/officeDocument/2006/relationships/hyperlink" Target="http://rightsstatements.org/vocab/InC/1.0/" TargetMode="External"/><Relationship Id="rId189" Type="http://schemas.openxmlformats.org/officeDocument/2006/relationships/hyperlink" Target="http://rightsstatements.org/vocab/NoC-US/1.0/" TargetMode="External"/><Relationship Id="rId219" Type="http://schemas.openxmlformats.org/officeDocument/2006/relationships/vmlDrawing" Target="../drawings/vmlDrawing1.vml"/><Relationship Id="rId3" Type="http://schemas.openxmlformats.org/officeDocument/2006/relationships/hyperlink" Target="http://rightsstatements.org/vocab/InC/1.0/" TargetMode="External"/><Relationship Id="rId214" Type="http://schemas.openxmlformats.org/officeDocument/2006/relationships/hyperlink" Target="http://rightsstatements.org/vocab/InC/1.0/" TargetMode="External"/><Relationship Id="rId25" Type="http://schemas.openxmlformats.org/officeDocument/2006/relationships/hyperlink" Target="http://rightsstatements.org/vocab/InC/1.0/" TargetMode="External"/><Relationship Id="rId46" Type="http://schemas.openxmlformats.org/officeDocument/2006/relationships/hyperlink" Target="http://rightsstatements.org/vocab/InC/1.0/" TargetMode="External"/><Relationship Id="rId67" Type="http://schemas.openxmlformats.org/officeDocument/2006/relationships/hyperlink" Target="http://rightsstatements.org/vocab/InC/1.0/" TargetMode="External"/><Relationship Id="rId116" Type="http://schemas.openxmlformats.org/officeDocument/2006/relationships/hyperlink" Target="http://rightsstatements.org/vocab/InC/1.0/" TargetMode="External"/><Relationship Id="rId137" Type="http://schemas.openxmlformats.org/officeDocument/2006/relationships/hyperlink" Target="http://rightsstatements.org/vocab/InC/1.0/" TargetMode="External"/><Relationship Id="rId158" Type="http://schemas.openxmlformats.org/officeDocument/2006/relationships/hyperlink" Target="http://rightsstatements.org/vocab/InC/1.0/" TargetMode="External"/><Relationship Id="rId20" Type="http://schemas.openxmlformats.org/officeDocument/2006/relationships/hyperlink" Target="http://rightsstatements.org/vocab/InC/1.0/" TargetMode="External"/><Relationship Id="rId41" Type="http://schemas.openxmlformats.org/officeDocument/2006/relationships/hyperlink" Target="http://rightsstatements.org/vocab/InC/1.0/" TargetMode="External"/><Relationship Id="rId62" Type="http://schemas.openxmlformats.org/officeDocument/2006/relationships/hyperlink" Target="http://rightsstatements.org/vocab/InC/1.0/" TargetMode="External"/><Relationship Id="rId83" Type="http://schemas.openxmlformats.org/officeDocument/2006/relationships/hyperlink" Target="http://rightsstatements.org/vocab/InC/1.0/" TargetMode="External"/><Relationship Id="rId88" Type="http://schemas.openxmlformats.org/officeDocument/2006/relationships/hyperlink" Target="http://rightsstatements.org/vocab/InC/1.0/" TargetMode="External"/><Relationship Id="rId111" Type="http://schemas.openxmlformats.org/officeDocument/2006/relationships/hyperlink" Target="http://rightsstatements.org/vocab/InC/1.0/" TargetMode="External"/><Relationship Id="rId132" Type="http://schemas.openxmlformats.org/officeDocument/2006/relationships/hyperlink" Target="http://rightsstatements.org/vocab/InC/1.0/" TargetMode="External"/><Relationship Id="rId153" Type="http://schemas.openxmlformats.org/officeDocument/2006/relationships/hyperlink" Target="http://rightsstatements.org/vocab/InC/1.0/" TargetMode="External"/><Relationship Id="rId174" Type="http://schemas.openxmlformats.org/officeDocument/2006/relationships/hyperlink" Target="http://rightsstatements.org/vocab/InC/1.0/" TargetMode="External"/><Relationship Id="rId179" Type="http://schemas.openxmlformats.org/officeDocument/2006/relationships/hyperlink" Target="http://rightsstatements.org/vocab/InC/1.0/" TargetMode="External"/><Relationship Id="rId195" Type="http://schemas.openxmlformats.org/officeDocument/2006/relationships/hyperlink" Target="http://rightsstatements.org/vocab/NoC-US/1.0/" TargetMode="External"/><Relationship Id="rId209" Type="http://schemas.openxmlformats.org/officeDocument/2006/relationships/hyperlink" Target="http://rightsstatements.org/vocab/NoC-US/1.0/" TargetMode="External"/><Relationship Id="rId190" Type="http://schemas.openxmlformats.org/officeDocument/2006/relationships/hyperlink" Target="http://rightsstatements.org/vocab/InC/1.0/" TargetMode="External"/><Relationship Id="rId204" Type="http://schemas.openxmlformats.org/officeDocument/2006/relationships/hyperlink" Target="http://rightsstatements.org/vocab/NoC-US/1.0/" TargetMode="External"/><Relationship Id="rId220" Type="http://schemas.openxmlformats.org/officeDocument/2006/relationships/comments" Target="../comments1.xml"/><Relationship Id="rId15" Type="http://schemas.openxmlformats.org/officeDocument/2006/relationships/hyperlink" Target="http://rightsstatements.org/vocab/InC/1.0/" TargetMode="External"/><Relationship Id="rId36" Type="http://schemas.openxmlformats.org/officeDocument/2006/relationships/hyperlink" Target="http://rightsstatements.org/vocab/InC/1.0/" TargetMode="External"/><Relationship Id="rId57" Type="http://schemas.openxmlformats.org/officeDocument/2006/relationships/hyperlink" Target="http://rightsstatements.org/vocab/InC/1.0/" TargetMode="External"/><Relationship Id="rId106" Type="http://schemas.openxmlformats.org/officeDocument/2006/relationships/hyperlink" Target="http://sterlingmartin.net/" TargetMode="External"/><Relationship Id="rId127" Type="http://schemas.openxmlformats.org/officeDocument/2006/relationships/hyperlink" Target="http://rightsstatements.org/vocab/InC/1.0/" TargetMode="External"/><Relationship Id="rId10" Type="http://schemas.openxmlformats.org/officeDocument/2006/relationships/hyperlink" Target="http://rightsstatements.org/vocab/InC/1.0/" TargetMode="External"/><Relationship Id="rId31" Type="http://schemas.openxmlformats.org/officeDocument/2006/relationships/hyperlink" Target="http://rightsstatements.org/vocab/InC/1.0/" TargetMode="External"/><Relationship Id="rId52" Type="http://schemas.openxmlformats.org/officeDocument/2006/relationships/hyperlink" Target="http://rightsstatements.org/vocab/InC/1.0/" TargetMode="External"/><Relationship Id="rId73" Type="http://schemas.openxmlformats.org/officeDocument/2006/relationships/hyperlink" Target="http://rightsstatements.org/vocab/InC/1.0/" TargetMode="External"/><Relationship Id="rId78" Type="http://schemas.openxmlformats.org/officeDocument/2006/relationships/hyperlink" Target="http://rightsstatements.org/vocab/InC/1.0/" TargetMode="External"/><Relationship Id="rId94" Type="http://schemas.openxmlformats.org/officeDocument/2006/relationships/hyperlink" Target="http://rightsstatements.org/vocab/InC/1.0/" TargetMode="External"/><Relationship Id="rId99" Type="http://schemas.openxmlformats.org/officeDocument/2006/relationships/hyperlink" Target="http://rightsstatements.org/vocab/InC/1.0/" TargetMode="External"/><Relationship Id="rId101" Type="http://schemas.openxmlformats.org/officeDocument/2006/relationships/hyperlink" Target="http://rightsstatements.org/vocab/InC/1.0/" TargetMode="External"/><Relationship Id="rId122" Type="http://schemas.openxmlformats.org/officeDocument/2006/relationships/hyperlink" Target="http://rightsstatements.org/vocab/InC/1.0/" TargetMode="External"/><Relationship Id="rId143" Type="http://schemas.openxmlformats.org/officeDocument/2006/relationships/hyperlink" Target="http://rightsstatements.org/vocab/InC/1.0/" TargetMode="External"/><Relationship Id="rId148" Type="http://schemas.openxmlformats.org/officeDocument/2006/relationships/hyperlink" Target="http://rightsstatements.org/vocab/InC/1.0/" TargetMode="External"/><Relationship Id="rId164" Type="http://schemas.openxmlformats.org/officeDocument/2006/relationships/hyperlink" Target="http://rightsstatements.org/vocab/InC/1.0/" TargetMode="External"/><Relationship Id="rId169" Type="http://schemas.openxmlformats.org/officeDocument/2006/relationships/hyperlink" Target="http://rightsstatements.org/vocab/InC/1.0/" TargetMode="External"/><Relationship Id="rId185" Type="http://schemas.openxmlformats.org/officeDocument/2006/relationships/hyperlink" Target="http://rightsstatements.org/vocab/InC/1.0/" TargetMode="External"/><Relationship Id="rId4" Type="http://schemas.openxmlformats.org/officeDocument/2006/relationships/hyperlink" Target="http://rightsstatements.org/vocab/InC/1.0/" TargetMode="External"/><Relationship Id="rId9" Type="http://schemas.openxmlformats.org/officeDocument/2006/relationships/hyperlink" Target="http://rightsstatements.org/vocab/InC/1.0/" TargetMode="External"/><Relationship Id="rId180" Type="http://schemas.openxmlformats.org/officeDocument/2006/relationships/hyperlink" Target="http://rightsstatements.org/vocab/InC/1.0/" TargetMode="External"/><Relationship Id="rId210" Type="http://schemas.openxmlformats.org/officeDocument/2006/relationships/hyperlink" Target="http://rightsstatements.org/vocab/NoC-US/1.0/" TargetMode="External"/><Relationship Id="rId215" Type="http://schemas.openxmlformats.org/officeDocument/2006/relationships/hyperlink" Target="http://rightsstatements.org/vocab/NoC-US/1.0/" TargetMode="External"/><Relationship Id="rId26" Type="http://schemas.openxmlformats.org/officeDocument/2006/relationships/hyperlink" Target="http://rightsstatements.org/vocab/InC/1.0/" TargetMode="External"/><Relationship Id="rId47" Type="http://schemas.openxmlformats.org/officeDocument/2006/relationships/hyperlink" Target="http://rightsstatements.org/vocab/InC/1.0/" TargetMode="External"/><Relationship Id="rId68" Type="http://schemas.openxmlformats.org/officeDocument/2006/relationships/hyperlink" Target="http://rightsstatements.org/vocab/InC/1.0/" TargetMode="External"/><Relationship Id="rId89" Type="http://schemas.openxmlformats.org/officeDocument/2006/relationships/hyperlink" Target="http://rightsstatements.org/vocab/InC/1.0/" TargetMode="External"/><Relationship Id="rId112" Type="http://schemas.openxmlformats.org/officeDocument/2006/relationships/hyperlink" Target="http://rightsstatements.org/vocab/InC/1.0/" TargetMode="External"/><Relationship Id="rId133" Type="http://schemas.openxmlformats.org/officeDocument/2006/relationships/hyperlink" Target="http://rightsstatements.org/vocab/InC/1.0/" TargetMode="External"/><Relationship Id="rId154" Type="http://schemas.openxmlformats.org/officeDocument/2006/relationships/hyperlink" Target="http://rightsstatements.org/vocab/InC/1.0/" TargetMode="External"/><Relationship Id="rId175" Type="http://schemas.openxmlformats.org/officeDocument/2006/relationships/hyperlink" Target="http://rightsstatements.org/vocab/InC/1.0/" TargetMode="External"/><Relationship Id="rId196" Type="http://schemas.openxmlformats.org/officeDocument/2006/relationships/hyperlink" Target="http://rightsstatements.org/vocab/InC/1.0/" TargetMode="External"/><Relationship Id="rId200" Type="http://schemas.openxmlformats.org/officeDocument/2006/relationships/hyperlink" Target="http://rightsstatements.org/vocab/NoC-US/1.0/" TargetMode="External"/><Relationship Id="rId16" Type="http://schemas.openxmlformats.org/officeDocument/2006/relationships/hyperlink" Target="http://rightsstatements.org/vocab/InC/1.0/" TargetMode="External"/><Relationship Id="rId37" Type="http://schemas.openxmlformats.org/officeDocument/2006/relationships/hyperlink" Target="http://rightsstatements.org/vocab/InC/1.0/" TargetMode="External"/><Relationship Id="rId58" Type="http://schemas.openxmlformats.org/officeDocument/2006/relationships/hyperlink" Target="http://rightsstatements.org/vocab/InC/1.0/" TargetMode="External"/><Relationship Id="rId79" Type="http://schemas.openxmlformats.org/officeDocument/2006/relationships/hyperlink" Target="http://rightsstatements.org/vocab/InC/1.0/" TargetMode="External"/><Relationship Id="rId102" Type="http://schemas.openxmlformats.org/officeDocument/2006/relationships/hyperlink" Target="http://rightsstatements.org/vocab/InC/1.0/" TargetMode="External"/><Relationship Id="rId123" Type="http://schemas.openxmlformats.org/officeDocument/2006/relationships/hyperlink" Target="http://rightsstatements.org/vocab/InC/1.0/" TargetMode="External"/><Relationship Id="rId144" Type="http://schemas.openxmlformats.org/officeDocument/2006/relationships/hyperlink" Target="http://rightsstatements.org/vocab/InC/1.0/" TargetMode="External"/><Relationship Id="rId90" Type="http://schemas.openxmlformats.org/officeDocument/2006/relationships/hyperlink" Target="http://rightsstatements.org/vocab/InC/1.0/" TargetMode="External"/><Relationship Id="rId165" Type="http://schemas.openxmlformats.org/officeDocument/2006/relationships/hyperlink" Target="http://rightsstatements.org/vocab/InC/1.0/" TargetMode="External"/><Relationship Id="rId186" Type="http://schemas.openxmlformats.org/officeDocument/2006/relationships/hyperlink" Target="http://rightsstatements.org/vocab/InC/1.0/" TargetMode="External"/><Relationship Id="rId211" Type="http://schemas.openxmlformats.org/officeDocument/2006/relationships/hyperlink" Target="http://rightsstatements.org/vocab/NoC-US/1.0/" TargetMode="External"/><Relationship Id="rId27" Type="http://schemas.openxmlformats.org/officeDocument/2006/relationships/hyperlink" Target="http://rightsstatements.org/vocab/InC/1.0/" TargetMode="External"/><Relationship Id="rId48" Type="http://schemas.openxmlformats.org/officeDocument/2006/relationships/hyperlink" Target="http://rightsstatements.org/vocab/InC/1.0/" TargetMode="External"/><Relationship Id="rId69" Type="http://schemas.openxmlformats.org/officeDocument/2006/relationships/hyperlink" Target="http://rightsstatements.org/vocab/InC/1.0/" TargetMode="External"/><Relationship Id="rId113" Type="http://schemas.openxmlformats.org/officeDocument/2006/relationships/hyperlink" Target="http://rightsstatements.org/vocab/InC/1.0/" TargetMode="External"/><Relationship Id="rId134" Type="http://schemas.openxmlformats.org/officeDocument/2006/relationships/hyperlink" Target="http://rightsstatements.org/vocab/InC/1.0/" TargetMode="External"/><Relationship Id="rId80" Type="http://schemas.openxmlformats.org/officeDocument/2006/relationships/hyperlink" Target="http://rightsstatements.org/vocab/InC/1.0/" TargetMode="External"/><Relationship Id="rId155" Type="http://schemas.openxmlformats.org/officeDocument/2006/relationships/hyperlink" Target="http://rightsstatements.org/vocab/InC/1.0/" TargetMode="External"/><Relationship Id="rId176" Type="http://schemas.openxmlformats.org/officeDocument/2006/relationships/hyperlink" Target="http://rightsstatements.org/vocab/InC/1.0/" TargetMode="External"/><Relationship Id="rId197" Type="http://schemas.openxmlformats.org/officeDocument/2006/relationships/hyperlink" Target="http://rightsstatements.org/vocab/NoC-US/1.0/" TargetMode="External"/><Relationship Id="rId201" Type="http://schemas.openxmlformats.org/officeDocument/2006/relationships/hyperlink" Target="http://rightsstatements.org/vocab/NoC-US/1.0/" TargetMode="External"/><Relationship Id="rId17" Type="http://schemas.openxmlformats.org/officeDocument/2006/relationships/hyperlink" Target="http://rightsstatements.org/vocab/InC/1.0/" TargetMode="External"/><Relationship Id="rId38" Type="http://schemas.openxmlformats.org/officeDocument/2006/relationships/hyperlink" Target="http://rightsstatements.org/vocab/InC/1.0/" TargetMode="External"/><Relationship Id="rId59" Type="http://schemas.openxmlformats.org/officeDocument/2006/relationships/hyperlink" Target="http://rightsstatements.org/vocab/InC/1.0/" TargetMode="External"/><Relationship Id="rId103" Type="http://schemas.openxmlformats.org/officeDocument/2006/relationships/hyperlink" Target="http://rightsstatements.org/vocab/InC/1.0/" TargetMode="External"/><Relationship Id="rId124" Type="http://schemas.openxmlformats.org/officeDocument/2006/relationships/hyperlink" Target="http://rightsstatements.org/vocab/InC/1.0/" TargetMode="External"/><Relationship Id="rId70" Type="http://schemas.openxmlformats.org/officeDocument/2006/relationships/hyperlink" Target="http://rightsstatements.org/vocab/InC/1.0/" TargetMode="External"/><Relationship Id="rId91" Type="http://schemas.openxmlformats.org/officeDocument/2006/relationships/hyperlink" Target="http://rightsstatements.org/vocab/InC/1.0/" TargetMode="External"/><Relationship Id="rId145" Type="http://schemas.openxmlformats.org/officeDocument/2006/relationships/hyperlink" Target="http://rightsstatements.org/vocab/InC/1.0/" TargetMode="External"/><Relationship Id="rId166" Type="http://schemas.openxmlformats.org/officeDocument/2006/relationships/hyperlink" Target="http://rightsstatements.org/vocab/InC/1.0/" TargetMode="External"/><Relationship Id="rId187"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212" Type="http://schemas.openxmlformats.org/officeDocument/2006/relationships/hyperlink" Target="http://rightsstatements.org/vocab/InC/1.0/" TargetMode="External"/><Relationship Id="rId28" Type="http://schemas.openxmlformats.org/officeDocument/2006/relationships/hyperlink" Target="http://rightsstatements.org/vocab/InC/1.0/" TargetMode="External"/><Relationship Id="rId49" Type="http://schemas.openxmlformats.org/officeDocument/2006/relationships/hyperlink" Target="http://rightsstatements.org/vocab/InC/1.0/" TargetMode="External"/><Relationship Id="rId114" Type="http://schemas.openxmlformats.org/officeDocument/2006/relationships/hyperlink" Target="http://rightsstatements.org/vocab/InC/1.0/" TargetMode="External"/><Relationship Id="rId60" Type="http://schemas.openxmlformats.org/officeDocument/2006/relationships/hyperlink" Target="http://rightsstatements.org/vocab/InC/1.0/" TargetMode="External"/><Relationship Id="rId81" Type="http://schemas.openxmlformats.org/officeDocument/2006/relationships/hyperlink" Target="http://rightsstatements.org/vocab/InC/1.0/" TargetMode="External"/><Relationship Id="rId135" Type="http://schemas.openxmlformats.org/officeDocument/2006/relationships/hyperlink" Target="http://rightsstatements.org/vocab/InC/1.0/" TargetMode="External"/><Relationship Id="rId156" Type="http://schemas.openxmlformats.org/officeDocument/2006/relationships/hyperlink" Target="http://rightsstatements.org/vocab/InC/1.0/" TargetMode="External"/><Relationship Id="rId177" Type="http://schemas.openxmlformats.org/officeDocument/2006/relationships/hyperlink" Target="http://rightsstatements.org/vocab/InC/1.0/" TargetMode="External"/><Relationship Id="rId198" Type="http://schemas.openxmlformats.org/officeDocument/2006/relationships/hyperlink" Target="http://rightsstatements.org/vocab/InC/1.0/" TargetMode="External"/><Relationship Id="rId202" Type="http://schemas.openxmlformats.org/officeDocument/2006/relationships/hyperlink" Target="http://rightsstatements.org/vocab/InC/1.0/" TargetMode="External"/><Relationship Id="rId18" Type="http://schemas.openxmlformats.org/officeDocument/2006/relationships/hyperlink" Target="http://rightsstatements.org/vocab/InC/1.0/" TargetMode="External"/><Relationship Id="rId39" Type="http://schemas.openxmlformats.org/officeDocument/2006/relationships/hyperlink" Target="http://rightsstatements.org/vocab/InC/1.0/" TargetMode="External"/><Relationship Id="rId50" Type="http://schemas.openxmlformats.org/officeDocument/2006/relationships/hyperlink" Target="http://rightsstatements.org/vocab/InC/1.0/" TargetMode="External"/><Relationship Id="rId104" Type="http://schemas.openxmlformats.org/officeDocument/2006/relationships/hyperlink" Target="http://rightsstatements.org/vocab/InC/1.0/" TargetMode="External"/><Relationship Id="rId125" Type="http://schemas.openxmlformats.org/officeDocument/2006/relationships/hyperlink" Target="http://rightsstatements.org/vocab/InC/1.0/" TargetMode="External"/><Relationship Id="rId146" Type="http://schemas.openxmlformats.org/officeDocument/2006/relationships/hyperlink" Target="http://rightsstatements.org/vocab/InC/1.0/" TargetMode="External"/><Relationship Id="rId167" Type="http://schemas.openxmlformats.org/officeDocument/2006/relationships/hyperlink" Target="http://rightsstatements.org/vocab/InC/1.0/" TargetMode="External"/><Relationship Id="rId188" Type="http://schemas.openxmlformats.org/officeDocument/2006/relationships/hyperlink" Target="http://rightsstatements.org/vocab/NoC-US/1.0/" TargetMode="External"/><Relationship Id="rId71" Type="http://schemas.openxmlformats.org/officeDocument/2006/relationships/hyperlink" Target="http://rightsstatements.org/vocab/InC/1.0/" TargetMode="External"/><Relationship Id="rId92" Type="http://schemas.openxmlformats.org/officeDocument/2006/relationships/hyperlink" Target="http://rightsstatements.org/vocab/InC/1.0/" TargetMode="External"/><Relationship Id="rId213" Type="http://schemas.openxmlformats.org/officeDocument/2006/relationships/hyperlink" Target="http://rightsstatements.org/vocab/NoC-US/1.0/" TargetMode="External"/><Relationship Id="rId2" Type="http://schemas.openxmlformats.org/officeDocument/2006/relationships/hyperlink" Target="http://rightsstatements.org/vocab/InC/1.0/" TargetMode="External"/><Relationship Id="rId29" Type="http://schemas.openxmlformats.org/officeDocument/2006/relationships/hyperlink" Target="http://rightsstatements.org/vocab/InC/1.0/" TargetMode="External"/><Relationship Id="rId40" Type="http://schemas.openxmlformats.org/officeDocument/2006/relationships/hyperlink" Target="http://rightsstatements.org/vocab/InC/1.0/" TargetMode="External"/><Relationship Id="rId115" Type="http://schemas.openxmlformats.org/officeDocument/2006/relationships/hyperlink" Target="http://rightsstatements.org/vocab/InC/1.0/" TargetMode="External"/><Relationship Id="rId136" Type="http://schemas.openxmlformats.org/officeDocument/2006/relationships/hyperlink" Target="http://rightsstatements.org/vocab/InC/1.0/" TargetMode="External"/><Relationship Id="rId157" Type="http://schemas.openxmlformats.org/officeDocument/2006/relationships/hyperlink" Target="http://rightsstatements.org/vocab/InC/1.0/" TargetMode="External"/><Relationship Id="rId178" Type="http://schemas.openxmlformats.org/officeDocument/2006/relationships/hyperlink" Target="http://rightsstatements.org/vocab/InC/1.0/" TargetMode="External"/><Relationship Id="rId61" Type="http://schemas.openxmlformats.org/officeDocument/2006/relationships/hyperlink" Target="http://rightsstatements.org/vocab/InC/1.0/" TargetMode="External"/><Relationship Id="rId82" Type="http://schemas.openxmlformats.org/officeDocument/2006/relationships/hyperlink" Target="http://rightsstatements.org/vocab/InC/1.0/" TargetMode="External"/><Relationship Id="rId199" Type="http://schemas.openxmlformats.org/officeDocument/2006/relationships/hyperlink" Target="http://rightsstatements.org/vocab/NoC-US/1.0/" TargetMode="External"/><Relationship Id="rId203" Type="http://schemas.openxmlformats.org/officeDocument/2006/relationships/hyperlink" Target="http://rightsstatements.org/vocab/NoC-US/1.0/" TargetMode="External"/><Relationship Id="rId19"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652"/>
  <sheetViews>
    <sheetView tabSelected="1" topLeftCell="C1" workbookViewId="0">
      <pane ySplit="1" topLeftCell="A2" activePane="bottomLeft" state="frozen"/>
      <selection pane="bottomLeft" activeCell="G1" sqref="G1:G1048576"/>
    </sheetView>
  </sheetViews>
  <sheetFormatPr baseColWidth="10" defaultColWidth="14.5" defaultRowHeight="15.75" customHeight="1" x14ac:dyDescent="0.15"/>
  <cols>
    <col min="1" max="1" width="21.6640625" customWidth="1"/>
    <col min="2" max="2" width="46" customWidth="1"/>
    <col min="3" max="3" width="63.6640625" customWidth="1"/>
    <col min="4" max="4" width="41" customWidth="1"/>
    <col min="5" max="5" width="20.83203125" customWidth="1"/>
    <col min="6" max="6" width="21.33203125" customWidth="1"/>
    <col min="7" max="7" width="14.5" style="32"/>
    <col min="9" max="9" width="31.1640625" customWidth="1"/>
    <col min="14" max="14" width="15.5" customWidth="1"/>
    <col min="15" max="15" width="14.83203125" customWidth="1"/>
    <col min="16" max="16" width="17.83203125" customWidth="1"/>
    <col min="17" max="17" width="23.5" customWidth="1"/>
    <col min="20" max="20" width="15" customWidth="1"/>
  </cols>
  <sheetData>
    <row r="1" spans="1:21" ht="15.75" customHeight="1" x14ac:dyDescent="0.15">
      <c r="A1" s="1" t="s">
        <v>0</v>
      </c>
      <c r="B1" s="1" t="s">
        <v>1</v>
      </c>
      <c r="C1" s="1" t="s">
        <v>2</v>
      </c>
      <c r="D1" s="2" t="s">
        <v>3</v>
      </c>
      <c r="E1" s="1" t="s">
        <v>4</v>
      </c>
      <c r="F1" s="3" t="s">
        <v>5</v>
      </c>
      <c r="G1" s="30" t="s">
        <v>6</v>
      </c>
      <c r="H1" s="1" t="s">
        <v>7</v>
      </c>
      <c r="I1" s="2" t="s">
        <v>8</v>
      </c>
      <c r="J1" s="1" t="s">
        <v>9</v>
      </c>
      <c r="K1" s="1" t="s">
        <v>10</v>
      </c>
      <c r="L1" s="1" t="s">
        <v>11</v>
      </c>
      <c r="M1" s="1" t="s">
        <v>12</v>
      </c>
      <c r="N1" s="2" t="s">
        <v>13</v>
      </c>
      <c r="O1" s="2" t="s">
        <v>14</v>
      </c>
      <c r="P1" s="2" t="s">
        <v>15</v>
      </c>
      <c r="Q1" s="2" t="s">
        <v>16</v>
      </c>
      <c r="R1" s="1" t="s">
        <v>17</v>
      </c>
      <c r="S1" s="1" t="s">
        <v>18</v>
      </c>
      <c r="T1" s="2" t="s">
        <v>19</v>
      </c>
      <c r="U1" s="1" t="s">
        <v>20</v>
      </c>
    </row>
    <row r="2" spans="1:21" ht="15.75" customHeight="1" x14ac:dyDescent="0.15">
      <c r="A2" s="4" t="s">
        <v>21</v>
      </c>
      <c r="C2" s="1" t="s">
        <v>22</v>
      </c>
      <c r="D2" s="5" t="s">
        <v>23</v>
      </c>
      <c r="F2" s="3" t="s">
        <v>24</v>
      </c>
      <c r="G2" s="30">
        <v>37530</v>
      </c>
      <c r="H2" s="1" t="s">
        <v>25</v>
      </c>
      <c r="I2" s="2" t="s">
        <v>26</v>
      </c>
      <c r="J2" s="1" t="s">
        <v>27</v>
      </c>
      <c r="K2" s="1" t="s">
        <v>28</v>
      </c>
      <c r="L2" s="1" t="s">
        <v>29</v>
      </c>
      <c r="M2" s="1" t="s">
        <v>30</v>
      </c>
      <c r="N2" s="2" t="s">
        <v>31</v>
      </c>
      <c r="O2" s="2"/>
      <c r="P2" s="2"/>
      <c r="Q2" s="2" t="s">
        <v>32</v>
      </c>
      <c r="R2" s="1" t="s">
        <v>33</v>
      </c>
      <c r="S2" s="1" t="s">
        <v>34</v>
      </c>
      <c r="T2" s="2" t="s">
        <v>35</v>
      </c>
      <c r="U2" s="6" t="s">
        <v>36</v>
      </c>
    </row>
    <row r="3" spans="1:21" ht="15.75" customHeight="1" x14ac:dyDescent="0.15">
      <c r="A3" s="4" t="s">
        <v>37</v>
      </c>
      <c r="C3" s="1" t="s">
        <v>38</v>
      </c>
      <c r="D3" s="2" t="s">
        <v>39</v>
      </c>
      <c r="F3" s="3" t="s">
        <v>40</v>
      </c>
      <c r="G3" s="30">
        <v>37561</v>
      </c>
      <c r="H3" s="1" t="s">
        <v>41</v>
      </c>
      <c r="I3" s="2" t="s">
        <v>26</v>
      </c>
      <c r="J3" s="1" t="s">
        <v>27</v>
      </c>
      <c r="K3" s="1" t="s">
        <v>28</v>
      </c>
      <c r="L3" s="1" t="s">
        <v>29</v>
      </c>
      <c r="N3" s="2"/>
      <c r="O3" s="2"/>
      <c r="P3" s="2"/>
      <c r="Q3" s="2" t="s">
        <v>32</v>
      </c>
      <c r="R3" s="1" t="s">
        <v>33</v>
      </c>
      <c r="S3" s="1" t="s">
        <v>34</v>
      </c>
      <c r="T3" s="2" t="s">
        <v>35</v>
      </c>
      <c r="U3" s="7" t="s">
        <v>36</v>
      </c>
    </row>
    <row r="4" spans="1:21" ht="15.75" customHeight="1" x14ac:dyDescent="0.15">
      <c r="A4" s="4" t="s">
        <v>42</v>
      </c>
      <c r="C4" s="1" t="s">
        <v>43</v>
      </c>
      <c r="D4" s="2" t="s">
        <v>44</v>
      </c>
      <c r="F4" s="3" t="s">
        <v>45</v>
      </c>
      <c r="G4" s="30">
        <v>37591</v>
      </c>
      <c r="H4" s="1" t="s">
        <v>46</v>
      </c>
      <c r="I4" s="2" t="s">
        <v>26</v>
      </c>
      <c r="J4" s="1" t="s">
        <v>27</v>
      </c>
      <c r="K4" s="1" t="s">
        <v>28</v>
      </c>
      <c r="L4" s="1" t="s">
        <v>29</v>
      </c>
      <c r="M4" s="1" t="s">
        <v>47</v>
      </c>
      <c r="N4" s="2" t="s">
        <v>48</v>
      </c>
      <c r="O4" s="2" t="s">
        <v>49</v>
      </c>
      <c r="P4" s="2"/>
      <c r="Q4" s="2" t="s">
        <v>32</v>
      </c>
      <c r="R4" s="1" t="s">
        <v>33</v>
      </c>
      <c r="S4" s="1" t="s">
        <v>34</v>
      </c>
      <c r="T4" s="2" t="s">
        <v>35</v>
      </c>
      <c r="U4" s="8" t="s">
        <v>36</v>
      </c>
    </row>
    <row r="5" spans="1:21" ht="15.75" customHeight="1" x14ac:dyDescent="0.15">
      <c r="A5" s="4" t="s">
        <v>50</v>
      </c>
      <c r="C5" s="1" t="s">
        <v>51</v>
      </c>
      <c r="D5" s="2" t="s">
        <v>52</v>
      </c>
      <c r="F5" s="3" t="s">
        <v>53</v>
      </c>
      <c r="G5" s="30">
        <v>37622</v>
      </c>
      <c r="H5" s="1" t="s">
        <v>25</v>
      </c>
      <c r="I5" s="2" t="s">
        <v>26</v>
      </c>
      <c r="J5" s="1" t="s">
        <v>27</v>
      </c>
      <c r="K5" s="1" t="s">
        <v>28</v>
      </c>
      <c r="L5" s="1" t="s">
        <v>29</v>
      </c>
      <c r="M5" s="1" t="s">
        <v>30</v>
      </c>
      <c r="N5" s="2" t="s">
        <v>54</v>
      </c>
      <c r="O5" s="2"/>
      <c r="P5" s="2"/>
      <c r="Q5" s="2" t="s">
        <v>32</v>
      </c>
      <c r="R5" s="1" t="s">
        <v>33</v>
      </c>
      <c r="S5" s="1" t="s">
        <v>34</v>
      </c>
      <c r="T5" s="2" t="s">
        <v>35</v>
      </c>
      <c r="U5" s="6" t="s">
        <v>36</v>
      </c>
    </row>
    <row r="6" spans="1:21" ht="15.75" customHeight="1" x14ac:dyDescent="0.15">
      <c r="A6" s="4" t="s">
        <v>55</v>
      </c>
      <c r="C6" s="1" t="s">
        <v>56</v>
      </c>
      <c r="D6" s="2" t="s">
        <v>57</v>
      </c>
      <c r="F6" s="3" t="s">
        <v>58</v>
      </c>
      <c r="G6" s="30">
        <v>37653</v>
      </c>
      <c r="H6" s="1" t="s">
        <v>25</v>
      </c>
      <c r="I6" s="2" t="s">
        <v>26</v>
      </c>
      <c r="J6" s="1" t="s">
        <v>27</v>
      </c>
      <c r="K6" s="1" t="s">
        <v>28</v>
      </c>
      <c r="L6" s="1" t="s">
        <v>30</v>
      </c>
      <c r="M6" s="1" t="s">
        <v>29</v>
      </c>
      <c r="N6" s="2" t="s">
        <v>54</v>
      </c>
      <c r="O6" s="2"/>
      <c r="P6" s="2"/>
      <c r="Q6" s="2" t="s">
        <v>32</v>
      </c>
      <c r="R6" s="1" t="s">
        <v>33</v>
      </c>
      <c r="S6" s="1" t="s">
        <v>34</v>
      </c>
      <c r="T6" s="2" t="s">
        <v>35</v>
      </c>
      <c r="U6" s="7" t="s">
        <v>36</v>
      </c>
    </row>
    <row r="7" spans="1:21" ht="15.75" customHeight="1" x14ac:dyDescent="0.15">
      <c r="A7" s="4" t="s">
        <v>59</v>
      </c>
      <c r="C7" s="9" t="s">
        <v>60</v>
      </c>
      <c r="D7" s="10" t="s">
        <v>61</v>
      </c>
      <c r="F7" s="3" t="s">
        <v>62</v>
      </c>
      <c r="G7" s="30">
        <v>37681</v>
      </c>
      <c r="H7" s="1" t="s">
        <v>25</v>
      </c>
      <c r="I7" s="2" t="s">
        <v>26</v>
      </c>
      <c r="J7" s="1" t="s">
        <v>27</v>
      </c>
      <c r="K7" s="1" t="s">
        <v>28</v>
      </c>
      <c r="L7" s="1" t="s">
        <v>30</v>
      </c>
      <c r="M7" s="1" t="s">
        <v>54</v>
      </c>
      <c r="N7" s="2" t="s">
        <v>29</v>
      </c>
      <c r="O7" s="2"/>
      <c r="P7" s="2"/>
      <c r="Q7" s="2" t="s">
        <v>32</v>
      </c>
      <c r="R7" s="1" t="s">
        <v>33</v>
      </c>
      <c r="S7" s="1" t="s">
        <v>34</v>
      </c>
      <c r="T7" s="2" t="s">
        <v>35</v>
      </c>
      <c r="U7" s="8" t="s">
        <v>36</v>
      </c>
    </row>
    <row r="8" spans="1:21" ht="15.75" customHeight="1" x14ac:dyDescent="0.15">
      <c r="A8" s="4" t="s">
        <v>63</v>
      </c>
      <c r="C8" s="1" t="s">
        <v>64</v>
      </c>
      <c r="D8" s="10" t="s">
        <v>65</v>
      </c>
      <c r="F8" s="3" t="s">
        <v>66</v>
      </c>
      <c r="G8" s="30">
        <v>37712</v>
      </c>
      <c r="H8" s="1" t="s">
        <v>67</v>
      </c>
      <c r="I8" s="2" t="s">
        <v>26</v>
      </c>
      <c r="J8" s="1" t="s">
        <v>27</v>
      </c>
      <c r="K8" s="1" t="s">
        <v>28</v>
      </c>
      <c r="L8" s="1" t="s">
        <v>68</v>
      </c>
      <c r="M8" s="1" t="s">
        <v>30</v>
      </c>
      <c r="N8" s="2" t="s">
        <v>69</v>
      </c>
      <c r="O8" s="2" t="s">
        <v>70</v>
      </c>
      <c r="P8" s="2"/>
      <c r="Q8" s="2" t="s">
        <v>32</v>
      </c>
      <c r="R8" s="1" t="s">
        <v>33</v>
      </c>
      <c r="S8" s="1" t="s">
        <v>34</v>
      </c>
      <c r="T8" s="2" t="s">
        <v>35</v>
      </c>
      <c r="U8" s="6" t="s">
        <v>36</v>
      </c>
    </row>
    <row r="9" spans="1:21" ht="15.75" customHeight="1" x14ac:dyDescent="0.15">
      <c r="A9" s="4" t="s">
        <v>71</v>
      </c>
      <c r="C9" s="1" t="s">
        <v>72</v>
      </c>
      <c r="D9" s="2" t="s">
        <v>73</v>
      </c>
      <c r="F9" s="3" t="s">
        <v>74</v>
      </c>
      <c r="G9" s="30">
        <v>37742</v>
      </c>
      <c r="H9" s="1" t="s">
        <v>25</v>
      </c>
      <c r="I9" s="2" t="s">
        <v>26</v>
      </c>
      <c r="J9" s="1" t="s">
        <v>27</v>
      </c>
      <c r="K9" s="1" t="s">
        <v>28</v>
      </c>
      <c r="L9" s="1" t="s">
        <v>75</v>
      </c>
      <c r="M9" s="1" t="s">
        <v>30</v>
      </c>
      <c r="N9" s="2" t="s">
        <v>48</v>
      </c>
      <c r="O9" s="2"/>
      <c r="P9" s="2"/>
      <c r="Q9" s="2" t="s">
        <v>32</v>
      </c>
      <c r="R9" s="1" t="s">
        <v>33</v>
      </c>
      <c r="S9" s="1" t="s">
        <v>34</v>
      </c>
      <c r="T9" s="2" t="s">
        <v>35</v>
      </c>
      <c r="U9" s="7" t="s">
        <v>36</v>
      </c>
    </row>
    <row r="10" spans="1:21" ht="15.75" customHeight="1" x14ac:dyDescent="0.15">
      <c r="A10" s="4" t="s">
        <v>76</v>
      </c>
      <c r="C10" s="1" t="s">
        <v>77</v>
      </c>
      <c r="D10" s="2" t="s">
        <v>78</v>
      </c>
      <c r="F10" s="3" t="s">
        <v>79</v>
      </c>
      <c r="G10" s="30">
        <v>37773</v>
      </c>
      <c r="H10" s="1" t="s">
        <v>25</v>
      </c>
      <c r="I10" s="2" t="s">
        <v>26</v>
      </c>
      <c r="J10" s="1" t="s">
        <v>27</v>
      </c>
      <c r="K10" s="1" t="s">
        <v>28</v>
      </c>
      <c r="L10" s="1" t="s">
        <v>68</v>
      </c>
      <c r="M10" s="1" t="s">
        <v>80</v>
      </c>
      <c r="N10" s="2" t="s">
        <v>48</v>
      </c>
      <c r="O10" s="2"/>
      <c r="P10" s="2"/>
      <c r="Q10" s="2" t="s">
        <v>32</v>
      </c>
      <c r="R10" s="1" t="s">
        <v>33</v>
      </c>
      <c r="S10" s="1" t="s">
        <v>34</v>
      </c>
      <c r="T10" s="2" t="s">
        <v>35</v>
      </c>
      <c r="U10" s="8" t="s">
        <v>36</v>
      </c>
    </row>
    <row r="11" spans="1:21" ht="15.75" customHeight="1" x14ac:dyDescent="0.15">
      <c r="A11" s="4" t="s">
        <v>81</v>
      </c>
      <c r="C11" s="1" t="s">
        <v>82</v>
      </c>
      <c r="D11" s="2" t="s">
        <v>83</v>
      </c>
      <c r="F11" s="3" t="s">
        <v>84</v>
      </c>
      <c r="G11" s="30">
        <v>37834</v>
      </c>
      <c r="H11" s="1" t="s">
        <v>85</v>
      </c>
      <c r="I11" s="2" t="s">
        <v>26</v>
      </c>
      <c r="J11" s="1" t="s">
        <v>27</v>
      </c>
      <c r="K11" s="1" t="s">
        <v>28</v>
      </c>
      <c r="L11" s="1" t="s">
        <v>29</v>
      </c>
      <c r="N11" s="2"/>
      <c r="O11" s="2"/>
      <c r="P11" s="2"/>
      <c r="Q11" s="2" t="s">
        <v>32</v>
      </c>
      <c r="R11" s="1" t="s">
        <v>33</v>
      </c>
      <c r="S11" s="1" t="s">
        <v>34</v>
      </c>
      <c r="T11" s="2" t="s">
        <v>35</v>
      </c>
      <c r="U11" s="6" t="s">
        <v>36</v>
      </c>
    </row>
    <row r="12" spans="1:21" ht="15.75" customHeight="1" x14ac:dyDescent="0.15">
      <c r="A12" s="4" t="s">
        <v>86</v>
      </c>
      <c r="C12" s="1" t="s">
        <v>87</v>
      </c>
      <c r="D12" s="2" t="s">
        <v>88</v>
      </c>
      <c r="F12" s="3" t="s">
        <v>89</v>
      </c>
      <c r="G12" s="30">
        <v>37895</v>
      </c>
      <c r="H12" s="1" t="s">
        <v>85</v>
      </c>
      <c r="I12" s="2" t="s">
        <v>26</v>
      </c>
      <c r="J12" s="1" t="s">
        <v>27</v>
      </c>
      <c r="K12" s="1" t="s">
        <v>28</v>
      </c>
      <c r="L12" s="1" t="s">
        <v>29</v>
      </c>
      <c r="M12" s="1" t="s">
        <v>31</v>
      </c>
      <c r="N12" s="2" t="s">
        <v>48</v>
      </c>
      <c r="O12" s="2" t="s">
        <v>47</v>
      </c>
      <c r="P12" s="2" t="s">
        <v>30</v>
      </c>
      <c r="Q12" s="2" t="s">
        <v>32</v>
      </c>
      <c r="R12" s="1" t="s">
        <v>33</v>
      </c>
      <c r="S12" s="1" t="s">
        <v>34</v>
      </c>
      <c r="T12" s="2" t="s">
        <v>35</v>
      </c>
      <c r="U12" s="7" t="s">
        <v>36</v>
      </c>
    </row>
    <row r="13" spans="1:21" ht="15.75" customHeight="1" x14ac:dyDescent="0.15">
      <c r="A13" s="4" t="s">
        <v>90</v>
      </c>
      <c r="C13" s="1" t="s">
        <v>91</v>
      </c>
      <c r="D13" s="2" t="s">
        <v>92</v>
      </c>
      <c r="F13" s="3" t="s">
        <v>93</v>
      </c>
      <c r="G13" s="30">
        <v>37926</v>
      </c>
      <c r="H13" s="1" t="s">
        <v>67</v>
      </c>
      <c r="I13" s="2" t="s">
        <v>26</v>
      </c>
      <c r="J13" s="1" t="s">
        <v>27</v>
      </c>
      <c r="K13" s="1" t="s">
        <v>28</v>
      </c>
      <c r="L13" s="1" t="s">
        <v>29</v>
      </c>
      <c r="M13" s="1" t="s">
        <v>48</v>
      </c>
      <c r="N13" s="2"/>
      <c r="O13" s="2"/>
      <c r="P13" s="2"/>
      <c r="Q13" s="2" t="s">
        <v>32</v>
      </c>
      <c r="R13" s="1" t="s">
        <v>33</v>
      </c>
      <c r="S13" s="1" t="s">
        <v>34</v>
      </c>
      <c r="T13" s="2" t="s">
        <v>35</v>
      </c>
      <c r="U13" s="8" t="s">
        <v>36</v>
      </c>
    </row>
    <row r="14" spans="1:21" ht="15.75" customHeight="1" x14ac:dyDescent="0.15">
      <c r="A14" s="4" t="s">
        <v>94</v>
      </c>
      <c r="C14" s="1" t="s">
        <v>95</v>
      </c>
      <c r="D14" s="2" t="s">
        <v>96</v>
      </c>
      <c r="F14" s="3" t="s">
        <v>97</v>
      </c>
      <c r="G14" s="30">
        <v>37956</v>
      </c>
      <c r="H14" s="1" t="s">
        <v>25</v>
      </c>
      <c r="I14" s="2" t="s">
        <v>26</v>
      </c>
      <c r="J14" s="1" t="s">
        <v>27</v>
      </c>
      <c r="K14" s="1" t="s">
        <v>28</v>
      </c>
      <c r="L14" s="1" t="s">
        <v>30</v>
      </c>
      <c r="M14" s="1" t="s">
        <v>49</v>
      </c>
      <c r="N14" s="2"/>
      <c r="O14" s="2"/>
      <c r="P14" s="2"/>
      <c r="Q14" s="2" t="s">
        <v>32</v>
      </c>
      <c r="R14" s="1" t="s">
        <v>33</v>
      </c>
      <c r="S14" s="1" t="s">
        <v>34</v>
      </c>
      <c r="T14" s="2" t="s">
        <v>35</v>
      </c>
      <c r="U14" s="6" t="s">
        <v>36</v>
      </c>
    </row>
    <row r="15" spans="1:21" ht="15.75" customHeight="1" x14ac:dyDescent="0.15">
      <c r="A15" s="4" t="s">
        <v>98</v>
      </c>
      <c r="C15" s="1" t="s">
        <v>99</v>
      </c>
      <c r="D15" s="2" t="s">
        <v>100</v>
      </c>
      <c r="F15" s="3" t="s">
        <v>101</v>
      </c>
      <c r="G15" s="30">
        <v>37987</v>
      </c>
      <c r="H15" s="1" t="s">
        <v>25</v>
      </c>
      <c r="I15" s="2" t="s">
        <v>26</v>
      </c>
      <c r="J15" s="1" t="s">
        <v>27</v>
      </c>
      <c r="K15" s="1" t="s">
        <v>28</v>
      </c>
      <c r="L15" s="1" t="s">
        <v>30</v>
      </c>
      <c r="M15" s="1" t="s">
        <v>29</v>
      </c>
      <c r="N15" s="2"/>
      <c r="O15" s="2"/>
      <c r="P15" s="2"/>
      <c r="Q15" s="2" t="s">
        <v>32</v>
      </c>
      <c r="R15" s="1" t="s">
        <v>33</v>
      </c>
      <c r="S15" s="1" t="s">
        <v>34</v>
      </c>
      <c r="T15" s="2" t="s">
        <v>35</v>
      </c>
      <c r="U15" s="7" t="s">
        <v>36</v>
      </c>
    </row>
    <row r="16" spans="1:21" ht="15.75" customHeight="1" x14ac:dyDescent="0.15">
      <c r="A16" s="4" t="s">
        <v>102</v>
      </c>
      <c r="C16" s="1" t="s">
        <v>103</v>
      </c>
      <c r="D16" s="2" t="s">
        <v>104</v>
      </c>
      <c r="F16" s="3" t="s">
        <v>105</v>
      </c>
      <c r="G16" s="30">
        <v>38018</v>
      </c>
      <c r="H16" s="1" t="s">
        <v>25</v>
      </c>
      <c r="I16" s="2" t="s">
        <v>26</v>
      </c>
      <c r="J16" s="1" t="s">
        <v>27</v>
      </c>
      <c r="K16" s="1" t="s">
        <v>28</v>
      </c>
      <c r="L16" s="1" t="s">
        <v>30</v>
      </c>
      <c r="M16" s="1" t="s">
        <v>29</v>
      </c>
      <c r="N16" s="2" t="s">
        <v>54</v>
      </c>
      <c r="O16" s="2"/>
      <c r="P16" s="2"/>
      <c r="Q16" s="2" t="s">
        <v>32</v>
      </c>
      <c r="R16" s="1" t="s">
        <v>33</v>
      </c>
      <c r="S16" s="1" t="s">
        <v>34</v>
      </c>
      <c r="T16" s="2" t="s">
        <v>35</v>
      </c>
      <c r="U16" s="8" t="s">
        <v>36</v>
      </c>
    </row>
    <row r="17" spans="1:37" ht="15.75" customHeight="1" x14ac:dyDescent="0.15">
      <c r="A17" s="4" t="s">
        <v>106</v>
      </c>
      <c r="C17" s="1" t="s">
        <v>107</v>
      </c>
      <c r="D17" s="2" t="s">
        <v>108</v>
      </c>
      <c r="F17" s="3" t="s">
        <v>109</v>
      </c>
      <c r="G17" s="30">
        <v>38139</v>
      </c>
      <c r="H17" s="1" t="s">
        <v>25</v>
      </c>
      <c r="I17" s="2" t="s">
        <v>26</v>
      </c>
      <c r="J17" s="1" t="s">
        <v>27</v>
      </c>
      <c r="K17" s="1" t="s">
        <v>28</v>
      </c>
      <c r="L17" s="1" t="s">
        <v>29</v>
      </c>
      <c r="M17" s="1" t="s">
        <v>70</v>
      </c>
      <c r="N17" s="2"/>
      <c r="O17" s="2"/>
      <c r="P17" s="2"/>
      <c r="Q17" s="2" t="s">
        <v>32</v>
      </c>
      <c r="R17" s="1" t="s">
        <v>33</v>
      </c>
      <c r="S17" s="1" t="s">
        <v>34</v>
      </c>
      <c r="T17" s="2" t="s">
        <v>35</v>
      </c>
      <c r="U17" s="6" t="s">
        <v>36</v>
      </c>
    </row>
    <row r="18" spans="1:37" ht="15.75" customHeight="1" x14ac:dyDescent="0.15">
      <c r="A18" s="4" t="s">
        <v>110</v>
      </c>
      <c r="C18" s="1" t="s">
        <v>111</v>
      </c>
      <c r="D18" s="2" t="s">
        <v>112</v>
      </c>
      <c r="F18" s="3" t="s">
        <v>113</v>
      </c>
      <c r="G18" s="30">
        <v>38169</v>
      </c>
      <c r="H18" s="1" t="s">
        <v>25</v>
      </c>
      <c r="I18" s="2" t="s">
        <v>26</v>
      </c>
      <c r="J18" s="1" t="s">
        <v>27</v>
      </c>
      <c r="K18" s="1" t="s">
        <v>28</v>
      </c>
      <c r="L18" s="1" t="s">
        <v>29</v>
      </c>
      <c r="M18" s="1" t="s">
        <v>30</v>
      </c>
      <c r="N18" s="2" t="s">
        <v>69</v>
      </c>
      <c r="O18" s="2"/>
      <c r="P18" s="2"/>
      <c r="Q18" s="2" t="s">
        <v>32</v>
      </c>
      <c r="R18" s="1" t="s">
        <v>33</v>
      </c>
      <c r="S18" s="1" t="s">
        <v>34</v>
      </c>
      <c r="T18" s="2" t="s">
        <v>35</v>
      </c>
      <c r="U18" s="7" t="s">
        <v>36</v>
      </c>
    </row>
    <row r="19" spans="1:37" ht="15.75" customHeight="1" x14ac:dyDescent="0.15">
      <c r="A19" s="4" t="s">
        <v>114</v>
      </c>
      <c r="C19" s="1" t="s">
        <v>115</v>
      </c>
      <c r="D19" s="2" t="s">
        <v>116</v>
      </c>
      <c r="F19" s="3" t="s">
        <v>117</v>
      </c>
      <c r="G19" s="30">
        <v>38200</v>
      </c>
      <c r="H19" s="1" t="s">
        <v>25</v>
      </c>
      <c r="I19" s="2" t="s">
        <v>26</v>
      </c>
      <c r="J19" s="1" t="s">
        <v>27</v>
      </c>
      <c r="K19" s="1" t="s">
        <v>28</v>
      </c>
      <c r="L19" s="1" t="s">
        <v>29</v>
      </c>
      <c r="N19" s="2"/>
      <c r="O19" s="2"/>
      <c r="P19" s="2"/>
      <c r="Q19" s="2" t="s">
        <v>32</v>
      </c>
      <c r="R19" s="1" t="s">
        <v>33</v>
      </c>
      <c r="S19" s="1" t="s">
        <v>34</v>
      </c>
      <c r="T19" s="2" t="s">
        <v>35</v>
      </c>
      <c r="U19" s="8" t="s">
        <v>36</v>
      </c>
    </row>
    <row r="20" spans="1:37" ht="15.75" customHeight="1" x14ac:dyDescent="0.15">
      <c r="A20" s="11" t="s">
        <v>118</v>
      </c>
      <c r="B20" s="12"/>
      <c r="C20" s="13" t="s">
        <v>119</v>
      </c>
      <c r="D20" s="14" t="s">
        <v>120</v>
      </c>
      <c r="E20" s="15"/>
      <c r="F20" s="16" t="s">
        <v>121</v>
      </c>
      <c r="G20" s="31">
        <v>38261</v>
      </c>
      <c r="H20" s="12" t="s">
        <v>25</v>
      </c>
      <c r="I20" s="14" t="s">
        <v>26</v>
      </c>
      <c r="J20" s="12" t="s">
        <v>27</v>
      </c>
      <c r="K20" s="12" t="s">
        <v>28</v>
      </c>
      <c r="L20" s="12" t="s">
        <v>30</v>
      </c>
      <c r="M20" s="12" t="s">
        <v>29</v>
      </c>
      <c r="N20" s="14"/>
      <c r="O20" s="14"/>
      <c r="P20" s="14"/>
      <c r="Q20" s="14" t="s">
        <v>32</v>
      </c>
      <c r="R20" s="12" t="s">
        <v>33</v>
      </c>
      <c r="S20" s="12" t="s">
        <v>34</v>
      </c>
      <c r="T20" s="14" t="s">
        <v>35</v>
      </c>
      <c r="U20" s="17" t="s">
        <v>36</v>
      </c>
      <c r="V20" s="15"/>
      <c r="W20" s="15"/>
      <c r="X20" s="15"/>
      <c r="Y20" s="15"/>
      <c r="Z20" s="15"/>
      <c r="AA20" s="15"/>
      <c r="AB20" s="15"/>
      <c r="AC20" s="15"/>
      <c r="AD20" s="15"/>
      <c r="AE20" s="15"/>
      <c r="AF20" s="15"/>
      <c r="AG20" s="15"/>
      <c r="AH20" s="15"/>
      <c r="AI20" s="15"/>
      <c r="AJ20" s="15"/>
      <c r="AK20" s="15"/>
    </row>
    <row r="21" spans="1:37" ht="15.75" customHeight="1" x14ac:dyDescent="0.15">
      <c r="A21" s="4" t="s">
        <v>122</v>
      </c>
      <c r="B21" s="1" t="s">
        <v>123</v>
      </c>
      <c r="C21" s="1" t="s">
        <v>124</v>
      </c>
      <c r="D21" s="2" t="s">
        <v>125</v>
      </c>
      <c r="E21" s="1" t="str">
        <f ca="1">IFERROR(__xludf.DUMMYFUNCTION("CONCATENATE(""Volume "",REGEXEXTRACT(A21,""[\d]+""),"", Number "",RIGHT(A21,LEN(A21) - 19))"),"Volume 10, Number 24")</f>
        <v>Volume 10, Number 24</v>
      </c>
      <c r="F21" s="18" t="s">
        <v>126</v>
      </c>
      <c r="G21" s="30">
        <v>32660</v>
      </c>
      <c r="H21" s="1" t="s">
        <v>25</v>
      </c>
      <c r="I21" s="2" t="s">
        <v>26</v>
      </c>
      <c r="J21" s="1" t="s">
        <v>27</v>
      </c>
      <c r="K21" s="1" t="s">
        <v>28</v>
      </c>
      <c r="L21" s="1" t="s">
        <v>30</v>
      </c>
      <c r="M21" s="1" t="s">
        <v>29</v>
      </c>
      <c r="N21" s="2"/>
      <c r="O21" s="2"/>
      <c r="P21" s="2"/>
      <c r="Q21" s="2" t="s">
        <v>32</v>
      </c>
      <c r="R21" s="1" t="s">
        <v>33</v>
      </c>
      <c r="S21" s="1" t="s">
        <v>34</v>
      </c>
      <c r="T21" s="2" t="s">
        <v>35</v>
      </c>
      <c r="U21" s="7" t="s">
        <v>36</v>
      </c>
    </row>
    <row r="22" spans="1:37" ht="15.75" customHeight="1" x14ac:dyDescent="0.15">
      <c r="A22" s="4" t="s">
        <v>127</v>
      </c>
      <c r="B22" s="1" t="s">
        <v>128</v>
      </c>
      <c r="C22" s="1" t="s">
        <v>124</v>
      </c>
      <c r="D22" s="2" t="s">
        <v>129</v>
      </c>
      <c r="E22" s="1" t="str">
        <f ca="1">IFERROR(__xludf.DUMMYFUNCTION("CONCATENATE(""Volume "",REGEXEXTRACT(A22,""[\d]+""),"", Number "",RIGHT(A22,LEN(A22) - 19))"),"Volume 10, Number 6")</f>
        <v>Volume 10, Number 6</v>
      </c>
      <c r="F22" s="3" t="s">
        <v>130</v>
      </c>
      <c r="G22" s="30">
        <v>32417</v>
      </c>
      <c r="H22" s="1" t="s">
        <v>25</v>
      </c>
      <c r="I22" s="2" t="s">
        <v>26</v>
      </c>
      <c r="J22" s="1" t="s">
        <v>27</v>
      </c>
      <c r="K22" s="1" t="s">
        <v>28</v>
      </c>
      <c r="L22" s="1" t="s">
        <v>29</v>
      </c>
      <c r="M22" s="1" t="s">
        <v>30</v>
      </c>
      <c r="N22" s="2"/>
      <c r="O22" s="2"/>
      <c r="P22" s="2"/>
      <c r="Q22" s="2" t="s">
        <v>32</v>
      </c>
      <c r="R22" s="1" t="s">
        <v>33</v>
      </c>
      <c r="S22" s="1" t="s">
        <v>34</v>
      </c>
      <c r="T22" s="2" t="s">
        <v>35</v>
      </c>
      <c r="U22" s="8" t="s">
        <v>36</v>
      </c>
    </row>
    <row r="23" spans="1:37" ht="15.75" customHeight="1" x14ac:dyDescent="0.15">
      <c r="A23" s="4" t="s">
        <v>131</v>
      </c>
      <c r="B23" s="1" t="s">
        <v>132</v>
      </c>
      <c r="C23" s="1" t="s">
        <v>133</v>
      </c>
      <c r="D23" s="2" t="s">
        <v>134</v>
      </c>
      <c r="E23" s="19" t="str">
        <f ca="1">IFERROR(__xludf.DUMMYFUNCTION("CONCATENATE(""Volume "",REGEXEXTRACT(A23,""[\d]+""),"", Number "",RIGHT(A23,LEN(A23) - 19))"),"Volume 11, Number 22")</f>
        <v>Volume 11, Number 22</v>
      </c>
      <c r="F23" s="3" t="s">
        <v>135</v>
      </c>
      <c r="G23" s="30">
        <v>32964</v>
      </c>
      <c r="H23" s="1" t="s">
        <v>136</v>
      </c>
      <c r="I23" s="2" t="s">
        <v>26</v>
      </c>
      <c r="J23" s="1" t="s">
        <v>27</v>
      </c>
      <c r="K23" s="1" t="s">
        <v>28</v>
      </c>
      <c r="L23" s="1" t="s">
        <v>29</v>
      </c>
      <c r="N23" s="2"/>
      <c r="O23" s="2"/>
      <c r="P23" s="2"/>
      <c r="Q23" s="2" t="s">
        <v>32</v>
      </c>
      <c r="R23" s="1" t="s">
        <v>33</v>
      </c>
      <c r="S23" s="1" t="s">
        <v>34</v>
      </c>
      <c r="T23" s="2" t="s">
        <v>35</v>
      </c>
      <c r="U23" s="6" t="s">
        <v>36</v>
      </c>
    </row>
    <row r="24" spans="1:37" ht="15.75" customHeight="1" x14ac:dyDescent="0.15">
      <c r="A24" s="4" t="s">
        <v>137</v>
      </c>
      <c r="B24" s="1" t="s">
        <v>138</v>
      </c>
      <c r="C24" s="1" t="s">
        <v>139</v>
      </c>
      <c r="D24" s="2" t="s">
        <v>140</v>
      </c>
      <c r="E24" s="19" t="str">
        <f ca="1">IFERROR(__xludf.DUMMYFUNCTION("CONCATENATE(""Volume "",REGEXEXTRACT(A24,""[\d]+""),"", Number "",RIGHT(A24,LEN(A24) - 19))"),"Volume 11, Number 23")</f>
        <v>Volume 11, Number 23</v>
      </c>
      <c r="F24" s="3" t="s">
        <v>141</v>
      </c>
      <c r="G24" s="30">
        <v>32994</v>
      </c>
      <c r="H24" s="1" t="s">
        <v>136</v>
      </c>
      <c r="I24" s="2" t="s">
        <v>26</v>
      </c>
      <c r="J24" s="1" t="s">
        <v>27</v>
      </c>
      <c r="K24" s="1" t="s">
        <v>28</v>
      </c>
      <c r="L24" s="1" t="s">
        <v>29</v>
      </c>
      <c r="M24" s="1" t="s">
        <v>30</v>
      </c>
      <c r="N24" s="2" t="s">
        <v>80</v>
      </c>
      <c r="O24" s="2"/>
      <c r="P24" s="2"/>
      <c r="Q24" s="2" t="s">
        <v>32</v>
      </c>
      <c r="R24" s="1" t="s">
        <v>33</v>
      </c>
      <c r="S24" s="1" t="s">
        <v>34</v>
      </c>
      <c r="T24" s="2" t="s">
        <v>35</v>
      </c>
      <c r="U24" s="7" t="s">
        <v>36</v>
      </c>
    </row>
    <row r="25" spans="1:37" ht="15.75" customHeight="1" x14ac:dyDescent="0.15">
      <c r="A25" s="4" t="s">
        <v>142</v>
      </c>
      <c r="B25" s="1" t="s">
        <v>143</v>
      </c>
      <c r="C25" s="1" t="s">
        <v>124</v>
      </c>
      <c r="D25" s="2" t="s">
        <v>144</v>
      </c>
      <c r="E25" s="19" t="str">
        <f ca="1">IFERROR(__xludf.DUMMYFUNCTION("CONCATENATE(""Volume "",REGEXEXTRACT(A25,""[\d]+""),"", Number "",RIGHT(A25,LEN(A25) - 19))"),"Volume 11, Number 27")</f>
        <v>Volume 11, Number 27</v>
      </c>
      <c r="F25" s="18" t="s">
        <v>145</v>
      </c>
      <c r="G25" s="30">
        <v>32964</v>
      </c>
      <c r="H25" s="1" t="s">
        <v>25</v>
      </c>
      <c r="I25" s="2" t="s">
        <v>26</v>
      </c>
      <c r="J25" s="1" t="s">
        <v>27</v>
      </c>
      <c r="K25" s="1" t="s">
        <v>28</v>
      </c>
      <c r="L25" s="1" t="s">
        <v>75</v>
      </c>
      <c r="M25" s="1" t="s">
        <v>29</v>
      </c>
      <c r="N25" s="2"/>
      <c r="O25" s="2"/>
      <c r="P25" s="2"/>
      <c r="Q25" s="2" t="s">
        <v>32</v>
      </c>
      <c r="R25" s="1" t="s">
        <v>33</v>
      </c>
      <c r="S25" s="1" t="s">
        <v>34</v>
      </c>
      <c r="T25" s="2" t="s">
        <v>35</v>
      </c>
      <c r="U25" s="8" t="s">
        <v>36</v>
      </c>
    </row>
    <row r="26" spans="1:37" ht="15.75" customHeight="1" x14ac:dyDescent="0.15">
      <c r="A26" s="4" t="s">
        <v>146</v>
      </c>
      <c r="B26" s="1" t="s">
        <v>147</v>
      </c>
      <c r="C26" s="1" t="s">
        <v>148</v>
      </c>
      <c r="D26" s="2" t="s">
        <v>149</v>
      </c>
      <c r="E26" s="19" t="str">
        <f ca="1">IFERROR(__xludf.DUMMYFUNCTION("CONCATENATE(""Volume "",REGEXEXTRACT(A26,""[\d]+""),"", Number "",RIGHT(A26,LEN(A26) - 19))"),"Volume 12, Number 13")</f>
        <v>Volume 12, Number 13</v>
      </c>
      <c r="F26" s="3" t="s">
        <v>150</v>
      </c>
      <c r="G26" s="30">
        <v>33210</v>
      </c>
      <c r="H26" s="1" t="s">
        <v>136</v>
      </c>
      <c r="I26" s="2" t="s">
        <v>26</v>
      </c>
      <c r="J26" s="1" t="s">
        <v>27</v>
      </c>
      <c r="K26" s="1" t="s">
        <v>28</v>
      </c>
      <c r="L26" s="1" t="s">
        <v>29</v>
      </c>
      <c r="N26" s="2"/>
      <c r="O26" s="2"/>
      <c r="P26" s="2"/>
      <c r="Q26" s="2" t="s">
        <v>32</v>
      </c>
      <c r="R26" s="1" t="s">
        <v>33</v>
      </c>
      <c r="S26" s="1" t="s">
        <v>34</v>
      </c>
      <c r="T26" s="2" t="s">
        <v>35</v>
      </c>
      <c r="U26" s="6" t="s">
        <v>36</v>
      </c>
    </row>
    <row r="27" spans="1:37" ht="15.75" customHeight="1" x14ac:dyDescent="0.15">
      <c r="A27" s="4" t="s">
        <v>151</v>
      </c>
      <c r="B27" s="20" t="s">
        <v>152</v>
      </c>
      <c r="C27" s="1" t="s">
        <v>148</v>
      </c>
      <c r="D27" s="2" t="s">
        <v>153</v>
      </c>
      <c r="E27" s="19" t="str">
        <f ca="1">IFERROR(__xludf.DUMMYFUNCTION("CONCATENATE(""Volume "",REGEXEXTRACT(A27,""[\d]+""),"", Number "",RIGHT(A27,LEN(A27) - 19))"),"Volume 12, Number 14")</f>
        <v>Volume 12, Number 14</v>
      </c>
      <c r="F27" s="3" t="s">
        <v>154</v>
      </c>
      <c r="G27" s="30">
        <v>33226</v>
      </c>
      <c r="H27" s="1" t="s">
        <v>136</v>
      </c>
      <c r="I27" s="2" t="s">
        <v>26</v>
      </c>
      <c r="J27" s="1" t="s">
        <v>27</v>
      </c>
      <c r="K27" s="1" t="s">
        <v>28</v>
      </c>
      <c r="L27" s="1" t="s">
        <v>29</v>
      </c>
      <c r="N27" s="2"/>
      <c r="O27" s="2"/>
      <c r="P27" s="2"/>
      <c r="Q27" s="2" t="s">
        <v>32</v>
      </c>
      <c r="R27" s="1" t="s">
        <v>33</v>
      </c>
      <c r="S27" s="1" t="s">
        <v>34</v>
      </c>
      <c r="T27" s="2" t="s">
        <v>35</v>
      </c>
      <c r="U27" s="7" t="s">
        <v>36</v>
      </c>
    </row>
    <row r="28" spans="1:37" ht="15.75" customHeight="1" x14ac:dyDescent="0.15">
      <c r="A28" s="4" t="s">
        <v>155</v>
      </c>
      <c r="B28" s="1" t="s">
        <v>156</v>
      </c>
      <c r="C28" s="1" t="s">
        <v>148</v>
      </c>
      <c r="D28" s="2" t="s">
        <v>157</v>
      </c>
      <c r="E28" s="19" t="str">
        <f ca="1">IFERROR(__xludf.DUMMYFUNCTION("CONCATENATE(""Volume "",REGEXEXTRACT(A28,""[\d]+""),"", Number "",RIGHT(A28,LEN(A28) - 19))"),"Volume 12, Number 15")</f>
        <v>Volume 12, Number 15</v>
      </c>
      <c r="F28" s="3" t="s">
        <v>158</v>
      </c>
      <c r="G28" s="30">
        <v>33246</v>
      </c>
      <c r="H28" s="1" t="s">
        <v>136</v>
      </c>
      <c r="I28" s="2" t="s">
        <v>26</v>
      </c>
      <c r="J28" s="1" t="s">
        <v>27</v>
      </c>
      <c r="K28" s="1" t="s">
        <v>28</v>
      </c>
      <c r="L28" s="1" t="s">
        <v>29</v>
      </c>
      <c r="N28" s="2"/>
      <c r="O28" s="2"/>
      <c r="P28" s="2"/>
      <c r="Q28" s="2" t="s">
        <v>32</v>
      </c>
      <c r="R28" s="1" t="s">
        <v>33</v>
      </c>
      <c r="S28" s="1" t="s">
        <v>34</v>
      </c>
      <c r="T28" s="2" t="s">
        <v>35</v>
      </c>
      <c r="U28" s="8" t="s">
        <v>36</v>
      </c>
    </row>
    <row r="29" spans="1:37" ht="15.75" customHeight="1" x14ac:dyDescent="0.15">
      <c r="A29" s="4" t="s">
        <v>159</v>
      </c>
      <c r="B29" s="1" t="s">
        <v>160</v>
      </c>
      <c r="C29" s="1" t="s">
        <v>148</v>
      </c>
      <c r="D29" s="2" t="s">
        <v>161</v>
      </c>
      <c r="E29" s="19" t="str">
        <f ca="1">IFERROR(__xludf.DUMMYFUNCTION("CONCATENATE(""Volume "",REGEXEXTRACT(A29,""[\d]+""),"", Number "",RIGHT(A29,LEN(A29) - 19))"),"Volume 12, Number 16")</f>
        <v>Volume 12, Number 16</v>
      </c>
      <c r="F29" s="3" t="s">
        <v>162</v>
      </c>
      <c r="G29" s="30">
        <v>33274</v>
      </c>
      <c r="H29" s="1" t="s">
        <v>136</v>
      </c>
      <c r="I29" s="2" t="s">
        <v>26</v>
      </c>
      <c r="J29" s="1" t="s">
        <v>27</v>
      </c>
      <c r="K29" s="1" t="s">
        <v>28</v>
      </c>
      <c r="L29" s="1" t="s">
        <v>30</v>
      </c>
      <c r="M29" s="1" t="s">
        <v>29</v>
      </c>
      <c r="N29" s="2" t="s">
        <v>80</v>
      </c>
      <c r="O29" s="2"/>
      <c r="P29" s="2"/>
      <c r="Q29" s="2" t="s">
        <v>32</v>
      </c>
      <c r="R29" s="1" t="s">
        <v>33</v>
      </c>
      <c r="S29" s="1" t="s">
        <v>34</v>
      </c>
      <c r="T29" s="2" t="s">
        <v>35</v>
      </c>
      <c r="U29" s="6" t="s">
        <v>36</v>
      </c>
    </row>
    <row r="30" spans="1:37" ht="15.75" customHeight="1" x14ac:dyDescent="0.15">
      <c r="A30" s="4" t="s">
        <v>163</v>
      </c>
      <c r="B30" s="1" t="s">
        <v>164</v>
      </c>
      <c r="C30" s="1" t="s">
        <v>148</v>
      </c>
      <c r="D30" s="2" t="s">
        <v>165</v>
      </c>
      <c r="E30" s="19" t="str">
        <f ca="1">IFERROR(__xludf.DUMMYFUNCTION("CONCATENATE(""Volume "",REGEXEXTRACT(A30,""[\d]+""),"", Number "",RIGHT(A30,LEN(A30) - 19))"),"Volume 12, Number 17")</f>
        <v>Volume 12, Number 17</v>
      </c>
      <c r="F30" s="3" t="s">
        <v>166</v>
      </c>
      <c r="G30" s="30">
        <v>33294</v>
      </c>
      <c r="H30" s="1" t="s">
        <v>136</v>
      </c>
      <c r="I30" s="2" t="s">
        <v>26</v>
      </c>
      <c r="J30" s="1" t="s">
        <v>27</v>
      </c>
      <c r="K30" s="1" t="s">
        <v>28</v>
      </c>
      <c r="L30" s="1" t="s">
        <v>30</v>
      </c>
      <c r="M30" s="1" t="s">
        <v>29</v>
      </c>
      <c r="N30" s="2" t="s">
        <v>80</v>
      </c>
      <c r="O30" s="2" t="s">
        <v>54</v>
      </c>
      <c r="P30" s="2"/>
      <c r="Q30" s="2" t="s">
        <v>32</v>
      </c>
      <c r="R30" s="1" t="s">
        <v>33</v>
      </c>
      <c r="S30" s="1" t="s">
        <v>34</v>
      </c>
      <c r="T30" s="2" t="s">
        <v>35</v>
      </c>
      <c r="U30" s="7" t="s">
        <v>36</v>
      </c>
    </row>
    <row r="31" spans="1:37" ht="15.75" customHeight="1" x14ac:dyDescent="0.15">
      <c r="A31" s="4" t="s">
        <v>167</v>
      </c>
      <c r="B31" s="1" t="s">
        <v>168</v>
      </c>
      <c r="C31" s="1" t="s">
        <v>148</v>
      </c>
      <c r="D31" s="2" t="s">
        <v>169</v>
      </c>
      <c r="E31" s="19" t="str">
        <f ca="1">IFERROR(__xludf.DUMMYFUNCTION("CONCATENATE(""Volume "",REGEXEXTRACT(A31,""[\d]+""),"", Number "",RIGHT(A31,LEN(A31) - 19))"),"Volume 12, Number 18")</f>
        <v>Volume 12, Number 18</v>
      </c>
      <c r="F31" s="3" t="s">
        <v>170</v>
      </c>
      <c r="G31" s="30">
        <v>33310</v>
      </c>
      <c r="H31" s="1" t="s">
        <v>136</v>
      </c>
      <c r="I31" s="2" t="s">
        <v>26</v>
      </c>
      <c r="J31" s="1" t="s">
        <v>27</v>
      </c>
      <c r="K31" s="1" t="s">
        <v>28</v>
      </c>
      <c r="L31" s="1" t="s">
        <v>30</v>
      </c>
      <c r="M31" s="1" t="s">
        <v>29</v>
      </c>
      <c r="N31" s="2" t="s">
        <v>80</v>
      </c>
      <c r="O31" s="2"/>
      <c r="P31" s="2"/>
      <c r="Q31" s="2" t="s">
        <v>32</v>
      </c>
      <c r="R31" s="1" t="s">
        <v>33</v>
      </c>
      <c r="S31" s="1" t="s">
        <v>34</v>
      </c>
      <c r="T31" s="2" t="s">
        <v>35</v>
      </c>
      <c r="U31" s="8" t="s">
        <v>36</v>
      </c>
    </row>
    <row r="32" spans="1:37" ht="15.75" customHeight="1" x14ac:dyDescent="0.15">
      <c r="A32" s="4" t="s">
        <v>171</v>
      </c>
      <c r="B32" s="1" t="s">
        <v>172</v>
      </c>
      <c r="C32" s="1" t="s">
        <v>148</v>
      </c>
      <c r="D32" s="2" t="s">
        <v>173</v>
      </c>
      <c r="E32" s="19" t="str">
        <f ca="1">IFERROR(__xludf.DUMMYFUNCTION("CONCATENATE(""Volume "",REGEXEXTRACT(A32,""[\d]+""),"", Number "",RIGHT(A32,LEN(A32) - 19))"),"Volume 12, Number 20")</f>
        <v>Volume 12, Number 20</v>
      </c>
      <c r="F32" s="3" t="s">
        <v>174</v>
      </c>
      <c r="G32" s="30">
        <v>33351</v>
      </c>
      <c r="H32" s="1" t="s">
        <v>136</v>
      </c>
      <c r="I32" s="2" t="s">
        <v>26</v>
      </c>
      <c r="J32" s="1" t="s">
        <v>27</v>
      </c>
      <c r="K32" s="1" t="s">
        <v>28</v>
      </c>
      <c r="L32" s="1" t="s">
        <v>75</v>
      </c>
      <c r="M32" s="1" t="s">
        <v>29</v>
      </c>
      <c r="N32" s="2"/>
      <c r="O32" s="2"/>
      <c r="P32" s="2"/>
      <c r="Q32" s="2" t="s">
        <v>32</v>
      </c>
      <c r="R32" s="1" t="s">
        <v>33</v>
      </c>
      <c r="S32" s="1" t="s">
        <v>34</v>
      </c>
      <c r="T32" s="2" t="s">
        <v>35</v>
      </c>
      <c r="U32" s="6" t="s">
        <v>36</v>
      </c>
    </row>
    <row r="33" spans="1:21" ht="15.75" customHeight="1" x14ac:dyDescent="0.15">
      <c r="A33" s="4" t="s">
        <v>175</v>
      </c>
      <c r="B33" s="1" t="s">
        <v>176</v>
      </c>
      <c r="C33" s="1" t="s">
        <v>148</v>
      </c>
      <c r="D33" s="2" t="s">
        <v>177</v>
      </c>
      <c r="E33" s="19" t="str">
        <f ca="1">IFERROR(__xludf.DUMMYFUNCTION("CONCATENATE(""Volume "",REGEXEXTRACT(A33,""[\d]+""),"", Number "",RIGHT(A33,LEN(A33) - 19))"),"Volume 12, Number 21")</f>
        <v>Volume 12, Number 21</v>
      </c>
      <c r="F33" s="3" t="s">
        <v>178</v>
      </c>
      <c r="G33" s="30">
        <v>33368</v>
      </c>
      <c r="H33" s="1" t="s">
        <v>136</v>
      </c>
      <c r="I33" s="2" t="s">
        <v>26</v>
      </c>
      <c r="J33" s="1" t="s">
        <v>27</v>
      </c>
      <c r="K33" s="1" t="s">
        <v>28</v>
      </c>
      <c r="L33" s="1" t="s">
        <v>29</v>
      </c>
      <c r="M33" s="1" t="s">
        <v>30</v>
      </c>
      <c r="N33" s="2" t="s">
        <v>48</v>
      </c>
      <c r="O33" s="2" t="s">
        <v>179</v>
      </c>
      <c r="P33" s="2" t="s">
        <v>54</v>
      </c>
      <c r="Q33" s="2" t="s">
        <v>32</v>
      </c>
      <c r="R33" s="1" t="s">
        <v>33</v>
      </c>
      <c r="S33" s="1" t="s">
        <v>34</v>
      </c>
      <c r="T33" s="2" t="s">
        <v>35</v>
      </c>
      <c r="U33" s="7" t="s">
        <v>36</v>
      </c>
    </row>
    <row r="34" spans="1:21" ht="15.75" customHeight="1" x14ac:dyDescent="0.15">
      <c r="A34" s="4" t="s">
        <v>180</v>
      </c>
      <c r="B34" s="1" t="s">
        <v>181</v>
      </c>
      <c r="C34" s="1" t="s">
        <v>182</v>
      </c>
      <c r="D34" s="2" t="s">
        <v>183</v>
      </c>
      <c r="E34" s="19" t="str">
        <f ca="1">IFERROR(__xludf.DUMMYFUNCTION("CONCATENATE(""Volume "",REGEXEXTRACT(A34,""[\d]+""),"", Number "",RIGHT(A34,LEN(A34) - 19))"),"Volume 12, Number 24")</f>
        <v>Volume 12, Number 24</v>
      </c>
      <c r="F34" s="3" t="s">
        <v>184</v>
      </c>
      <c r="G34" s="30">
        <v>33451</v>
      </c>
      <c r="H34" s="1" t="s">
        <v>25</v>
      </c>
      <c r="I34" s="2" t="s">
        <v>26</v>
      </c>
      <c r="J34" s="1" t="s">
        <v>27</v>
      </c>
      <c r="K34" s="1" t="s">
        <v>28</v>
      </c>
      <c r="L34" s="1" t="s">
        <v>29</v>
      </c>
      <c r="M34" s="1" t="s">
        <v>75</v>
      </c>
      <c r="N34" s="2"/>
      <c r="O34" s="2"/>
      <c r="P34" s="2"/>
      <c r="Q34" s="2" t="s">
        <v>32</v>
      </c>
      <c r="R34" s="1" t="s">
        <v>33</v>
      </c>
      <c r="S34" s="1" t="s">
        <v>34</v>
      </c>
      <c r="T34" s="2" t="s">
        <v>35</v>
      </c>
      <c r="U34" s="8" t="s">
        <v>36</v>
      </c>
    </row>
    <row r="35" spans="1:21" ht="15.75" customHeight="1" x14ac:dyDescent="0.15">
      <c r="A35" s="4" t="s">
        <v>185</v>
      </c>
      <c r="B35" s="1" t="s">
        <v>186</v>
      </c>
      <c r="C35" s="1" t="s">
        <v>182</v>
      </c>
      <c r="D35" s="2" t="s">
        <v>187</v>
      </c>
      <c r="E35" s="19" t="str">
        <f ca="1">IFERROR(__xludf.DUMMYFUNCTION("CONCATENATE(""Volume "",REGEXEXTRACT(A35,""[\d]+""),"", Number "",RIGHT(A35,LEN(A35) - 19))"),"Volume 13, Number 16")</f>
        <v>Volume 13, Number 16</v>
      </c>
      <c r="F35" s="3" t="s">
        <v>188</v>
      </c>
      <c r="G35" s="30">
        <v>33635</v>
      </c>
      <c r="H35" s="1" t="s">
        <v>25</v>
      </c>
      <c r="I35" s="2" t="s">
        <v>26</v>
      </c>
      <c r="J35" s="1" t="s">
        <v>27</v>
      </c>
      <c r="K35" s="1" t="s">
        <v>28</v>
      </c>
      <c r="L35" s="1" t="s">
        <v>29</v>
      </c>
      <c r="M35" s="1" t="s">
        <v>30</v>
      </c>
      <c r="N35" s="2"/>
      <c r="O35" s="2"/>
      <c r="P35" s="2"/>
      <c r="Q35" s="2" t="s">
        <v>32</v>
      </c>
      <c r="R35" s="1" t="s">
        <v>33</v>
      </c>
      <c r="S35" s="1" t="s">
        <v>34</v>
      </c>
      <c r="T35" s="2" t="s">
        <v>35</v>
      </c>
      <c r="U35" s="6" t="s">
        <v>36</v>
      </c>
    </row>
    <row r="36" spans="1:21" ht="15.75" customHeight="1" x14ac:dyDescent="0.15">
      <c r="A36" s="4" t="s">
        <v>189</v>
      </c>
      <c r="B36" s="1" t="s">
        <v>190</v>
      </c>
      <c r="C36" s="1" t="s">
        <v>182</v>
      </c>
      <c r="D36" s="2" t="s">
        <v>191</v>
      </c>
      <c r="E36" s="19" t="str">
        <f ca="1">IFERROR(__xludf.DUMMYFUNCTION("CONCATENATE(""Volume "",REGEXEXTRACT(A36,""[\d]+""),"", Number "",RIGHT(A36,LEN(A36) - 19))"),"Volume 13, Number 21")</f>
        <v>Volume 13, Number 21</v>
      </c>
      <c r="F36" s="3" t="s">
        <v>192</v>
      </c>
      <c r="G36" s="30">
        <v>33725</v>
      </c>
      <c r="H36" s="1" t="s">
        <v>25</v>
      </c>
      <c r="I36" s="2" t="s">
        <v>26</v>
      </c>
      <c r="J36" s="1" t="s">
        <v>27</v>
      </c>
      <c r="K36" s="1" t="s">
        <v>28</v>
      </c>
      <c r="L36" s="1" t="s">
        <v>29</v>
      </c>
      <c r="M36" s="1" t="s">
        <v>179</v>
      </c>
      <c r="N36" s="2"/>
      <c r="O36" s="2"/>
      <c r="P36" s="2"/>
      <c r="Q36" s="2" t="s">
        <v>32</v>
      </c>
      <c r="R36" s="1" t="s">
        <v>33</v>
      </c>
      <c r="S36" s="1" t="s">
        <v>34</v>
      </c>
      <c r="T36" s="2" t="s">
        <v>35</v>
      </c>
      <c r="U36" s="7" t="s">
        <v>36</v>
      </c>
    </row>
    <row r="37" spans="1:21" ht="15.75" customHeight="1" x14ac:dyDescent="0.15">
      <c r="A37" s="4" t="s">
        <v>193</v>
      </c>
      <c r="B37" s="1" t="s">
        <v>194</v>
      </c>
      <c r="C37" s="1" t="s">
        <v>182</v>
      </c>
      <c r="D37" s="2" t="s">
        <v>195</v>
      </c>
      <c r="E37" s="19" t="str">
        <f ca="1">IFERROR(__xludf.DUMMYFUNCTION("CONCATENATE(""Volume "",REGEXEXTRACT(A37,""[\d]+""),"", Number "",RIGHT(A37,LEN(A37) - 19))"),"Volume 13, Number 23")</f>
        <v>Volume 13, Number 23</v>
      </c>
      <c r="F37" s="3" t="s">
        <v>196</v>
      </c>
      <c r="G37" s="30">
        <v>34182</v>
      </c>
      <c r="H37" s="1" t="s">
        <v>25</v>
      </c>
      <c r="I37" s="2" t="s">
        <v>26</v>
      </c>
      <c r="J37" s="1" t="s">
        <v>27</v>
      </c>
      <c r="K37" s="1" t="s">
        <v>28</v>
      </c>
      <c r="L37" s="1" t="s">
        <v>29</v>
      </c>
      <c r="N37" s="2"/>
      <c r="O37" s="2"/>
      <c r="P37" s="2"/>
      <c r="Q37" s="2" t="s">
        <v>32</v>
      </c>
      <c r="R37" s="1" t="s">
        <v>33</v>
      </c>
      <c r="S37" s="1" t="s">
        <v>34</v>
      </c>
      <c r="T37" s="2" t="s">
        <v>35</v>
      </c>
      <c r="U37" s="8" t="s">
        <v>36</v>
      </c>
    </row>
    <row r="38" spans="1:21" ht="15.75" customHeight="1" x14ac:dyDescent="0.15">
      <c r="A38" s="4" t="s">
        <v>197</v>
      </c>
      <c r="B38" s="1" t="s">
        <v>198</v>
      </c>
      <c r="C38" s="1" t="s">
        <v>182</v>
      </c>
      <c r="D38" s="2" t="s">
        <v>199</v>
      </c>
      <c r="E38" s="19" t="str">
        <f ca="1">IFERROR(__xludf.DUMMYFUNCTION("CONCATENATE(""Volume "",REGEXEXTRACT(A38,""[\d]+""),"", Number "",RIGHT(A38,LEN(A38) - 19))"),"Volume 13, Number 24")</f>
        <v>Volume 13, Number 24</v>
      </c>
      <c r="F38" s="3" t="s">
        <v>200</v>
      </c>
      <c r="G38" s="30">
        <v>33817</v>
      </c>
      <c r="H38" s="1" t="s">
        <v>25</v>
      </c>
      <c r="I38" s="2" t="s">
        <v>26</v>
      </c>
      <c r="J38" s="1" t="s">
        <v>27</v>
      </c>
      <c r="K38" s="1" t="s">
        <v>28</v>
      </c>
      <c r="L38" s="1" t="s">
        <v>29</v>
      </c>
      <c r="M38" s="1" t="s">
        <v>179</v>
      </c>
      <c r="N38" s="2"/>
      <c r="O38" s="2"/>
      <c r="P38" s="2"/>
      <c r="Q38" s="2" t="s">
        <v>32</v>
      </c>
      <c r="R38" s="1" t="s">
        <v>33</v>
      </c>
      <c r="S38" s="1" t="s">
        <v>34</v>
      </c>
      <c r="T38" s="2" t="s">
        <v>35</v>
      </c>
      <c r="U38" s="6" t="s">
        <v>36</v>
      </c>
    </row>
    <row r="39" spans="1:21" ht="15.75" customHeight="1" x14ac:dyDescent="0.15">
      <c r="A39" s="4" t="s">
        <v>201</v>
      </c>
      <c r="B39" s="1" t="s">
        <v>202</v>
      </c>
      <c r="C39" s="1" t="s">
        <v>182</v>
      </c>
      <c r="D39" s="2" t="s">
        <v>203</v>
      </c>
      <c r="E39" s="19" t="str">
        <f ca="1">IFERROR(__xludf.DUMMYFUNCTION("CONCATENATE(""Volume "",REGEXEXTRACT(A39,""[\d]+""),"", Number "",RIGHT(A39,LEN(A39) - 19))"),"Volume 13, Number 7")</f>
        <v>Volume 13, Number 7</v>
      </c>
      <c r="F39" s="3" t="s">
        <v>204</v>
      </c>
      <c r="G39" s="30">
        <v>33543</v>
      </c>
      <c r="H39" s="1" t="s">
        <v>25</v>
      </c>
      <c r="I39" s="2" t="s">
        <v>26</v>
      </c>
      <c r="J39" s="1" t="s">
        <v>27</v>
      </c>
      <c r="K39" s="1" t="s">
        <v>28</v>
      </c>
      <c r="L39" s="1" t="s">
        <v>29</v>
      </c>
      <c r="M39" s="1" t="s">
        <v>48</v>
      </c>
      <c r="N39" s="2"/>
      <c r="O39" s="2"/>
      <c r="P39" s="2"/>
      <c r="Q39" s="2" t="s">
        <v>32</v>
      </c>
      <c r="R39" s="1" t="s">
        <v>33</v>
      </c>
      <c r="S39" s="1" t="s">
        <v>34</v>
      </c>
      <c r="T39" s="2" t="s">
        <v>35</v>
      </c>
      <c r="U39" s="7" t="s">
        <v>36</v>
      </c>
    </row>
    <row r="40" spans="1:21" ht="15.75" customHeight="1" x14ac:dyDescent="0.15">
      <c r="A40" s="4" t="s">
        <v>205</v>
      </c>
      <c r="B40" s="1" t="s">
        <v>206</v>
      </c>
      <c r="C40" s="1" t="s">
        <v>207</v>
      </c>
      <c r="D40" s="2" t="s">
        <v>208</v>
      </c>
      <c r="E40" s="19" t="str">
        <f ca="1">IFERROR(__xludf.DUMMYFUNCTION("CONCATENATE(""Volume "",REGEXEXTRACT(A40,""[\d]+""),"", Number "",RIGHT(A40,LEN(A40) - 19))"),"Volume 14, Number 10")</f>
        <v>Volume 14, Number 10</v>
      </c>
      <c r="F40" s="3" t="s">
        <v>209</v>
      </c>
      <c r="G40" s="30">
        <v>33924</v>
      </c>
      <c r="H40" s="1" t="s">
        <v>136</v>
      </c>
      <c r="I40" s="2" t="s">
        <v>26</v>
      </c>
      <c r="J40" s="1" t="s">
        <v>27</v>
      </c>
      <c r="K40" s="1" t="s">
        <v>28</v>
      </c>
      <c r="L40" s="1" t="s">
        <v>29</v>
      </c>
      <c r="N40" s="2"/>
      <c r="O40" s="2"/>
      <c r="P40" s="2"/>
      <c r="Q40" s="2" t="s">
        <v>32</v>
      </c>
      <c r="R40" s="1" t="s">
        <v>33</v>
      </c>
      <c r="S40" s="1" t="s">
        <v>34</v>
      </c>
      <c r="T40" s="2" t="s">
        <v>35</v>
      </c>
      <c r="U40" s="8" t="s">
        <v>36</v>
      </c>
    </row>
    <row r="41" spans="1:21" ht="15.75" customHeight="1" x14ac:dyDescent="0.15">
      <c r="A41" s="4" t="s">
        <v>210</v>
      </c>
      <c r="B41" s="1" t="s">
        <v>211</v>
      </c>
      <c r="C41" s="1" t="s">
        <v>207</v>
      </c>
      <c r="D41" s="2" t="s">
        <v>212</v>
      </c>
      <c r="E41" s="19" t="str">
        <f ca="1">IFERROR(__xludf.DUMMYFUNCTION("CONCATENATE(""Volume "",REGEXEXTRACT(A41,""[\d]+""),"", Number "",RIGHT(A41,LEN(A41) - 19))"),"Volume 14, Number 11")</f>
        <v>Volume 14, Number 11</v>
      </c>
      <c r="F41" s="3" t="s">
        <v>213</v>
      </c>
      <c r="G41" s="30">
        <v>33931</v>
      </c>
      <c r="H41" s="1" t="s">
        <v>136</v>
      </c>
      <c r="I41" s="2" t="s">
        <v>26</v>
      </c>
      <c r="J41" s="1" t="s">
        <v>27</v>
      </c>
      <c r="K41" s="1" t="s">
        <v>28</v>
      </c>
      <c r="L41" s="1" t="s">
        <v>29</v>
      </c>
      <c r="N41" s="2"/>
      <c r="O41" s="2"/>
      <c r="P41" s="2"/>
      <c r="Q41" s="2" t="s">
        <v>32</v>
      </c>
      <c r="R41" s="1" t="s">
        <v>33</v>
      </c>
      <c r="S41" s="1" t="s">
        <v>34</v>
      </c>
      <c r="T41" s="2" t="s">
        <v>35</v>
      </c>
      <c r="U41" s="6" t="s">
        <v>36</v>
      </c>
    </row>
    <row r="42" spans="1:21" ht="15.75" customHeight="1" x14ac:dyDescent="0.15">
      <c r="A42" s="4" t="s">
        <v>214</v>
      </c>
      <c r="B42" s="1" t="s">
        <v>215</v>
      </c>
      <c r="C42" s="1" t="s">
        <v>207</v>
      </c>
      <c r="D42" s="2" t="s">
        <v>216</v>
      </c>
      <c r="E42" s="19" t="str">
        <f ca="1">IFERROR(__xludf.DUMMYFUNCTION("CONCATENATE(""Volume "",REGEXEXTRACT(A42,""[\d]+""),"", Number "",RIGHT(A42,LEN(A42) - 19))"),"Volume 14, Number 12")</f>
        <v>Volume 14, Number 12</v>
      </c>
      <c r="F42" s="3" t="s">
        <v>217</v>
      </c>
      <c r="G42" s="30">
        <v>33938</v>
      </c>
      <c r="H42" s="1" t="s">
        <v>136</v>
      </c>
      <c r="I42" s="2" t="s">
        <v>26</v>
      </c>
      <c r="J42" s="1" t="s">
        <v>27</v>
      </c>
      <c r="K42" s="1" t="s">
        <v>28</v>
      </c>
      <c r="L42" s="1" t="s">
        <v>29</v>
      </c>
      <c r="N42" s="2"/>
      <c r="O42" s="2"/>
      <c r="P42" s="2"/>
      <c r="Q42" s="2" t="s">
        <v>32</v>
      </c>
      <c r="R42" s="1" t="s">
        <v>33</v>
      </c>
      <c r="S42" s="1" t="s">
        <v>34</v>
      </c>
      <c r="T42" s="2" t="s">
        <v>35</v>
      </c>
      <c r="U42" s="7" t="s">
        <v>36</v>
      </c>
    </row>
    <row r="43" spans="1:21" ht="15.75" customHeight="1" x14ac:dyDescent="0.15">
      <c r="A43" s="4" t="s">
        <v>218</v>
      </c>
      <c r="B43" s="1" t="s">
        <v>219</v>
      </c>
      <c r="C43" s="1" t="s">
        <v>207</v>
      </c>
      <c r="D43" s="2" t="s">
        <v>220</v>
      </c>
      <c r="E43" s="19" t="str">
        <f ca="1">IFERROR(__xludf.DUMMYFUNCTION("CONCATENATE(""Volume "",REGEXEXTRACT(A43,""[\d]+""),"", Number "",RIGHT(A43,LEN(A43) - 19))"),"Volume 14, Number 13")</f>
        <v>Volume 14, Number 13</v>
      </c>
      <c r="F43" s="3" t="s">
        <v>221</v>
      </c>
      <c r="G43" s="30">
        <v>33973</v>
      </c>
      <c r="H43" s="1" t="s">
        <v>136</v>
      </c>
      <c r="I43" s="2" t="s">
        <v>26</v>
      </c>
      <c r="J43" s="1" t="s">
        <v>27</v>
      </c>
      <c r="K43" s="1" t="s">
        <v>28</v>
      </c>
      <c r="L43" s="1" t="s">
        <v>29</v>
      </c>
      <c r="M43" s="1" t="s">
        <v>30</v>
      </c>
      <c r="N43" s="2"/>
      <c r="O43" s="2"/>
      <c r="P43" s="2"/>
      <c r="Q43" s="2" t="s">
        <v>32</v>
      </c>
      <c r="R43" s="1" t="s">
        <v>33</v>
      </c>
      <c r="S43" s="1" t="s">
        <v>34</v>
      </c>
      <c r="T43" s="2" t="s">
        <v>35</v>
      </c>
      <c r="U43" s="8" t="s">
        <v>36</v>
      </c>
    </row>
    <row r="44" spans="1:21" ht="15.75" customHeight="1" x14ac:dyDescent="0.15">
      <c r="A44" s="4" t="s">
        <v>222</v>
      </c>
      <c r="B44" s="1" t="s">
        <v>223</v>
      </c>
      <c r="C44" s="1" t="s">
        <v>207</v>
      </c>
      <c r="D44" s="2" t="s">
        <v>224</v>
      </c>
      <c r="E44" s="19" t="str">
        <f ca="1">IFERROR(__xludf.DUMMYFUNCTION("CONCATENATE(""Volume "",REGEXEXTRACT(A44,""[\d]+""),"", Number "",RIGHT(A44,LEN(A44) - 19))"),"Volume 14, Number 14")</f>
        <v>Volume 14, Number 14</v>
      </c>
      <c r="F44" s="3" t="s">
        <v>225</v>
      </c>
      <c r="G44" s="30">
        <v>33988</v>
      </c>
      <c r="H44" s="1" t="s">
        <v>136</v>
      </c>
      <c r="I44" s="2" t="s">
        <v>26</v>
      </c>
      <c r="J44" s="1" t="s">
        <v>27</v>
      </c>
      <c r="K44" s="1" t="s">
        <v>28</v>
      </c>
      <c r="L44" s="1" t="s">
        <v>30</v>
      </c>
      <c r="N44" s="2"/>
      <c r="O44" s="2"/>
      <c r="P44" s="2"/>
      <c r="Q44" s="2" t="s">
        <v>32</v>
      </c>
      <c r="R44" s="1" t="s">
        <v>33</v>
      </c>
      <c r="S44" s="1" t="s">
        <v>34</v>
      </c>
      <c r="T44" s="2" t="s">
        <v>35</v>
      </c>
      <c r="U44" s="6" t="s">
        <v>36</v>
      </c>
    </row>
    <row r="45" spans="1:21" ht="15.75" customHeight="1" x14ac:dyDescent="0.15">
      <c r="A45" s="4" t="s">
        <v>226</v>
      </c>
      <c r="B45" s="1" t="s">
        <v>227</v>
      </c>
      <c r="C45" s="1" t="s">
        <v>182</v>
      </c>
      <c r="D45" s="2" t="s">
        <v>228</v>
      </c>
      <c r="E45" s="19" t="str">
        <f ca="1">IFERROR(__xludf.DUMMYFUNCTION("CONCATENATE(""Volume "",REGEXEXTRACT(A45,""[\d]+""),"", Number "",RIGHT(A45,LEN(A45) - 19))"),"Volume 14, Number 16")</f>
        <v>Volume 14, Number 16</v>
      </c>
      <c r="F45" s="3" t="s">
        <v>229</v>
      </c>
      <c r="G45" s="30">
        <v>34001</v>
      </c>
      <c r="H45" s="1" t="s">
        <v>25</v>
      </c>
      <c r="I45" s="2" t="s">
        <v>26</v>
      </c>
      <c r="J45" s="1" t="s">
        <v>27</v>
      </c>
      <c r="K45" s="1" t="s">
        <v>28</v>
      </c>
      <c r="L45" s="1" t="s">
        <v>29</v>
      </c>
      <c r="M45" s="1" t="s">
        <v>30</v>
      </c>
      <c r="N45" s="2" t="s">
        <v>54</v>
      </c>
      <c r="O45" s="2"/>
      <c r="P45" s="2"/>
      <c r="Q45" s="2" t="s">
        <v>32</v>
      </c>
      <c r="R45" s="1" t="s">
        <v>33</v>
      </c>
      <c r="S45" s="1" t="s">
        <v>34</v>
      </c>
      <c r="T45" s="2" t="s">
        <v>35</v>
      </c>
      <c r="U45" s="7" t="s">
        <v>36</v>
      </c>
    </row>
    <row r="46" spans="1:21" ht="15.75" customHeight="1" x14ac:dyDescent="0.15">
      <c r="A46" s="4" t="s">
        <v>230</v>
      </c>
      <c r="B46" s="1" t="s">
        <v>231</v>
      </c>
      <c r="C46" s="20" t="s">
        <v>207</v>
      </c>
      <c r="D46" s="2" t="s">
        <v>232</v>
      </c>
      <c r="E46" s="19" t="str">
        <f ca="1">IFERROR(__xludf.DUMMYFUNCTION("CONCATENATE(""Volume "",REGEXEXTRACT(A46,""[\d]+""),"", Number "",RIGHT(A46,LEN(A46) - 19))"),"Volume 14, Number 2")</f>
        <v>Volume 14, Number 2</v>
      </c>
      <c r="F46" s="3" t="s">
        <v>233</v>
      </c>
      <c r="G46" s="30">
        <v>33861</v>
      </c>
      <c r="H46" s="1" t="s">
        <v>136</v>
      </c>
      <c r="I46" s="2" t="s">
        <v>26</v>
      </c>
      <c r="J46" s="1" t="s">
        <v>27</v>
      </c>
      <c r="K46" s="1" t="s">
        <v>28</v>
      </c>
      <c r="L46" s="1" t="s">
        <v>29</v>
      </c>
      <c r="N46" s="2"/>
      <c r="O46" s="2"/>
      <c r="P46" s="2"/>
      <c r="Q46" s="2" t="s">
        <v>32</v>
      </c>
      <c r="R46" s="1" t="s">
        <v>33</v>
      </c>
      <c r="S46" s="1" t="s">
        <v>34</v>
      </c>
      <c r="T46" s="2" t="s">
        <v>35</v>
      </c>
      <c r="U46" s="8" t="s">
        <v>36</v>
      </c>
    </row>
    <row r="47" spans="1:21" ht="15.75" customHeight="1" x14ac:dyDescent="0.15">
      <c r="A47" s="4" t="s">
        <v>234</v>
      </c>
      <c r="B47" s="1" t="s">
        <v>235</v>
      </c>
      <c r="C47" s="1" t="s">
        <v>182</v>
      </c>
      <c r="D47" s="2" t="s">
        <v>236</v>
      </c>
      <c r="E47" s="19" t="str">
        <f ca="1">IFERROR(__xludf.DUMMYFUNCTION("CONCATENATE(""Volume "",REGEXEXTRACT(A47,""[\d]+""),"", Number "",RIGHT(A47,LEN(A47) - 19))"),"Volume 14, Number 21")</f>
        <v>Volume 14, Number 21</v>
      </c>
      <c r="F47" s="3" t="s">
        <v>237</v>
      </c>
      <c r="G47" s="30">
        <v>34090</v>
      </c>
      <c r="H47" s="1" t="s">
        <v>25</v>
      </c>
      <c r="I47" s="2" t="s">
        <v>26</v>
      </c>
      <c r="J47" s="1" t="s">
        <v>27</v>
      </c>
      <c r="K47" s="1" t="s">
        <v>28</v>
      </c>
      <c r="L47" s="1" t="s">
        <v>29</v>
      </c>
      <c r="M47" s="1" t="s">
        <v>80</v>
      </c>
      <c r="N47" s="2"/>
      <c r="O47" s="2"/>
      <c r="P47" s="2"/>
      <c r="Q47" s="2" t="s">
        <v>32</v>
      </c>
      <c r="R47" s="1" t="s">
        <v>33</v>
      </c>
      <c r="S47" s="1" t="s">
        <v>34</v>
      </c>
      <c r="T47" s="2" t="s">
        <v>35</v>
      </c>
      <c r="U47" s="6" t="s">
        <v>36</v>
      </c>
    </row>
    <row r="48" spans="1:21" ht="15.75" customHeight="1" x14ac:dyDescent="0.15">
      <c r="A48" s="4" t="s">
        <v>238</v>
      </c>
      <c r="B48" s="1" t="s">
        <v>239</v>
      </c>
      <c r="C48" s="20" t="s">
        <v>207</v>
      </c>
      <c r="D48" s="2" t="s">
        <v>240</v>
      </c>
      <c r="E48" s="19" t="str">
        <f ca="1">IFERROR(__xludf.DUMMYFUNCTION("CONCATENATE(""Volume "",REGEXEXTRACT(A48,""[\d]+""),"", Number "",RIGHT(A48,LEN(A48) - 19))"),"Volume 14, Number 3")</f>
        <v>Volume 14, Number 3</v>
      </c>
      <c r="F48" s="3" t="s">
        <v>241</v>
      </c>
      <c r="G48" s="30">
        <v>33868</v>
      </c>
      <c r="H48" s="1" t="s">
        <v>136</v>
      </c>
      <c r="I48" s="2" t="s">
        <v>26</v>
      </c>
      <c r="J48" s="1" t="s">
        <v>27</v>
      </c>
      <c r="K48" s="1" t="s">
        <v>28</v>
      </c>
      <c r="L48" s="1" t="s">
        <v>29</v>
      </c>
      <c r="N48" s="2"/>
      <c r="O48" s="2"/>
      <c r="P48" s="2"/>
      <c r="Q48" s="2" t="s">
        <v>32</v>
      </c>
      <c r="R48" s="1" t="s">
        <v>33</v>
      </c>
      <c r="S48" s="1" t="s">
        <v>34</v>
      </c>
      <c r="T48" s="2" t="s">
        <v>35</v>
      </c>
      <c r="U48" s="7" t="s">
        <v>36</v>
      </c>
    </row>
    <row r="49" spans="1:21" ht="15.75" customHeight="1" x14ac:dyDescent="0.15">
      <c r="A49" s="4" t="s">
        <v>242</v>
      </c>
      <c r="B49" s="1" t="s">
        <v>243</v>
      </c>
      <c r="C49" s="20" t="s">
        <v>207</v>
      </c>
      <c r="D49" s="2" t="s">
        <v>244</v>
      </c>
      <c r="E49" s="19" t="str">
        <f ca="1">IFERROR(__xludf.DUMMYFUNCTION("CONCATENATE(""Volume "",REGEXEXTRACT(A49,""[\d]+""),"", Number "",RIGHT(A49,LEN(A49) - 19))"),"Volume 14, Number 5")</f>
        <v>Volume 14, Number 5</v>
      </c>
      <c r="F49" s="3" t="s">
        <v>245</v>
      </c>
      <c r="G49" s="30">
        <v>33882</v>
      </c>
      <c r="H49" s="1" t="s">
        <v>136</v>
      </c>
      <c r="I49" s="2" t="s">
        <v>26</v>
      </c>
      <c r="J49" s="1" t="s">
        <v>27</v>
      </c>
      <c r="K49" s="1" t="s">
        <v>28</v>
      </c>
      <c r="L49" s="1" t="s">
        <v>29</v>
      </c>
      <c r="M49" s="1" t="s">
        <v>80</v>
      </c>
      <c r="N49" s="2"/>
      <c r="O49" s="2"/>
      <c r="P49" s="2"/>
      <c r="Q49" s="2" t="s">
        <v>32</v>
      </c>
      <c r="R49" s="1" t="s">
        <v>33</v>
      </c>
      <c r="S49" s="1" t="s">
        <v>34</v>
      </c>
      <c r="T49" s="2" t="s">
        <v>35</v>
      </c>
      <c r="U49" s="8" t="s">
        <v>36</v>
      </c>
    </row>
    <row r="50" spans="1:21" ht="15.75" customHeight="1" x14ac:dyDescent="0.15">
      <c r="A50" s="4" t="s">
        <v>246</v>
      </c>
      <c r="B50" s="1" t="s">
        <v>247</v>
      </c>
      <c r="C50" s="20" t="s">
        <v>207</v>
      </c>
      <c r="D50" s="2" t="s">
        <v>248</v>
      </c>
      <c r="E50" s="19" t="str">
        <f ca="1">IFERROR(__xludf.DUMMYFUNCTION("CONCATENATE(""Volume "",REGEXEXTRACT(A50,""[\d]+""),"", Number "",RIGHT(A50,LEN(A50) - 19))"),"Volume 14, Number 6")</f>
        <v>Volume 14, Number 6</v>
      </c>
      <c r="F50" s="3" t="s">
        <v>249</v>
      </c>
      <c r="G50" s="30">
        <v>33890</v>
      </c>
      <c r="H50" s="1" t="s">
        <v>136</v>
      </c>
      <c r="I50" s="2" t="s">
        <v>26</v>
      </c>
      <c r="J50" s="1" t="s">
        <v>27</v>
      </c>
      <c r="K50" s="1" t="s">
        <v>28</v>
      </c>
      <c r="L50" s="1" t="s">
        <v>29</v>
      </c>
      <c r="N50" s="2"/>
      <c r="O50" s="2"/>
      <c r="P50" s="2"/>
      <c r="Q50" s="2" t="s">
        <v>32</v>
      </c>
      <c r="R50" s="1" t="s">
        <v>33</v>
      </c>
      <c r="S50" s="1" t="s">
        <v>34</v>
      </c>
      <c r="T50" s="2" t="s">
        <v>35</v>
      </c>
      <c r="U50" s="6" t="s">
        <v>36</v>
      </c>
    </row>
    <row r="51" spans="1:21" ht="15.75" customHeight="1" x14ac:dyDescent="0.15">
      <c r="A51" s="4" t="s">
        <v>250</v>
      </c>
      <c r="B51" s="1" t="s">
        <v>251</v>
      </c>
      <c r="C51" s="1" t="s">
        <v>182</v>
      </c>
      <c r="D51" s="2" t="s">
        <v>252</v>
      </c>
      <c r="E51" s="19" t="str">
        <f ca="1">IFERROR(__xludf.DUMMYFUNCTION("CONCATENATE(""Volume "",REGEXEXTRACT(A51,""[\d]+""),"", Number "",RIGHT(A51,LEN(A51) - 19))"),"Volume 14, Number 8")</f>
        <v>Volume 14, Number 8</v>
      </c>
      <c r="F51" s="3" t="s">
        <v>253</v>
      </c>
      <c r="G51" s="30">
        <v>33939</v>
      </c>
      <c r="H51" s="1" t="s">
        <v>25</v>
      </c>
      <c r="I51" s="2" t="s">
        <v>26</v>
      </c>
      <c r="J51" s="1" t="s">
        <v>27</v>
      </c>
      <c r="K51" s="1" t="s">
        <v>28</v>
      </c>
      <c r="L51" s="1" t="s">
        <v>29</v>
      </c>
      <c r="M51" s="1" t="s">
        <v>30</v>
      </c>
      <c r="N51" s="2" t="s">
        <v>54</v>
      </c>
      <c r="O51" s="2"/>
      <c r="P51" s="2"/>
      <c r="Q51" s="2" t="s">
        <v>32</v>
      </c>
      <c r="R51" s="1" t="s">
        <v>33</v>
      </c>
      <c r="S51" s="1" t="s">
        <v>34</v>
      </c>
      <c r="T51" s="2" t="s">
        <v>35</v>
      </c>
      <c r="U51" s="7" t="s">
        <v>36</v>
      </c>
    </row>
    <row r="52" spans="1:21" ht="15.75" customHeight="1" x14ac:dyDescent="0.15">
      <c r="A52" s="4" t="s">
        <v>254</v>
      </c>
      <c r="B52" s="1" t="s">
        <v>255</v>
      </c>
      <c r="C52" s="20" t="s">
        <v>207</v>
      </c>
      <c r="D52" s="2" t="s">
        <v>256</v>
      </c>
      <c r="E52" s="19" t="str">
        <f ca="1">IFERROR(__xludf.DUMMYFUNCTION("CONCATENATE(""Volume "",REGEXEXTRACT(A52,""[\d]+""),"", Number "",RIGHT(A52,LEN(A52) - 19))"),"Volume 14, Number 9")</f>
        <v>Volume 14, Number 9</v>
      </c>
      <c r="F52" s="3" t="s">
        <v>257</v>
      </c>
      <c r="G52" s="30">
        <v>33910</v>
      </c>
      <c r="H52" s="1" t="s">
        <v>136</v>
      </c>
      <c r="I52" s="2" t="s">
        <v>26</v>
      </c>
      <c r="J52" s="1" t="s">
        <v>27</v>
      </c>
      <c r="K52" s="1" t="s">
        <v>28</v>
      </c>
      <c r="L52" s="1" t="s">
        <v>29</v>
      </c>
      <c r="M52" s="1" t="s">
        <v>30</v>
      </c>
      <c r="N52" s="2" t="s">
        <v>54</v>
      </c>
      <c r="O52" s="2"/>
      <c r="P52" s="2"/>
      <c r="Q52" s="2" t="s">
        <v>32</v>
      </c>
      <c r="R52" s="1" t="s">
        <v>33</v>
      </c>
      <c r="S52" s="1" t="s">
        <v>34</v>
      </c>
      <c r="T52" s="2" t="s">
        <v>35</v>
      </c>
      <c r="U52" s="8" t="s">
        <v>36</v>
      </c>
    </row>
    <row r="53" spans="1:21" ht="15.75" customHeight="1" x14ac:dyDescent="0.15">
      <c r="A53" s="4" t="s">
        <v>258</v>
      </c>
      <c r="B53" s="1" t="s">
        <v>259</v>
      </c>
      <c r="C53" s="1" t="s">
        <v>182</v>
      </c>
      <c r="D53" s="2" t="s">
        <v>260</v>
      </c>
      <c r="E53" s="19" t="str">
        <f ca="1">IFERROR(__xludf.DUMMYFUNCTION("CONCATENATE(""Volume "",REGEXEXTRACT(A53,""[\d]+""),"", Number "",RIGHT(A53,LEN(A53) - 19))"),"Volume 15, Number 18")</f>
        <v>Volume 15, Number 18</v>
      </c>
      <c r="F53" s="3" t="s">
        <v>261</v>
      </c>
      <c r="G53" s="30">
        <v>34455</v>
      </c>
      <c r="H53" s="1" t="s">
        <v>25</v>
      </c>
      <c r="I53" s="2" t="s">
        <v>26</v>
      </c>
      <c r="J53" s="1" t="s">
        <v>27</v>
      </c>
      <c r="K53" s="1" t="s">
        <v>28</v>
      </c>
      <c r="L53" s="1" t="s">
        <v>29</v>
      </c>
      <c r="M53" s="1" t="s">
        <v>179</v>
      </c>
      <c r="N53" s="2"/>
      <c r="O53" s="2"/>
      <c r="P53" s="2"/>
      <c r="Q53" s="2" t="s">
        <v>32</v>
      </c>
      <c r="R53" s="1" t="s">
        <v>33</v>
      </c>
      <c r="S53" s="1" t="s">
        <v>34</v>
      </c>
      <c r="T53" s="2" t="s">
        <v>35</v>
      </c>
      <c r="U53" s="6" t="s">
        <v>36</v>
      </c>
    </row>
    <row r="54" spans="1:21" ht="15.75" customHeight="1" x14ac:dyDescent="0.15">
      <c r="A54" s="4" t="s">
        <v>262</v>
      </c>
      <c r="B54" s="1" t="s">
        <v>263</v>
      </c>
      <c r="C54" s="1" t="s">
        <v>182</v>
      </c>
      <c r="D54" s="2" t="s">
        <v>264</v>
      </c>
      <c r="E54" s="19" t="str">
        <f ca="1">IFERROR(__xludf.DUMMYFUNCTION("CONCATENATE(""Volume "",REGEXEXTRACT(A54,""[\d]+""),"", Number "",RIGHT(A54,LEN(A54) - 19))"),"Volume 15, Number 21")</f>
        <v>Volume 15, Number 21</v>
      </c>
      <c r="F54" s="3" t="s">
        <v>265</v>
      </c>
      <c r="G54" s="30">
        <v>34547</v>
      </c>
      <c r="H54" s="1" t="s">
        <v>25</v>
      </c>
      <c r="I54" s="2" t="s">
        <v>26</v>
      </c>
      <c r="J54" s="1" t="s">
        <v>27</v>
      </c>
      <c r="K54" s="1" t="s">
        <v>28</v>
      </c>
      <c r="L54" s="1" t="s">
        <v>29</v>
      </c>
      <c r="N54" s="2"/>
      <c r="O54" s="2"/>
      <c r="P54" s="2"/>
      <c r="Q54" s="2" t="s">
        <v>32</v>
      </c>
      <c r="R54" s="1" t="s">
        <v>33</v>
      </c>
      <c r="S54" s="1" t="s">
        <v>34</v>
      </c>
      <c r="T54" s="2" t="s">
        <v>35</v>
      </c>
      <c r="U54" s="7" t="s">
        <v>36</v>
      </c>
    </row>
    <row r="55" spans="1:21" ht="15.75" customHeight="1" x14ac:dyDescent="0.15">
      <c r="A55" s="4" t="s">
        <v>266</v>
      </c>
      <c r="B55" s="1" t="s">
        <v>267</v>
      </c>
      <c r="C55" s="1" t="s">
        <v>182</v>
      </c>
      <c r="D55" s="2" t="s">
        <v>268</v>
      </c>
      <c r="E55" s="19" t="str">
        <f ca="1">IFERROR(__xludf.DUMMYFUNCTION("CONCATENATE(""Volume "",REGEXEXTRACT(A55,""[\d]+""),"", Number "",RIGHT(A55,LEN(A55) - 19))"),"Volume 15, Number 9")</f>
        <v>Volume 15, Number 9</v>
      </c>
      <c r="F55" s="3" t="s">
        <v>269</v>
      </c>
      <c r="G55" s="30">
        <v>34274</v>
      </c>
      <c r="H55" s="1" t="s">
        <v>25</v>
      </c>
      <c r="I55" s="2" t="s">
        <v>26</v>
      </c>
      <c r="J55" s="1" t="s">
        <v>27</v>
      </c>
      <c r="K55" s="1" t="s">
        <v>28</v>
      </c>
      <c r="L55" s="1" t="s">
        <v>29</v>
      </c>
      <c r="N55" s="2"/>
      <c r="O55" s="2"/>
      <c r="P55" s="2"/>
      <c r="Q55" s="2" t="s">
        <v>32</v>
      </c>
      <c r="R55" s="1" t="s">
        <v>33</v>
      </c>
      <c r="S55" s="1" t="s">
        <v>34</v>
      </c>
      <c r="T55" s="2" t="s">
        <v>35</v>
      </c>
      <c r="U55" s="8" t="s">
        <v>36</v>
      </c>
    </row>
    <row r="56" spans="1:21" ht="15.75" customHeight="1" x14ac:dyDescent="0.15">
      <c r="A56" s="4" t="s">
        <v>270</v>
      </c>
      <c r="B56" s="1" t="s">
        <v>271</v>
      </c>
      <c r="C56" s="1" t="s">
        <v>272</v>
      </c>
      <c r="D56" s="2" t="s">
        <v>273</v>
      </c>
      <c r="E56" s="19" t="str">
        <f ca="1">IFERROR(__xludf.DUMMYFUNCTION("CONCATENATE(""Volume "",REGEXEXTRACT(A56,""[\d]+""),"", Number "",RIGHT(A56,LEN(A56) - 19))"),"Volume 19, Number 18")</f>
        <v>Volume 19, Number 18</v>
      </c>
      <c r="F56" s="3" t="s">
        <v>274</v>
      </c>
      <c r="G56" s="30">
        <v>35535</v>
      </c>
      <c r="H56" s="1" t="s">
        <v>275</v>
      </c>
      <c r="I56" s="2" t="s">
        <v>26</v>
      </c>
      <c r="J56" s="1" t="s">
        <v>27</v>
      </c>
      <c r="K56" s="1" t="s">
        <v>28</v>
      </c>
      <c r="L56" s="1" t="s">
        <v>30</v>
      </c>
      <c r="M56" s="1" t="s">
        <v>29</v>
      </c>
      <c r="N56" s="2"/>
      <c r="O56" s="2"/>
      <c r="P56" s="2"/>
      <c r="Q56" s="2" t="s">
        <v>32</v>
      </c>
      <c r="R56" s="1" t="s">
        <v>33</v>
      </c>
      <c r="S56" s="1" t="s">
        <v>34</v>
      </c>
      <c r="T56" s="2" t="s">
        <v>35</v>
      </c>
      <c r="U56" s="6" t="s">
        <v>36</v>
      </c>
    </row>
    <row r="57" spans="1:21" ht="15.75" customHeight="1" x14ac:dyDescent="0.15">
      <c r="A57" s="4" t="s">
        <v>276</v>
      </c>
      <c r="B57" s="1" t="s">
        <v>277</v>
      </c>
      <c r="C57" s="1" t="s">
        <v>272</v>
      </c>
      <c r="D57" s="2" t="s">
        <v>278</v>
      </c>
      <c r="E57" s="19" t="str">
        <f ca="1">IFERROR(__xludf.DUMMYFUNCTION("CONCATENATE(""Volume "",REGEXEXTRACT(A57,""[\d]+""),"", Number "",RIGHT(A57,LEN(A57) - 19))"),"Volume 19, Number 19")</f>
        <v>Volume 19, Number 19</v>
      </c>
      <c r="F57" s="3" t="s">
        <v>279</v>
      </c>
      <c r="G57" s="30">
        <v>35548</v>
      </c>
      <c r="H57" s="1" t="s">
        <v>280</v>
      </c>
      <c r="I57" s="2" t="s">
        <v>26</v>
      </c>
      <c r="J57" s="1" t="s">
        <v>27</v>
      </c>
      <c r="K57" s="1" t="s">
        <v>28</v>
      </c>
      <c r="L57" s="1" t="s">
        <v>29</v>
      </c>
      <c r="M57" s="1" t="s">
        <v>179</v>
      </c>
      <c r="N57" s="2"/>
      <c r="O57" s="2"/>
      <c r="P57" s="2"/>
      <c r="Q57" s="2" t="s">
        <v>32</v>
      </c>
      <c r="R57" s="1" t="s">
        <v>33</v>
      </c>
      <c r="S57" s="1" t="s">
        <v>34</v>
      </c>
      <c r="T57" s="2" t="s">
        <v>35</v>
      </c>
      <c r="U57" s="7" t="s">
        <v>36</v>
      </c>
    </row>
    <row r="58" spans="1:21" ht="15.75" customHeight="1" x14ac:dyDescent="0.15">
      <c r="A58" s="4" t="s">
        <v>281</v>
      </c>
      <c r="B58" s="1" t="s">
        <v>282</v>
      </c>
      <c r="C58" s="1" t="s">
        <v>272</v>
      </c>
      <c r="D58" s="2" t="s">
        <v>283</v>
      </c>
      <c r="E58" s="19" t="str">
        <f ca="1">IFERROR(__xludf.DUMMYFUNCTION("CONCATENATE(""Volume "",REGEXEXTRACT(A58,""[\d]+""),"", Number "",RIGHT(A58,LEN(A58) - 19))"),"Volume 19, Number 20")</f>
        <v>Volume 19, Number 20</v>
      </c>
      <c r="F58" s="3" t="s">
        <v>284</v>
      </c>
      <c r="G58" s="30">
        <v>35569</v>
      </c>
      <c r="H58" s="1" t="s">
        <v>275</v>
      </c>
      <c r="I58" s="2" t="s">
        <v>26</v>
      </c>
      <c r="J58" s="1" t="s">
        <v>27</v>
      </c>
      <c r="K58" s="1" t="s">
        <v>28</v>
      </c>
      <c r="L58" s="1" t="s">
        <v>75</v>
      </c>
      <c r="N58" s="2"/>
      <c r="O58" s="2"/>
      <c r="P58" s="2"/>
      <c r="Q58" s="2" t="s">
        <v>32</v>
      </c>
      <c r="R58" s="1" t="s">
        <v>33</v>
      </c>
      <c r="S58" s="1" t="s">
        <v>34</v>
      </c>
      <c r="T58" s="2" t="s">
        <v>35</v>
      </c>
      <c r="U58" s="8" t="s">
        <v>36</v>
      </c>
    </row>
    <row r="59" spans="1:21" ht="15.75" customHeight="1" x14ac:dyDescent="0.15">
      <c r="A59" s="4" t="s">
        <v>285</v>
      </c>
      <c r="B59" s="1" t="s">
        <v>286</v>
      </c>
      <c r="C59" s="1" t="s">
        <v>272</v>
      </c>
      <c r="D59" s="2" t="s">
        <v>287</v>
      </c>
      <c r="E59" s="19" t="str">
        <f ca="1">IFERROR(__xludf.DUMMYFUNCTION("CONCATENATE(""Volume "",REGEXEXTRACT(A59,""[\d]+""),"", Number "",RIGHT(A59,LEN(A59) - 19))"),"Volume 19, Number 21")</f>
        <v>Volume 19, Number 21</v>
      </c>
      <c r="F59" s="3" t="s">
        <v>288</v>
      </c>
      <c r="G59" s="30">
        <v>35583</v>
      </c>
      <c r="H59" s="1" t="s">
        <v>275</v>
      </c>
      <c r="I59" s="2" t="s">
        <v>26</v>
      </c>
      <c r="J59" s="1" t="s">
        <v>27</v>
      </c>
      <c r="K59" s="1" t="s">
        <v>28</v>
      </c>
      <c r="L59" s="1" t="s">
        <v>48</v>
      </c>
      <c r="M59" s="1" t="s">
        <v>75</v>
      </c>
      <c r="N59" s="2" t="s">
        <v>179</v>
      </c>
      <c r="O59" s="2"/>
      <c r="P59" s="2"/>
      <c r="Q59" s="2" t="s">
        <v>32</v>
      </c>
      <c r="R59" s="1" t="s">
        <v>33</v>
      </c>
      <c r="S59" s="1" t="s">
        <v>34</v>
      </c>
      <c r="T59" s="2" t="s">
        <v>35</v>
      </c>
      <c r="U59" s="6" t="s">
        <v>36</v>
      </c>
    </row>
    <row r="60" spans="1:21" ht="15.75" customHeight="1" x14ac:dyDescent="0.15">
      <c r="A60" s="4" t="s">
        <v>289</v>
      </c>
      <c r="B60" s="1" t="s">
        <v>290</v>
      </c>
      <c r="C60" s="1" t="s">
        <v>272</v>
      </c>
      <c r="D60" s="2" t="s">
        <v>291</v>
      </c>
      <c r="E60" s="19" t="str">
        <f ca="1">IFERROR(__xludf.DUMMYFUNCTION("CONCATENATE(""Volume "",REGEXEXTRACT(A60,""[\d]+""),"", Number "",RIGHT(A60,LEN(A60) - 19))"),"Volume 19, Number 22")</f>
        <v>Volume 19, Number 22</v>
      </c>
      <c r="F60" s="3" t="s">
        <v>292</v>
      </c>
      <c r="G60" s="30">
        <v>35604</v>
      </c>
      <c r="H60" s="1" t="s">
        <v>275</v>
      </c>
      <c r="I60" s="2" t="s">
        <v>26</v>
      </c>
      <c r="J60" s="1" t="s">
        <v>27</v>
      </c>
      <c r="K60" s="1" t="s">
        <v>28</v>
      </c>
      <c r="L60" s="1" t="s">
        <v>29</v>
      </c>
      <c r="M60" s="1" t="s">
        <v>30</v>
      </c>
      <c r="N60" s="2" t="s">
        <v>48</v>
      </c>
      <c r="O60" s="2" t="s">
        <v>54</v>
      </c>
      <c r="P60" s="2" t="s">
        <v>179</v>
      </c>
      <c r="Q60" s="2" t="s">
        <v>32</v>
      </c>
      <c r="R60" s="1" t="s">
        <v>33</v>
      </c>
      <c r="S60" s="1" t="s">
        <v>34</v>
      </c>
      <c r="T60" s="2" t="s">
        <v>35</v>
      </c>
      <c r="U60" s="7" t="s">
        <v>36</v>
      </c>
    </row>
    <row r="61" spans="1:21" ht="84" x14ac:dyDescent="0.15">
      <c r="A61" s="4" t="s">
        <v>293</v>
      </c>
      <c r="B61" s="1" t="s">
        <v>294</v>
      </c>
      <c r="C61" s="1" t="s">
        <v>272</v>
      </c>
      <c r="D61" s="2" t="s">
        <v>295</v>
      </c>
      <c r="E61" s="19" t="str">
        <f ca="1">IFERROR(__xludf.DUMMYFUNCTION("CONCATENATE(""Volume "",REGEXEXTRACT(A61,""[\d]+""),"", Number "",RIGHT(A61,LEN(A61) - 19))"),"Volume 19, Number 23")</f>
        <v>Volume 19, Number 23</v>
      </c>
      <c r="F61" s="3" t="s">
        <v>296</v>
      </c>
      <c r="G61" s="30">
        <v>35626</v>
      </c>
      <c r="H61" s="1" t="s">
        <v>275</v>
      </c>
      <c r="I61" s="2" t="s">
        <v>26</v>
      </c>
      <c r="J61" s="1" t="s">
        <v>27</v>
      </c>
      <c r="K61" s="1" t="s">
        <v>28</v>
      </c>
      <c r="L61" s="1" t="s">
        <v>29</v>
      </c>
      <c r="M61" s="1" t="s">
        <v>179</v>
      </c>
      <c r="N61" s="2" t="s">
        <v>30</v>
      </c>
      <c r="O61" s="2"/>
      <c r="P61" s="2"/>
      <c r="Q61" s="2" t="s">
        <v>32</v>
      </c>
      <c r="R61" s="1" t="s">
        <v>33</v>
      </c>
      <c r="S61" s="1" t="s">
        <v>34</v>
      </c>
      <c r="T61" s="2" t="s">
        <v>35</v>
      </c>
      <c r="U61" s="8" t="s">
        <v>36</v>
      </c>
    </row>
    <row r="62" spans="1:21" ht="84" x14ac:dyDescent="0.15">
      <c r="A62" s="4" t="s">
        <v>297</v>
      </c>
      <c r="B62" s="1" t="s">
        <v>298</v>
      </c>
      <c r="C62" s="1" t="s">
        <v>272</v>
      </c>
      <c r="D62" s="2" t="s">
        <v>299</v>
      </c>
      <c r="E62" s="19" t="str">
        <f ca="1">IFERROR(__xludf.DUMMYFUNCTION("CONCATENATE(""Volume "",REGEXEXTRACT(A62,""[\d]+""),"", Number "",RIGHT(A62,LEN(A62) - 19))"),"Volume 19, Number 24")</f>
        <v>Volume 19, Number 24</v>
      </c>
      <c r="F62" s="3" t="s">
        <v>300</v>
      </c>
      <c r="G62" s="30">
        <v>35650</v>
      </c>
      <c r="H62" s="1" t="s">
        <v>275</v>
      </c>
      <c r="I62" s="2" t="s">
        <v>26</v>
      </c>
      <c r="J62" s="1" t="s">
        <v>27</v>
      </c>
      <c r="K62" s="1" t="s">
        <v>28</v>
      </c>
      <c r="L62" s="1" t="s">
        <v>29</v>
      </c>
      <c r="M62" s="1" t="s">
        <v>75</v>
      </c>
      <c r="N62" s="2" t="s">
        <v>30</v>
      </c>
      <c r="O62" s="2"/>
      <c r="P62" s="2"/>
      <c r="Q62" s="2" t="s">
        <v>32</v>
      </c>
      <c r="R62" s="1" t="s">
        <v>33</v>
      </c>
      <c r="S62" s="1" t="s">
        <v>34</v>
      </c>
      <c r="T62" s="2" t="s">
        <v>35</v>
      </c>
      <c r="U62" s="6" t="s">
        <v>36</v>
      </c>
    </row>
    <row r="63" spans="1:21" ht="84" x14ac:dyDescent="0.15">
      <c r="A63" s="4" t="s">
        <v>301</v>
      </c>
      <c r="B63" s="1" t="s">
        <v>302</v>
      </c>
      <c r="C63" s="1" t="s">
        <v>272</v>
      </c>
      <c r="D63" s="2" t="s">
        <v>303</v>
      </c>
      <c r="E63" s="19" t="str">
        <f ca="1">IFERROR(__xludf.DUMMYFUNCTION("CONCATENATE(""Volume "",REGEXEXTRACT(A63,""[\d]+""),"", Number "",RIGHT(A63,LEN(A63) - 19))"),"Volume 19, Number 25")</f>
        <v>Volume 19, Number 25</v>
      </c>
      <c r="F63" s="3" t="s">
        <v>304</v>
      </c>
      <c r="G63" s="30">
        <v>35663</v>
      </c>
      <c r="H63" s="1" t="s">
        <v>280</v>
      </c>
      <c r="I63" s="2" t="s">
        <v>26</v>
      </c>
      <c r="J63" s="1" t="s">
        <v>27</v>
      </c>
      <c r="K63" s="1" t="s">
        <v>28</v>
      </c>
      <c r="L63" s="1" t="s">
        <v>29</v>
      </c>
      <c r="M63" s="1" t="s">
        <v>31</v>
      </c>
      <c r="N63" s="2" t="s">
        <v>30</v>
      </c>
      <c r="O63" s="2"/>
      <c r="P63" s="2"/>
      <c r="Q63" s="2" t="s">
        <v>32</v>
      </c>
      <c r="R63" s="1" t="s">
        <v>33</v>
      </c>
      <c r="S63" s="1" t="s">
        <v>34</v>
      </c>
      <c r="T63" s="2" t="s">
        <v>35</v>
      </c>
      <c r="U63" s="7" t="s">
        <v>36</v>
      </c>
    </row>
    <row r="64" spans="1:21" ht="70" x14ac:dyDescent="0.15">
      <c r="A64" s="4" t="s">
        <v>305</v>
      </c>
      <c r="B64" s="1" t="s">
        <v>306</v>
      </c>
      <c r="C64" s="1" t="s">
        <v>272</v>
      </c>
      <c r="D64" s="2" t="s">
        <v>307</v>
      </c>
      <c r="E64" s="19" t="str">
        <f ca="1">IFERROR(__xludf.DUMMYFUNCTION("CONCATENATE(""Volume "",REGEXEXTRACT(A64,""[\d]+""),"", Number "",RIGHT(A64,LEN(A64) - 19))"),"Volume 19, Number 4")</f>
        <v>Volume 19, Number 4</v>
      </c>
      <c r="F64" s="3" t="s">
        <v>308</v>
      </c>
      <c r="G64" s="30">
        <v>35346</v>
      </c>
      <c r="H64" s="1" t="s">
        <v>275</v>
      </c>
      <c r="I64" s="2" t="s">
        <v>26</v>
      </c>
      <c r="J64" s="1" t="s">
        <v>27</v>
      </c>
      <c r="K64" s="1" t="s">
        <v>28</v>
      </c>
      <c r="L64" s="1" t="s">
        <v>29</v>
      </c>
      <c r="M64" s="1" t="s">
        <v>54</v>
      </c>
      <c r="N64" s="2"/>
      <c r="O64" s="2"/>
      <c r="P64" s="2"/>
      <c r="Q64" s="2" t="s">
        <v>32</v>
      </c>
      <c r="R64" s="1" t="s">
        <v>33</v>
      </c>
      <c r="S64" s="1" t="s">
        <v>34</v>
      </c>
      <c r="T64" s="2" t="s">
        <v>35</v>
      </c>
      <c r="U64" s="8" t="s">
        <v>36</v>
      </c>
    </row>
    <row r="65" spans="1:21" ht="56" x14ac:dyDescent="0.15">
      <c r="A65" s="4" t="s">
        <v>309</v>
      </c>
      <c r="B65" s="1" t="s">
        <v>310</v>
      </c>
      <c r="C65" s="1" t="s">
        <v>272</v>
      </c>
      <c r="D65" s="2" t="s">
        <v>311</v>
      </c>
      <c r="E65" s="19" t="str">
        <f ca="1">IFERROR(__xludf.DUMMYFUNCTION("CONCATENATE(""Volume "",REGEXEXTRACT(A65,""[\d]+""),"", Number "",RIGHT(A65,LEN(A65) - 19))"),"Volume 19, Number 5")</f>
        <v>Volume 19, Number 5</v>
      </c>
      <c r="F65" s="3" t="s">
        <v>312</v>
      </c>
      <c r="G65" s="30">
        <v>35353</v>
      </c>
      <c r="H65" s="1" t="s">
        <v>275</v>
      </c>
      <c r="I65" s="2" t="s">
        <v>26</v>
      </c>
      <c r="J65" s="1" t="s">
        <v>27</v>
      </c>
      <c r="K65" s="1" t="s">
        <v>28</v>
      </c>
      <c r="L65" s="1" t="s">
        <v>29</v>
      </c>
      <c r="M65" s="1" t="s">
        <v>47</v>
      </c>
      <c r="N65" s="2" t="s">
        <v>48</v>
      </c>
      <c r="O65" s="2" t="s">
        <v>49</v>
      </c>
      <c r="P65" s="2"/>
      <c r="Q65" s="2" t="s">
        <v>32</v>
      </c>
      <c r="R65" s="1" t="s">
        <v>33</v>
      </c>
      <c r="S65" s="1" t="s">
        <v>34</v>
      </c>
      <c r="T65" s="2" t="s">
        <v>35</v>
      </c>
      <c r="U65" s="6" t="s">
        <v>36</v>
      </c>
    </row>
    <row r="66" spans="1:21" ht="70" x14ac:dyDescent="0.15">
      <c r="A66" s="4" t="s">
        <v>313</v>
      </c>
      <c r="B66" s="1" t="s">
        <v>314</v>
      </c>
      <c r="C66" s="1" t="s">
        <v>272</v>
      </c>
      <c r="D66" s="2" t="s">
        <v>315</v>
      </c>
      <c r="E66" s="19" t="str">
        <f ca="1">IFERROR(__xludf.DUMMYFUNCTION("CONCATENATE(""Volume "",REGEXEXTRACT(A66,""[\d]+""),"", Number "",RIGHT(A66,LEN(A66) - 19))"),"Volume 20, Number 1")</f>
        <v>Volume 20, Number 1</v>
      </c>
      <c r="F66" s="3" t="s">
        <v>316</v>
      </c>
      <c r="G66" s="30">
        <v>35675</v>
      </c>
      <c r="H66" s="1" t="s">
        <v>317</v>
      </c>
      <c r="I66" s="2" t="s">
        <v>26</v>
      </c>
      <c r="J66" s="1" t="s">
        <v>27</v>
      </c>
      <c r="K66" s="1" t="s">
        <v>28</v>
      </c>
      <c r="L66" s="1" t="s">
        <v>29</v>
      </c>
      <c r="M66" s="1" t="s">
        <v>30</v>
      </c>
      <c r="N66" s="2" t="s">
        <v>54</v>
      </c>
      <c r="O66" s="2" t="s">
        <v>48</v>
      </c>
      <c r="P66" s="2"/>
      <c r="Q66" s="2" t="s">
        <v>32</v>
      </c>
      <c r="R66" s="1" t="s">
        <v>33</v>
      </c>
      <c r="S66" s="1" t="s">
        <v>34</v>
      </c>
      <c r="T66" s="2" t="s">
        <v>35</v>
      </c>
      <c r="U66" s="7" t="s">
        <v>36</v>
      </c>
    </row>
    <row r="67" spans="1:21" ht="98" x14ac:dyDescent="0.15">
      <c r="A67" s="4" t="s">
        <v>318</v>
      </c>
      <c r="B67" s="1" t="s">
        <v>319</v>
      </c>
      <c r="C67" s="1" t="s">
        <v>272</v>
      </c>
      <c r="D67" s="2" t="s">
        <v>320</v>
      </c>
      <c r="E67" s="19" t="str">
        <f ca="1">IFERROR(__xludf.DUMMYFUNCTION("CONCATENATE(""Volume "",REGEXEXTRACT(A67,""[\d]+""),"", Number "",RIGHT(A67,LEN(A67) - 19))"),"Volume 20, Number 10")</f>
        <v>Volume 20, Number 10</v>
      </c>
      <c r="F67" s="3" t="s">
        <v>321</v>
      </c>
      <c r="G67" s="30">
        <v>35759</v>
      </c>
      <c r="H67" s="1" t="s">
        <v>317</v>
      </c>
      <c r="I67" s="2" t="s">
        <v>26</v>
      </c>
      <c r="J67" s="1" t="s">
        <v>27</v>
      </c>
      <c r="K67" s="1" t="s">
        <v>28</v>
      </c>
      <c r="L67" s="1" t="s">
        <v>29</v>
      </c>
      <c r="M67" s="1" t="s">
        <v>30</v>
      </c>
      <c r="N67" s="2"/>
      <c r="O67" s="2"/>
      <c r="P67" s="2"/>
      <c r="Q67" s="2" t="s">
        <v>32</v>
      </c>
      <c r="R67" s="1" t="s">
        <v>33</v>
      </c>
      <c r="S67" s="1" t="s">
        <v>34</v>
      </c>
      <c r="T67" s="2" t="s">
        <v>35</v>
      </c>
      <c r="U67" s="8" t="s">
        <v>36</v>
      </c>
    </row>
    <row r="68" spans="1:21" ht="112" x14ac:dyDescent="0.15">
      <c r="A68" s="4" t="s">
        <v>322</v>
      </c>
      <c r="B68" s="1" t="s">
        <v>323</v>
      </c>
      <c r="C68" s="1" t="s">
        <v>272</v>
      </c>
      <c r="D68" s="2" t="s">
        <v>324</v>
      </c>
      <c r="E68" s="19" t="str">
        <f ca="1">IFERROR(__xludf.DUMMYFUNCTION("CONCATENATE(""Volume "",REGEXEXTRACT(A68,""[\d]+""),"", Number "",RIGHT(A68,LEN(A68) - 19))"),"Volume 20, Number 11")</f>
        <v>Volume 20, Number 11</v>
      </c>
      <c r="F68" s="18" t="s">
        <v>325</v>
      </c>
      <c r="G68" s="30">
        <v>35766</v>
      </c>
      <c r="H68" s="1" t="s">
        <v>317</v>
      </c>
      <c r="I68" s="2" t="s">
        <v>26</v>
      </c>
      <c r="J68" s="1" t="s">
        <v>27</v>
      </c>
      <c r="K68" s="1" t="s">
        <v>28</v>
      </c>
      <c r="L68" s="1" t="s">
        <v>29</v>
      </c>
      <c r="M68" s="1" t="s">
        <v>30</v>
      </c>
      <c r="N68" s="2" t="s">
        <v>54</v>
      </c>
      <c r="O68" s="2"/>
      <c r="P68" s="2"/>
      <c r="Q68" s="2" t="s">
        <v>32</v>
      </c>
      <c r="R68" s="1" t="s">
        <v>33</v>
      </c>
      <c r="S68" s="1" t="s">
        <v>34</v>
      </c>
      <c r="T68" s="2" t="s">
        <v>35</v>
      </c>
      <c r="U68" s="6" t="s">
        <v>36</v>
      </c>
    </row>
    <row r="69" spans="1:21" ht="98" x14ac:dyDescent="0.15">
      <c r="A69" s="4" t="s">
        <v>326</v>
      </c>
      <c r="B69" s="1" t="s">
        <v>327</v>
      </c>
      <c r="C69" s="1" t="s">
        <v>272</v>
      </c>
      <c r="D69" s="2" t="s">
        <v>328</v>
      </c>
      <c r="E69" s="19" t="str">
        <f ca="1">IFERROR(__xludf.DUMMYFUNCTION("CONCATENATE(""Volume "",REGEXEXTRACT(A69,""[\d]+""),"", Number "",RIGHT(A69,LEN(A69) - 19))"),"Volume 20, Number 12")</f>
        <v>Volume 20, Number 12</v>
      </c>
      <c r="F69" s="3" t="s">
        <v>329</v>
      </c>
      <c r="G69" s="30">
        <v>35773</v>
      </c>
      <c r="H69" s="1" t="s">
        <v>317</v>
      </c>
      <c r="I69" s="2" t="s">
        <v>26</v>
      </c>
      <c r="J69" s="1" t="s">
        <v>27</v>
      </c>
      <c r="K69" s="1" t="s">
        <v>28</v>
      </c>
      <c r="L69" s="1" t="s">
        <v>30</v>
      </c>
      <c r="M69" s="1" t="s">
        <v>29</v>
      </c>
      <c r="N69" s="2"/>
      <c r="O69" s="2"/>
      <c r="P69" s="2"/>
      <c r="Q69" s="2" t="s">
        <v>32</v>
      </c>
      <c r="R69" s="1" t="s">
        <v>33</v>
      </c>
      <c r="S69" s="1" t="s">
        <v>34</v>
      </c>
      <c r="T69" s="2" t="s">
        <v>35</v>
      </c>
      <c r="U69" s="7" t="s">
        <v>36</v>
      </c>
    </row>
    <row r="70" spans="1:21" ht="70" x14ac:dyDescent="0.15">
      <c r="A70" s="4" t="s">
        <v>330</v>
      </c>
      <c r="B70" s="1" t="s">
        <v>331</v>
      </c>
      <c r="C70" s="1" t="s">
        <v>272</v>
      </c>
      <c r="D70" s="2" t="s">
        <v>332</v>
      </c>
      <c r="E70" s="19" t="str">
        <f ca="1">IFERROR(__xludf.DUMMYFUNCTION("CONCATENATE(""Volume "",REGEXEXTRACT(A70,""[\d]+""),"", Number "",RIGHT(A70,LEN(A70) - 19))"),"Volume 20, Number 13")</f>
        <v>Volume 20, Number 13</v>
      </c>
      <c r="F70" s="3" t="s">
        <v>333</v>
      </c>
      <c r="G70" s="30">
        <v>35783</v>
      </c>
      <c r="H70" s="1" t="s">
        <v>280</v>
      </c>
      <c r="I70" s="2" t="s">
        <v>26</v>
      </c>
      <c r="J70" s="1" t="s">
        <v>27</v>
      </c>
      <c r="K70" s="1" t="s">
        <v>28</v>
      </c>
      <c r="L70" s="1" t="s">
        <v>29</v>
      </c>
      <c r="M70" s="1" t="s">
        <v>30</v>
      </c>
      <c r="N70" s="2"/>
      <c r="O70" s="2"/>
      <c r="P70" s="2"/>
      <c r="Q70" s="2" t="s">
        <v>32</v>
      </c>
      <c r="R70" s="1" t="s">
        <v>33</v>
      </c>
      <c r="S70" s="1" t="s">
        <v>34</v>
      </c>
      <c r="T70" s="2" t="s">
        <v>35</v>
      </c>
      <c r="U70" s="8" t="s">
        <v>36</v>
      </c>
    </row>
    <row r="71" spans="1:21" ht="98" x14ac:dyDescent="0.15">
      <c r="A71" s="4" t="s">
        <v>334</v>
      </c>
      <c r="B71" s="1" t="s">
        <v>335</v>
      </c>
      <c r="C71" s="1" t="s">
        <v>272</v>
      </c>
      <c r="D71" s="2" t="s">
        <v>336</v>
      </c>
      <c r="E71" s="19" t="str">
        <f ca="1">IFERROR(__xludf.DUMMYFUNCTION("CONCATENATE(""Volume "",REGEXEXTRACT(A71,""[\d]+""),"", Number "",RIGHT(A71,LEN(A71) - 19))"),"Volume 20, Number 14")</f>
        <v>Volume 20, Number 14</v>
      </c>
      <c r="F71" s="3" t="s">
        <v>337</v>
      </c>
      <c r="G71" s="30">
        <v>35801</v>
      </c>
      <c r="H71" s="1" t="s">
        <v>317</v>
      </c>
      <c r="I71" s="2" t="s">
        <v>26</v>
      </c>
      <c r="J71" s="1" t="s">
        <v>27</v>
      </c>
      <c r="K71" s="1" t="s">
        <v>28</v>
      </c>
      <c r="L71" s="1" t="s">
        <v>29</v>
      </c>
      <c r="M71" s="1" t="s">
        <v>30</v>
      </c>
      <c r="N71" s="2" t="s">
        <v>75</v>
      </c>
      <c r="O71" s="2"/>
      <c r="P71" s="2"/>
      <c r="Q71" s="2" t="s">
        <v>32</v>
      </c>
      <c r="R71" s="1" t="s">
        <v>33</v>
      </c>
      <c r="S71" s="1" t="s">
        <v>34</v>
      </c>
      <c r="T71" s="2" t="s">
        <v>35</v>
      </c>
      <c r="U71" s="6" t="s">
        <v>36</v>
      </c>
    </row>
    <row r="72" spans="1:21" ht="84" x14ac:dyDescent="0.15">
      <c r="A72" s="4" t="s">
        <v>338</v>
      </c>
      <c r="B72" s="1" t="s">
        <v>339</v>
      </c>
      <c r="C72" s="1" t="s">
        <v>272</v>
      </c>
      <c r="D72" s="2" t="s">
        <v>340</v>
      </c>
      <c r="E72" s="19" t="str">
        <f ca="1">IFERROR(__xludf.DUMMYFUNCTION("CONCATENATE(""Volume "",REGEXEXTRACT(A72,""[\d]+""),"", Number "",RIGHT(A72,LEN(A72) - 19))"),"Volume 20, Number 15")</f>
        <v>Volume 20, Number 15</v>
      </c>
      <c r="F72" s="3" t="s">
        <v>341</v>
      </c>
      <c r="G72" s="30">
        <v>35818</v>
      </c>
      <c r="H72" s="1" t="s">
        <v>275</v>
      </c>
      <c r="I72" s="2" t="s">
        <v>26</v>
      </c>
      <c r="J72" s="1" t="s">
        <v>27</v>
      </c>
      <c r="K72" s="1" t="s">
        <v>28</v>
      </c>
      <c r="L72" s="1" t="s">
        <v>30</v>
      </c>
      <c r="N72" s="2"/>
      <c r="O72" s="2"/>
      <c r="P72" s="2"/>
      <c r="Q72" s="2" t="s">
        <v>32</v>
      </c>
      <c r="R72" s="1" t="s">
        <v>33</v>
      </c>
      <c r="S72" s="1" t="s">
        <v>34</v>
      </c>
      <c r="T72" s="2" t="s">
        <v>35</v>
      </c>
      <c r="U72" s="7" t="s">
        <v>36</v>
      </c>
    </row>
    <row r="73" spans="1:21" ht="84" x14ac:dyDescent="0.15">
      <c r="A73" s="4" t="s">
        <v>342</v>
      </c>
      <c r="B73" s="1" t="s">
        <v>343</v>
      </c>
      <c r="C73" s="1" t="s">
        <v>272</v>
      </c>
      <c r="D73" s="2" t="s">
        <v>344</v>
      </c>
      <c r="E73" s="19" t="str">
        <f ca="1">IFERROR(__xludf.DUMMYFUNCTION("CONCATENATE(""Volume "",REGEXEXTRACT(A73,""[\d]+""),"", Number "",RIGHT(A73,LEN(A73) - 19))"),"Volume 20, Number 16")</f>
        <v>Volume 20, Number 16</v>
      </c>
      <c r="F73" s="3" t="s">
        <v>345</v>
      </c>
      <c r="G73" s="30">
        <v>35839</v>
      </c>
      <c r="H73" s="1" t="s">
        <v>317</v>
      </c>
      <c r="I73" s="2" t="s">
        <v>26</v>
      </c>
      <c r="J73" s="1" t="s">
        <v>27</v>
      </c>
      <c r="K73" s="1" t="s">
        <v>28</v>
      </c>
      <c r="L73" s="1" t="s">
        <v>30</v>
      </c>
      <c r="N73" s="2"/>
      <c r="O73" s="2"/>
      <c r="P73" s="2"/>
      <c r="Q73" s="2" t="s">
        <v>32</v>
      </c>
      <c r="R73" s="1" t="s">
        <v>33</v>
      </c>
      <c r="S73" s="1" t="s">
        <v>34</v>
      </c>
      <c r="T73" s="2" t="s">
        <v>35</v>
      </c>
      <c r="U73" s="8" t="s">
        <v>36</v>
      </c>
    </row>
    <row r="74" spans="1:21" ht="84" x14ac:dyDescent="0.15">
      <c r="A74" s="4" t="s">
        <v>346</v>
      </c>
      <c r="B74" s="1" t="s">
        <v>347</v>
      </c>
      <c r="C74" s="1" t="s">
        <v>272</v>
      </c>
      <c r="D74" s="2" t="s">
        <v>348</v>
      </c>
      <c r="E74" s="19" t="str">
        <f ca="1">IFERROR(__xludf.DUMMYFUNCTION("CONCATENATE(""Volume "",REGEXEXTRACT(A74,""[\d]+""),"", Number "",RIGHT(A74,LEN(A74) - 19))"),"Volume 20, Number 17")</f>
        <v>Volume 20, Number 17</v>
      </c>
      <c r="F74" s="3" t="s">
        <v>349</v>
      </c>
      <c r="G74" s="30">
        <v>35853</v>
      </c>
      <c r="H74" s="1" t="s">
        <v>275</v>
      </c>
      <c r="I74" s="2" t="s">
        <v>26</v>
      </c>
      <c r="J74" s="1" t="s">
        <v>27</v>
      </c>
      <c r="K74" s="1" t="s">
        <v>28</v>
      </c>
      <c r="L74" s="1" t="s">
        <v>30</v>
      </c>
      <c r="M74" s="1" t="s">
        <v>29</v>
      </c>
      <c r="N74" s="2"/>
      <c r="O74" s="2"/>
      <c r="P74" s="2"/>
      <c r="Q74" s="2" t="s">
        <v>32</v>
      </c>
      <c r="R74" s="1" t="s">
        <v>33</v>
      </c>
      <c r="S74" s="1" t="s">
        <v>34</v>
      </c>
      <c r="T74" s="2" t="s">
        <v>35</v>
      </c>
      <c r="U74" s="6" t="s">
        <v>36</v>
      </c>
    </row>
    <row r="75" spans="1:21" ht="84" x14ac:dyDescent="0.15">
      <c r="A75" s="4" t="s">
        <v>350</v>
      </c>
      <c r="B75" s="1" t="s">
        <v>351</v>
      </c>
      <c r="C75" s="1" t="s">
        <v>272</v>
      </c>
      <c r="D75" s="2" t="s">
        <v>352</v>
      </c>
      <c r="E75" s="19" t="str">
        <f ca="1">IFERROR(__xludf.DUMMYFUNCTION("CONCATENATE(""Volume "",REGEXEXTRACT(A75,""[\d]+""),"", Number "",RIGHT(A75,LEN(A75) - 19))"),"Volume 20, Number 18")</f>
        <v>Volume 20, Number 18</v>
      </c>
      <c r="F75" s="3" t="s">
        <v>353</v>
      </c>
      <c r="G75" s="30">
        <v>35870</v>
      </c>
      <c r="H75" s="1" t="s">
        <v>275</v>
      </c>
      <c r="I75" s="2" t="s">
        <v>26</v>
      </c>
      <c r="J75" s="1" t="s">
        <v>27</v>
      </c>
      <c r="K75" s="1" t="s">
        <v>28</v>
      </c>
      <c r="L75" s="1" t="s">
        <v>30</v>
      </c>
      <c r="N75" s="2"/>
      <c r="O75" s="2"/>
      <c r="P75" s="2"/>
      <c r="Q75" s="2" t="s">
        <v>32</v>
      </c>
      <c r="R75" s="1" t="s">
        <v>33</v>
      </c>
      <c r="S75" s="1" t="s">
        <v>34</v>
      </c>
      <c r="T75" s="2" t="s">
        <v>35</v>
      </c>
      <c r="U75" s="7" t="s">
        <v>36</v>
      </c>
    </row>
    <row r="76" spans="1:21" ht="84" x14ac:dyDescent="0.15">
      <c r="A76" s="4" t="s">
        <v>354</v>
      </c>
      <c r="B76" s="1" t="s">
        <v>355</v>
      </c>
      <c r="C76" s="1" t="s">
        <v>272</v>
      </c>
      <c r="D76" s="2" t="s">
        <v>356</v>
      </c>
      <c r="E76" s="19" t="str">
        <f ca="1">IFERROR(__xludf.DUMMYFUNCTION("CONCATENATE(""Volume "",REGEXEXTRACT(A76,""[\d]+""),"", Number "",RIGHT(A76,LEN(A76) - 19))"),"Volume 20, Number 19")</f>
        <v>Volume 20, Number 19</v>
      </c>
      <c r="F76" s="3" t="s">
        <v>357</v>
      </c>
      <c r="G76" s="30">
        <v>35886</v>
      </c>
      <c r="H76" s="1" t="s">
        <v>275</v>
      </c>
      <c r="I76" s="2" t="s">
        <v>26</v>
      </c>
      <c r="J76" s="1" t="s">
        <v>27</v>
      </c>
      <c r="K76" s="1" t="s">
        <v>28</v>
      </c>
      <c r="L76" s="1" t="s">
        <v>30</v>
      </c>
      <c r="M76" s="1" t="s">
        <v>29</v>
      </c>
      <c r="N76" s="2" t="s">
        <v>75</v>
      </c>
      <c r="O76" s="2"/>
      <c r="P76" s="2"/>
      <c r="Q76" s="2" t="s">
        <v>32</v>
      </c>
      <c r="R76" s="1" t="s">
        <v>33</v>
      </c>
      <c r="S76" s="1" t="s">
        <v>34</v>
      </c>
      <c r="T76" s="2" t="s">
        <v>35</v>
      </c>
      <c r="U76" s="8" t="s">
        <v>36</v>
      </c>
    </row>
    <row r="77" spans="1:21" ht="70" x14ac:dyDescent="0.15">
      <c r="A77" s="4" t="s">
        <v>358</v>
      </c>
      <c r="B77" s="1" t="s">
        <v>359</v>
      </c>
      <c r="C77" s="1" t="s">
        <v>272</v>
      </c>
      <c r="D77" s="2" t="s">
        <v>360</v>
      </c>
      <c r="E77" s="19" t="str">
        <f ca="1">IFERROR(__xludf.DUMMYFUNCTION("CONCATENATE(""Volume "",REGEXEXTRACT(A77,""[\d]+""),"", Number "",RIGHT(A77,LEN(A77) - 19))"),"Volume 20, Number 2")</f>
        <v>Volume 20, Number 2</v>
      </c>
      <c r="F77" s="3" t="s">
        <v>361</v>
      </c>
      <c r="G77" s="30">
        <v>35682</v>
      </c>
      <c r="H77" s="1" t="s">
        <v>275</v>
      </c>
      <c r="I77" s="2" t="s">
        <v>26</v>
      </c>
      <c r="J77" s="1" t="s">
        <v>27</v>
      </c>
      <c r="K77" s="1" t="s">
        <v>28</v>
      </c>
      <c r="L77" s="1" t="s">
        <v>29</v>
      </c>
      <c r="N77" s="2"/>
      <c r="O77" s="2"/>
      <c r="P77" s="2"/>
      <c r="Q77" s="2" t="s">
        <v>32</v>
      </c>
      <c r="R77" s="1" t="s">
        <v>33</v>
      </c>
      <c r="S77" s="1" t="s">
        <v>34</v>
      </c>
      <c r="T77" s="2" t="s">
        <v>35</v>
      </c>
      <c r="U77" s="6" t="s">
        <v>36</v>
      </c>
    </row>
    <row r="78" spans="1:21" ht="112" x14ac:dyDescent="0.15">
      <c r="A78" s="4" t="s">
        <v>362</v>
      </c>
      <c r="B78" s="1" t="s">
        <v>363</v>
      </c>
      <c r="C78" s="1" t="s">
        <v>272</v>
      </c>
      <c r="D78" s="2" t="s">
        <v>364</v>
      </c>
      <c r="E78" s="19" t="str">
        <f ca="1">IFERROR(__xludf.DUMMYFUNCTION("CONCATENATE(""Volume "",REGEXEXTRACT(A78,""[\d]+""),"", Number "",RIGHT(A78,LEN(A78) - 19))"),"Volume 20, Number 20")</f>
        <v>Volume 20, Number 20</v>
      </c>
      <c r="F78" s="3" t="s">
        <v>365</v>
      </c>
      <c r="G78" s="30">
        <v>35897</v>
      </c>
      <c r="H78" s="1" t="s">
        <v>317</v>
      </c>
      <c r="I78" s="2" t="s">
        <v>26</v>
      </c>
      <c r="J78" s="1" t="s">
        <v>27</v>
      </c>
      <c r="K78" s="1" t="s">
        <v>28</v>
      </c>
      <c r="L78" s="1" t="s">
        <v>30</v>
      </c>
      <c r="M78" s="1" t="s">
        <v>179</v>
      </c>
      <c r="N78" s="2"/>
      <c r="O78" s="2"/>
      <c r="P78" s="2"/>
      <c r="Q78" s="2" t="s">
        <v>32</v>
      </c>
      <c r="R78" s="1" t="s">
        <v>33</v>
      </c>
      <c r="S78" s="1" t="s">
        <v>34</v>
      </c>
      <c r="T78" s="2" t="s">
        <v>35</v>
      </c>
      <c r="U78" s="7" t="s">
        <v>36</v>
      </c>
    </row>
    <row r="79" spans="1:21" ht="84" x14ac:dyDescent="0.15">
      <c r="A79" s="4" t="s">
        <v>366</v>
      </c>
      <c r="B79" s="1" t="s">
        <v>367</v>
      </c>
      <c r="C79" s="1" t="s">
        <v>272</v>
      </c>
      <c r="D79" s="2" t="s">
        <v>368</v>
      </c>
      <c r="E79" s="19" t="str">
        <f ca="1">IFERROR(__xludf.DUMMYFUNCTION("CONCATENATE(""Volume "",REGEXEXTRACT(A79,""[\d]+""),"", Number "",RIGHT(A79,LEN(A79) - 19))"),"Volume 20, Number 21")</f>
        <v>Volume 20, Number 21</v>
      </c>
      <c r="F79" s="3" t="s">
        <v>369</v>
      </c>
      <c r="G79" s="30">
        <v>35909</v>
      </c>
      <c r="H79" s="1" t="s">
        <v>280</v>
      </c>
      <c r="I79" s="2" t="s">
        <v>26</v>
      </c>
      <c r="J79" s="1" t="s">
        <v>27</v>
      </c>
      <c r="K79" s="1" t="s">
        <v>28</v>
      </c>
      <c r="L79" s="1" t="s">
        <v>29</v>
      </c>
      <c r="M79" s="1" t="s">
        <v>75</v>
      </c>
      <c r="N79" s="2" t="s">
        <v>80</v>
      </c>
      <c r="O79" s="2"/>
      <c r="P79" s="2"/>
      <c r="Q79" s="2" t="s">
        <v>32</v>
      </c>
      <c r="R79" s="1" t="s">
        <v>33</v>
      </c>
      <c r="S79" s="1" t="s">
        <v>34</v>
      </c>
      <c r="T79" s="2" t="s">
        <v>35</v>
      </c>
      <c r="U79" s="8" t="s">
        <v>36</v>
      </c>
    </row>
    <row r="80" spans="1:21" ht="84" x14ac:dyDescent="0.15">
      <c r="A80" s="4" t="s">
        <v>370</v>
      </c>
      <c r="B80" s="1" t="s">
        <v>371</v>
      </c>
      <c r="C80" s="1" t="s">
        <v>272</v>
      </c>
      <c r="D80" s="2" t="s">
        <v>372</v>
      </c>
      <c r="E80" s="19" t="str">
        <f ca="1">IFERROR(__xludf.DUMMYFUNCTION("CONCATENATE(""Volume "",REGEXEXTRACT(A80,""[\d]+""),"", Number "",RIGHT(A80,LEN(A80) - 19))"),"Volume 20, Number 22")</f>
        <v>Volume 20, Number 22</v>
      </c>
      <c r="F80" s="3" t="s">
        <v>373</v>
      </c>
      <c r="G80" s="30">
        <v>35934</v>
      </c>
      <c r="H80" s="1" t="s">
        <v>275</v>
      </c>
      <c r="I80" s="2" t="s">
        <v>26</v>
      </c>
      <c r="J80" s="1" t="s">
        <v>27</v>
      </c>
      <c r="K80" s="1" t="s">
        <v>28</v>
      </c>
      <c r="L80" s="1" t="s">
        <v>75</v>
      </c>
      <c r="N80" s="2"/>
      <c r="O80" s="2"/>
      <c r="P80" s="2"/>
      <c r="Q80" s="2" t="s">
        <v>32</v>
      </c>
      <c r="R80" s="1" t="s">
        <v>33</v>
      </c>
      <c r="S80" s="1" t="s">
        <v>34</v>
      </c>
      <c r="T80" s="2" t="s">
        <v>35</v>
      </c>
      <c r="U80" s="6" t="s">
        <v>36</v>
      </c>
    </row>
    <row r="81" spans="1:21" ht="126" x14ac:dyDescent="0.15">
      <c r="A81" s="4" t="s">
        <v>374</v>
      </c>
      <c r="B81" s="1" t="s">
        <v>375</v>
      </c>
      <c r="C81" s="1" t="s">
        <v>272</v>
      </c>
      <c r="D81" s="2" t="s">
        <v>376</v>
      </c>
      <c r="E81" s="19" t="str">
        <f ca="1">IFERROR(__xludf.DUMMYFUNCTION("CONCATENATE(""Volume "",REGEXEXTRACT(A81,""[\d]+""),"", Number "",RIGHT(A81,LEN(A81) - 19))"),"Volume 20, Number 23")</f>
        <v>Volume 20, Number 23</v>
      </c>
      <c r="F81" s="3" t="s">
        <v>377</v>
      </c>
      <c r="G81" s="30">
        <v>35955</v>
      </c>
      <c r="H81" s="1" t="s">
        <v>317</v>
      </c>
      <c r="I81" s="2" t="s">
        <v>26</v>
      </c>
      <c r="J81" s="1" t="s">
        <v>27</v>
      </c>
      <c r="K81" s="1" t="s">
        <v>28</v>
      </c>
      <c r="L81" s="1" t="s">
        <v>80</v>
      </c>
      <c r="M81" s="1" t="s">
        <v>48</v>
      </c>
      <c r="N81" s="2" t="s">
        <v>179</v>
      </c>
      <c r="O81" s="2"/>
      <c r="P81" s="2"/>
      <c r="Q81" s="2" t="s">
        <v>32</v>
      </c>
      <c r="R81" s="1" t="s">
        <v>33</v>
      </c>
      <c r="S81" s="1" t="s">
        <v>34</v>
      </c>
      <c r="T81" s="2" t="s">
        <v>35</v>
      </c>
      <c r="U81" s="7" t="s">
        <v>36</v>
      </c>
    </row>
    <row r="82" spans="1:21" ht="70" x14ac:dyDescent="0.15">
      <c r="A82" s="4" t="s">
        <v>378</v>
      </c>
      <c r="B82" s="1" t="s">
        <v>379</v>
      </c>
      <c r="C82" s="1" t="s">
        <v>272</v>
      </c>
      <c r="D82" s="2" t="s">
        <v>380</v>
      </c>
      <c r="E82" s="19" t="str">
        <f ca="1">IFERROR(__xludf.DUMMYFUNCTION("CONCATENATE(""Volume "",REGEXEXTRACT(A82,""[\d]+""),"", Number "",RIGHT(A82,LEN(A82) - 19))"),"Volume 20, Number 24")</f>
        <v>Volume 20, Number 24</v>
      </c>
      <c r="F82" s="3" t="s">
        <v>381</v>
      </c>
      <c r="G82" s="30">
        <v>35976</v>
      </c>
      <c r="H82" s="1" t="s">
        <v>275</v>
      </c>
      <c r="I82" s="2" t="s">
        <v>26</v>
      </c>
      <c r="J82" s="1" t="s">
        <v>27</v>
      </c>
      <c r="K82" s="1" t="s">
        <v>28</v>
      </c>
      <c r="L82" s="1" t="s">
        <v>29</v>
      </c>
      <c r="M82" s="1" t="s">
        <v>49</v>
      </c>
      <c r="N82" s="2" t="s">
        <v>80</v>
      </c>
      <c r="O82" s="2" t="s">
        <v>54</v>
      </c>
      <c r="P82" s="2" t="s">
        <v>179</v>
      </c>
      <c r="Q82" s="2" t="s">
        <v>32</v>
      </c>
      <c r="R82" s="1" t="s">
        <v>33</v>
      </c>
      <c r="S82" s="1" t="s">
        <v>34</v>
      </c>
      <c r="T82" s="2" t="s">
        <v>35</v>
      </c>
      <c r="U82" s="8" t="s">
        <v>36</v>
      </c>
    </row>
    <row r="83" spans="1:21" ht="84" x14ac:dyDescent="0.15">
      <c r="A83" s="4" t="s">
        <v>382</v>
      </c>
      <c r="B83" s="1" t="s">
        <v>383</v>
      </c>
      <c r="C83" s="1" t="s">
        <v>272</v>
      </c>
      <c r="D83" s="2" t="s">
        <v>384</v>
      </c>
      <c r="E83" s="19" t="str">
        <f ca="1">IFERROR(__xludf.DUMMYFUNCTION("CONCATENATE(""Volume "",REGEXEXTRACT(A83,""[\d]+""),"", Number "",RIGHT(A83,LEN(A83) - 19))"),"Volume 20, Number 25")</f>
        <v>Volume 20, Number 25</v>
      </c>
      <c r="F83" s="3" t="s">
        <v>385</v>
      </c>
      <c r="G83" s="30">
        <v>36032</v>
      </c>
      <c r="H83" s="1" t="s">
        <v>280</v>
      </c>
      <c r="I83" s="2" t="s">
        <v>26</v>
      </c>
      <c r="J83" s="1" t="s">
        <v>27</v>
      </c>
      <c r="K83" s="1" t="s">
        <v>28</v>
      </c>
      <c r="L83" s="1" t="s">
        <v>29</v>
      </c>
      <c r="M83" s="1" t="s">
        <v>49</v>
      </c>
      <c r="N83" s="2" t="s">
        <v>47</v>
      </c>
      <c r="O83" s="2"/>
      <c r="P83" s="2"/>
      <c r="Q83" s="2" t="s">
        <v>32</v>
      </c>
      <c r="R83" s="1" t="s">
        <v>33</v>
      </c>
      <c r="S83" s="1" t="s">
        <v>34</v>
      </c>
      <c r="T83" s="2" t="s">
        <v>35</v>
      </c>
      <c r="U83" s="6" t="s">
        <v>36</v>
      </c>
    </row>
    <row r="84" spans="1:21" ht="70" x14ac:dyDescent="0.15">
      <c r="A84" s="4" t="s">
        <v>386</v>
      </c>
      <c r="B84" s="1" t="s">
        <v>387</v>
      </c>
      <c r="C84" s="1" t="s">
        <v>272</v>
      </c>
      <c r="D84" s="2" t="s">
        <v>388</v>
      </c>
      <c r="E84" s="19" t="str">
        <f ca="1">IFERROR(__xludf.DUMMYFUNCTION("CONCATENATE(""Volume "",REGEXEXTRACT(A84,""[\d]+""),"", Number "",RIGHT(A84,LEN(A84) - 19))"),"Volume 20, Number 3")</f>
        <v>Volume 20, Number 3</v>
      </c>
      <c r="F84" s="3" t="s">
        <v>389</v>
      </c>
      <c r="G84" s="30">
        <v>35696</v>
      </c>
      <c r="H84" s="1" t="s">
        <v>317</v>
      </c>
      <c r="I84" s="2" t="s">
        <v>26</v>
      </c>
      <c r="J84" s="1" t="s">
        <v>27</v>
      </c>
      <c r="K84" s="1" t="s">
        <v>28</v>
      </c>
      <c r="L84" s="1" t="s">
        <v>29</v>
      </c>
      <c r="M84" s="1" t="s">
        <v>30</v>
      </c>
      <c r="N84" s="2"/>
      <c r="O84" s="2"/>
      <c r="P84" s="2"/>
      <c r="Q84" s="2" t="s">
        <v>32</v>
      </c>
      <c r="R84" s="1" t="s">
        <v>33</v>
      </c>
      <c r="S84" s="1" t="s">
        <v>34</v>
      </c>
      <c r="T84" s="2" t="s">
        <v>35</v>
      </c>
      <c r="U84" s="7" t="s">
        <v>36</v>
      </c>
    </row>
    <row r="85" spans="1:21" ht="98" x14ac:dyDescent="0.15">
      <c r="A85" s="4" t="s">
        <v>390</v>
      </c>
      <c r="B85" s="1" t="s">
        <v>391</v>
      </c>
      <c r="C85" s="1" t="s">
        <v>272</v>
      </c>
      <c r="D85" s="2" t="s">
        <v>392</v>
      </c>
      <c r="E85" s="19" t="str">
        <f ca="1">IFERROR(__xludf.DUMMYFUNCTION("CONCATENATE(""Volume "",REGEXEXTRACT(A85,""[\d]+""),"", Number "",RIGHT(A85,LEN(A85) - 19))"),"Volume 20, Number 4")</f>
        <v>Volume 20, Number 4</v>
      </c>
      <c r="F85" s="3" t="s">
        <v>393</v>
      </c>
      <c r="G85" s="30">
        <v>35710</v>
      </c>
      <c r="H85" s="1" t="s">
        <v>275</v>
      </c>
      <c r="I85" s="2" t="s">
        <v>26</v>
      </c>
      <c r="J85" s="1" t="s">
        <v>27</v>
      </c>
      <c r="K85" s="1" t="s">
        <v>28</v>
      </c>
      <c r="L85" s="1" t="s">
        <v>29</v>
      </c>
      <c r="M85" s="1" t="s">
        <v>47</v>
      </c>
      <c r="N85" s="2"/>
      <c r="O85" s="2"/>
      <c r="P85" s="2"/>
      <c r="Q85" s="2" t="s">
        <v>32</v>
      </c>
      <c r="R85" s="1" t="s">
        <v>33</v>
      </c>
      <c r="S85" s="1" t="s">
        <v>34</v>
      </c>
      <c r="T85" s="2" t="s">
        <v>35</v>
      </c>
      <c r="U85" s="8" t="s">
        <v>36</v>
      </c>
    </row>
    <row r="86" spans="1:21" ht="56" x14ac:dyDescent="0.15">
      <c r="A86" s="4" t="s">
        <v>394</v>
      </c>
      <c r="B86" s="1" t="s">
        <v>395</v>
      </c>
      <c r="C86" s="1" t="s">
        <v>272</v>
      </c>
      <c r="D86" s="2" t="s">
        <v>396</v>
      </c>
      <c r="E86" s="19" t="str">
        <f ca="1">IFERROR(__xludf.DUMMYFUNCTION("CONCATENATE(""Volume "",REGEXEXTRACT(A86,""[\d]+""),"", Number "",RIGHT(A86,LEN(A86) - 19))"),"Volume 20, Number 5")</f>
        <v>Volume 20, Number 5</v>
      </c>
      <c r="F86" s="3" t="s">
        <v>397</v>
      </c>
      <c r="G86" s="30">
        <v>35717</v>
      </c>
      <c r="H86" s="1" t="s">
        <v>275</v>
      </c>
      <c r="I86" s="2" t="s">
        <v>26</v>
      </c>
      <c r="J86" s="1" t="s">
        <v>27</v>
      </c>
      <c r="K86" s="1" t="s">
        <v>28</v>
      </c>
      <c r="L86" s="1" t="s">
        <v>29</v>
      </c>
      <c r="M86" s="1" t="s">
        <v>48</v>
      </c>
      <c r="N86" s="2"/>
      <c r="O86" s="2"/>
      <c r="P86" s="2"/>
      <c r="Q86" s="2" t="s">
        <v>32</v>
      </c>
      <c r="R86" s="1" t="s">
        <v>33</v>
      </c>
      <c r="S86" s="1" t="s">
        <v>34</v>
      </c>
      <c r="T86" s="2" t="s">
        <v>35</v>
      </c>
      <c r="U86" s="6" t="s">
        <v>36</v>
      </c>
    </row>
    <row r="87" spans="1:21" ht="98" x14ac:dyDescent="0.15">
      <c r="A87" s="4" t="s">
        <v>398</v>
      </c>
      <c r="B87" s="1" t="s">
        <v>399</v>
      </c>
      <c r="C87" s="1" t="s">
        <v>272</v>
      </c>
      <c r="D87" s="2" t="s">
        <v>400</v>
      </c>
      <c r="E87" s="19" t="str">
        <f ca="1">IFERROR(__xludf.DUMMYFUNCTION("CONCATENATE(""Volume "",REGEXEXTRACT(A87,""[\d]+""),"", Number "",RIGHT(A87,LEN(A87) - 19))"),"Volume 20, Number 6")</f>
        <v>Volume 20, Number 6</v>
      </c>
      <c r="F87" s="3" t="s">
        <v>401</v>
      </c>
      <c r="G87" s="30">
        <v>35724</v>
      </c>
      <c r="H87" s="1" t="s">
        <v>280</v>
      </c>
      <c r="I87" s="2" t="s">
        <v>26</v>
      </c>
      <c r="J87" s="1" t="s">
        <v>27</v>
      </c>
      <c r="K87" s="1" t="s">
        <v>28</v>
      </c>
      <c r="L87" s="1" t="s">
        <v>29</v>
      </c>
      <c r="M87" s="1" t="s">
        <v>48</v>
      </c>
      <c r="N87" s="2" t="s">
        <v>54</v>
      </c>
      <c r="O87" s="2"/>
      <c r="P87" s="2"/>
      <c r="Q87" s="2" t="s">
        <v>32</v>
      </c>
      <c r="R87" s="1" t="s">
        <v>33</v>
      </c>
      <c r="S87" s="1" t="s">
        <v>34</v>
      </c>
      <c r="T87" s="2" t="s">
        <v>35</v>
      </c>
      <c r="U87" s="7" t="s">
        <v>36</v>
      </c>
    </row>
    <row r="88" spans="1:21" ht="84" x14ac:dyDescent="0.15">
      <c r="A88" s="4" t="s">
        <v>402</v>
      </c>
      <c r="B88" s="1" t="s">
        <v>403</v>
      </c>
      <c r="C88" s="1" t="s">
        <v>272</v>
      </c>
      <c r="D88" s="2" t="s">
        <v>404</v>
      </c>
      <c r="E88" s="19" t="str">
        <f ca="1">IFERROR(__xludf.DUMMYFUNCTION("CONCATENATE(""Volume "",REGEXEXTRACT(A88,""[\d]+""),"", Number "",RIGHT(A88,LEN(A88) - 19))"),"Volume 20, Number 7")</f>
        <v>Volume 20, Number 7</v>
      </c>
      <c r="F88" s="3" t="s">
        <v>405</v>
      </c>
      <c r="G88" s="30">
        <v>35738</v>
      </c>
      <c r="H88" s="1" t="s">
        <v>317</v>
      </c>
      <c r="I88" s="2" t="s">
        <v>26</v>
      </c>
      <c r="J88" s="1" t="s">
        <v>27</v>
      </c>
      <c r="K88" s="1" t="s">
        <v>28</v>
      </c>
      <c r="L88" s="1" t="s">
        <v>29</v>
      </c>
      <c r="M88" s="1" t="s">
        <v>30</v>
      </c>
      <c r="N88" s="2"/>
      <c r="O88" s="2"/>
      <c r="P88" s="2"/>
      <c r="Q88" s="2" t="s">
        <v>32</v>
      </c>
      <c r="R88" s="1" t="s">
        <v>33</v>
      </c>
      <c r="S88" s="1" t="s">
        <v>34</v>
      </c>
      <c r="T88" s="2" t="s">
        <v>35</v>
      </c>
      <c r="U88" s="8" t="s">
        <v>36</v>
      </c>
    </row>
    <row r="89" spans="1:21" ht="70" x14ac:dyDescent="0.15">
      <c r="A89" s="4" t="s">
        <v>406</v>
      </c>
      <c r="B89" s="1" t="s">
        <v>407</v>
      </c>
      <c r="C89" s="1" t="s">
        <v>272</v>
      </c>
      <c r="D89" s="2" t="s">
        <v>408</v>
      </c>
      <c r="E89" s="19" t="str">
        <f ca="1">IFERROR(__xludf.DUMMYFUNCTION("CONCATENATE(""Volume "",REGEXEXTRACT(A89,""[\d]+""),"", Number "",RIGHT(A89,LEN(A89) - 19))"),"Volume 20, Number 8")</f>
        <v>Volume 20, Number 8</v>
      </c>
      <c r="F89" s="3" t="s">
        <v>409</v>
      </c>
      <c r="G89" s="30">
        <v>35745</v>
      </c>
      <c r="H89" s="1" t="s">
        <v>275</v>
      </c>
      <c r="I89" s="2" t="s">
        <v>26</v>
      </c>
      <c r="J89" s="1" t="s">
        <v>27</v>
      </c>
      <c r="K89" s="1" t="s">
        <v>28</v>
      </c>
      <c r="L89" s="1" t="s">
        <v>29</v>
      </c>
      <c r="N89" s="2"/>
      <c r="O89" s="2"/>
      <c r="P89" s="2"/>
      <c r="Q89" s="2" t="s">
        <v>32</v>
      </c>
      <c r="R89" s="1" t="s">
        <v>33</v>
      </c>
      <c r="S89" s="1" t="s">
        <v>34</v>
      </c>
      <c r="T89" s="2" t="s">
        <v>35</v>
      </c>
      <c r="U89" s="6" t="s">
        <v>36</v>
      </c>
    </row>
    <row r="90" spans="1:21" ht="98" x14ac:dyDescent="0.15">
      <c r="A90" s="4" t="s">
        <v>410</v>
      </c>
      <c r="B90" s="1" t="s">
        <v>411</v>
      </c>
      <c r="C90" s="1" t="s">
        <v>272</v>
      </c>
      <c r="D90" s="2" t="s">
        <v>412</v>
      </c>
      <c r="E90" s="19" t="str">
        <f ca="1">IFERROR(__xludf.DUMMYFUNCTION("CONCATENATE(""Volume "",REGEXEXTRACT(A90,""[\d]+""),"", Number "",RIGHT(A90,LEN(A90) - 19))"),"Volume 20, Number 9")</f>
        <v>Volume 20, Number 9</v>
      </c>
      <c r="F90" s="3" t="s">
        <v>413</v>
      </c>
      <c r="G90" s="30">
        <v>35752</v>
      </c>
      <c r="H90" s="1" t="s">
        <v>317</v>
      </c>
      <c r="I90" s="2" t="s">
        <v>26</v>
      </c>
      <c r="J90" s="1" t="s">
        <v>27</v>
      </c>
      <c r="K90" s="1" t="s">
        <v>28</v>
      </c>
      <c r="L90" s="1" t="s">
        <v>29</v>
      </c>
      <c r="M90" s="1" t="s">
        <v>49</v>
      </c>
      <c r="N90" s="2"/>
      <c r="O90" s="2"/>
      <c r="P90" s="2"/>
      <c r="Q90" s="2" t="s">
        <v>32</v>
      </c>
      <c r="R90" s="1" t="s">
        <v>33</v>
      </c>
      <c r="S90" s="1" t="s">
        <v>34</v>
      </c>
      <c r="T90" s="2" t="s">
        <v>35</v>
      </c>
      <c r="U90" s="7" t="s">
        <v>36</v>
      </c>
    </row>
    <row r="91" spans="1:21" ht="84" x14ac:dyDescent="0.15">
      <c r="A91" s="4" t="s">
        <v>414</v>
      </c>
      <c r="B91" s="1" t="s">
        <v>415</v>
      </c>
      <c r="C91" s="1" t="s">
        <v>272</v>
      </c>
      <c r="D91" s="2" t="s">
        <v>416</v>
      </c>
      <c r="E91" s="19" t="str">
        <f ca="1">IFERROR(__xludf.DUMMYFUNCTION("CONCATENATE(""Volume "",REGEXEXTRACT(A91,""[\d]+""),"", Number "",RIGHT(A91,LEN(A91) - 19))"),"Volume 21, Number 1")</f>
        <v>Volume 21, Number 1</v>
      </c>
      <c r="F91" s="3" t="s">
        <v>417</v>
      </c>
      <c r="G91" s="30">
        <v>36047</v>
      </c>
      <c r="H91" s="1" t="s">
        <v>317</v>
      </c>
      <c r="I91" s="2" t="s">
        <v>26</v>
      </c>
      <c r="J91" s="1" t="s">
        <v>27</v>
      </c>
      <c r="K91" s="1" t="s">
        <v>28</v>
      </c>
      <c r="L91" s="1" t="s">
        <v>29</v>
      </c>
      <c r="M91" s="1" t="s">
        <v>30</v>
      </c>
      <c r="N91" s="2" t="s">
        <v>31</v>
      </c>
      <c r="O91" s="2"/>
      <c r="P91" s="2"/>
      <c r="Q91" s="2" t="s">
        <v>32</v>
      </c>
      <c r="R91" s="1" t="s">
        <v>33</v>
      </c>
      <c r="S91" s="1" t="s">
        <v>34</v>
      </c>
      <c r="T91" s="2" t="s">
        <v>35</v>
      </c>
      <c r="U91" s="8" t="s">
        <v>36</v>
      </c>
    </row>
    <row r="92" spans="1:21" ht="84" x14ac:dyDescent="0.15">
      <c r="A92" s="4" t="s">
        <v>418</v>
      </c>
      <c r="B92" s="1" t="s">
        <v>419</v>
      </c>
      <c r="C92" s="1" t="s">
        <v>272</v>
      </c>
      <c r="D92" s="2" t="s">
        <v>420</v>
      </c>
      <c r="E92" s="19" t="str">
        <f ca="1">IFERROR(__xludf.DUMMYFUNCTION("CONCATENATE(""Volume "",REGEXEXTRACT(A92,""[\d]+""),"", Number "",RIGHT(A92,LEN(A92) - 19))"),"Volume 21, Number 10")</f>
        <v>Volume 21, Number 10</v>
      </c>
      <c r="F92" s="3" t="s">
        <v>421</v>
      </c>
      <c r="G92" s="30">
        <v>36123</v>
      </c>
      <c r="H92" s="1" t="s">
        <v>317</v>
      </c>
      <c r="I92" s="2" t="s">
        <v>26</v>
      </c>
      <c r="J92" s="1" t="s">
        <v>27</v>
      </c>
      <c r="K92" s="1" t="s">
        <v>28</v>
      </c>
      <c r="L92" s="1" t="s">
        <v>29</v>
      </c>
      <c r="M92" s="1" t="s">
        <v>30</v>
      </c>
      <c r="N92" s="2" t="s">
        <v>54</v>
      </c>
      <c r="O92" s="2"/>
      <c r="P92" s="2"/>
      <c r="Q92" s="2" t="s">
        <v>32</v>
      </c>
      <c r="R92" s="1" t="s">
        <v>33</v>
      </c>
      <c r="S92" s="1" t="s">
        <v>34</v>
      </c>
      <c r="T92" s="2" t="s">
        <v>35</v>
      </c>
      <c r="U92" s="6" t="s">
        <v>36</v>
      </c>
    </row>
    <row r="93" spans="1:21" ht="84" x14ac:dyDescent="0.15">
      <c r="A93" s="4" t="s">
        <v>422</v>
      </c>
      <c r="B93" s="1" t="s">
        <v>423</v>
      </c>
      <c r="C93" s="1" t="s">
        <v>272</v>
      </c>
      <c r="D93" s="2" t="s">
        <v>424</v>
      </c>
      <c r="E93" s="19" t="str">
        <f ca="1">IFERROR(__xludf.DUMMYFUNCTION("CONCATENATE(""Volume "",REGEXEXTRACT(A93,""[\d]+""),"", Number "",RIGHT(A93,LEN(A93) - 19))"),"Volume 21, Number 11")</f>
        <v>Volume 21, Number 11</v>
      </c>
      <c r="F93" s="3" t="s">
        <v>425</v>
      </c>
      <c r="G93" s="30">
        <v>36130</v>
      </c>
      <c r="H93" s="1" t="s">
        <v>317</v>
      </c>
      <c r="I93" s="2" t="s">
        <v>26</v>
      </c>
      <c r="J93" s="1" t="s">
        <v>27</v>
      </c>
      <c r="K93" s="1" t="s">
        <v>28</v>
      </c>
      <c r="L93" s="1" t="s">
        <v>29</v>
      </c>
      <c r="M93" s="1" t="s">
        <v>49</v>
      </c>
      <c r="N93" s="2"/>
      <c r="O93" s="2"/>
      <c r="P93" s="2"/>
      <c r="Q93" s="2" t="s">
        <v>32</v>
      </c>
      <c r="R93" s="1" t="s">
        <v>33</v>
      </c>
      <c r="S93" s="1" t="s">
        <v>34</v>
      </c>
      <c r="T93" s="2" t="s">
        <v>35</v>
      </c>
      <c r="U93" s="7" t="s">
        <v>36</v>
      </c>
    </row>
    <row r="94" spans="1:21" ht="84" x14ac:dyDescent="0.15">
      <c r="A94" s="4" t="s">
        <v>426</v>
      </c>
      <c r="B94" s="1" t="s">
        <v>427</v>
      </c>
      <c r="C94" s="1" t="s">
        <v>272</v>
      </c>
      <c r="D94" s="2" t="s">
        <v>428</v>
      </c>
      <c r="E94" s="19" t="str">
        <f ca="1">IFERROR(__xludf.DUMMYFUNCTION("CONCATENATE(""Volume "",REGEXEXTRACT(A94,""[\d]+""),"", Number "",RIGHT(A94,LEN(A94) - 19))"),"Volume 21, Number 12")</f>
        <v>Volume 21, Number 12</v>
      </c>
      <c r="F94" s="3" t="s">
        <v>429</v>
      </c>
      <c r="G94" s="30">
        <v>36137</v>
      </c>
      <c r="H94" s="1" t="s">
        <v>317</v>
      </c>
      <c r="I94" s="2" t="s">
        <v>26</v>
      </c>
      <c r="J94" s="1" t="s">
        <v>27</v>
      </c>
      <c r="K94" s="1" t="s">
        <v>28</v>
      </c>
      <c r="L94" s="1" t="s">
        <v>29</v>
      </c>
      <c r="M94" s="1" t="s">
        <v>75</v>
      </c>
      <c r="N94" s="2"/>
      <c r="O94" s="2"/>
      <c r="P94" s="2"/>
      <c r="Q94" s="2" t="s">
        <v>32</v>
      </c>
      <c r="R94" s="1" t="s">
        <v>33</v>
      </c>
      <c r="S94" s="1" t="s">
        <v>34</v>
      </c>
      <c r="T94" s="2" t="s">
        <v>35</v>
      </c>
      <c r="U94" s="8" t="s">
        <v>36</v>
      </c>
    </row>
    <row r="95" spans="1:21" ht="70" x14ac:dyDescent="0.15">
      <c r="A95" s="4" t="s">
        <v>430</v>
      </c>
      <c r="B95" s="1" t="s">
        <v>431</v>
      </c>
      <c r="C95" s="1" t="s">
        <v>272</v>
      </c>
      <c r="D95" s="2" t="s">
        <v>432</v>
      </c>
      <c r="E95" s="19" t="str">
        <f ca="1">IFERROR(__xludf.DUMMYFUNCTION("CONCATENATE(""Volume "",REGEXEXTRACT(A95,""[\d]+""),"", Number "",RIGHT(A95,LEN(A95) - 19))"),"Volume 21, Number 13")</f>
        <v>Volume 21, Number 13</v>
      </c>
      <c r="F95" s="3" t="s">
        <v>433</v>
      </c>
      <c r="G95" s="30">
        <v>36147</v>
      </c>
      <c r="H95" s="1" t="s">
        <v>280</v>
      </c>
      <c r="I95" s="2" t="s">
        <v>26</v>
      </c>
      <c r="J95" s="1" t="s">
        <v>27</v>
      </c>
      <c r="K95" s="1" t="s">
        <v>28</v>
      </c>
      <c r="L95" s="1" t="s">
        <v>29</v>
      </c>
      <c r="M95" s="1" t="s">
        <v>30</v>
      </c>
      <c r="N95" s="2" t="s">
        <v>75</v>
      </c>
      <c r="O95" s="2"/>
      <c r="P95" s="2"/>
      <c r="Q95" s="2" t="s">
        <v>32</v>
      </c>
      <c r="R95" s="1" t="s">
        <v>33</v>
      </c>
      <c r="S95" s="1" t="s">
        <v>34</v>
      </c>
      <c r="T95" s="2" t="s">
        <v>35</v>
      </c>
      <c r="U95" s="6" t="s">
        <v>36</v>
      </c>
    </row>
    <row r="96" spans="1:21" ht="70" x14ac:dyDescent="0.15">
      <c r="A96" s="4" t="s">
        <v>434</v>
      </c>
      <c r="B96" s="1" t="s">
        <v>435</v>
      </c>
      <c r="C96" s="1" t="s">
        <v>272</v>
      </c>
      <c r="D96" s="2" t="s">
        <v>436</v>
      </c>
      <c r="E96" s="19" t="str">
        <f ca="1">IFERROR(__xludf.DUMMYFUNCTION("CONCATENATE(""Volume "",REGEXEXTRACT(A96,""[\d]+""),"", Number "",RIGHT(A96,LEN(A96) - 19))"),"Volume 21, Number 14")</f>
        <v>Volume 21, Number 14</v>
      </c>
      <c r="F96" s="3" t="s">
        <v>437</v>
      </c>
      <c r="G96" s="30">
        <v>36172</v>
      </c>
      <c r="H96" s="1" t="s">
        <v>280</v>
      </c>
      <c r="I96" s="2" t="s">
        <v>26</v>
      </c>
      <c r="J96" s="1" t="s">
        <v>27</v>
      </c>
      <c r="K96" s="1" t="s">
        <v>28</v>
      </c>
      <c r="L96" s="1" t="s">
        <v>29</v>
      </c>
      <c r="M96" s="1" t="s">
        <v>30</v>
      </c>
      <c r="N96" s="2"/>
      <c r="O96" s="2"/>
      <c r="P96" s="2"/>
      <c r="Q96" s="2" t="s">
        <v>32</v>
      </c>
      <c r="R96" s="1" t="s">
        <v>33</v>
      </c>
      <c r="S96" s="1" t="s">
        <v>34</v>
      </c>
      <c r="T96" s="2" t="s">
        <v>35</v>
      </c>
      <c r="U96" s="7" t="s">
        <v>36</v>
      </c>
    </row>
    <row r="97" spans="1:21" ht="98" x14ac:dyDescent="0.15">
      <c r="A97" s="4" t="s">
        <v>438</v>
      </c>
      <c r="B97" s="1" t="s">
        <v>439</v>
      </c>
      <c r="C97" s="1" t="s">
        <v>272</v>
      </c>
      <c r="D97" s="2" t="s">
        <v>440</v>
      </c>
      <c r="E97" s="19" t="str">
        <f ca="1">IFERROR(__xludf.DUMMYFUNCTION("CONCATENATE(""Volume "",REGEXEXTRACT(A97,""[\d]+""),"", Number "",RIGHT(A97,LEN(A97) - 19))"),"Volume 21, Number 15")</f>
        <v>Volume 21, Number 15</v>
      </c>
      <c r="F97" s="3" t="s">
        <v>441</v>
      </c>
      <c r="G97" s="30">
        <v>36182</v>
      </c>
      <c r="H97" s="1" t="s">
        <v>67</v>
      </c>
      <c r="I97" s="2" t="s">
        <v>26</v>
      </c>
      <c r="J97" s="1" t="s">
        <v>27</v>
      </c>
      <c r="K97" s="1" t="s">
        <v>28</v>
      </c>
      <c r="L97" s="1" t="s">
        <v>29</v>
      </c>
      <c r="M97" s="1" t="s">
        <v>30</v>
      </c>
      <c r="N97" s="2"/>
      <c r="O97" s="2"/>
      <c r="P97" s="2"/>
      <c r="Q97" s="2" t="s">
        <v>32</v>
      </c>
      <c r="R97" s="1" t="s">
        <v>33</v>
      </c>
      <c r="S97" s="1" t="s">
        <v>34</v>
      </c>
      <c r="T97" s="2" t="s">
        <v>35</v>
      </c>
      <c r="U97" s="8" t="s">
        <v>36</v>
      </c>
    </row>
    <row r="98" spans="1:21" ht="98" x14ac:dyDescent="0.15">
      <c r="A98" s="4" t="s">
        <v>442</v>
      </c>
      <c r="B98" s="1" t="s">
        <v>443</v>
      </c>
      <c r="C98" s="1" t="s">
        <v>272</v>
      </c>
      <c r="D98" s="2" t="s">
        <v>444</v>
      </c>
      <c r="E98" s="19" t="str">
        <f ca="1">IFERROR(__xludf.DUMMYFUNCTION("CONCATENATE(""Volume "",REGEXEXTRACT(A98,""[\d]+""),"", Number "",RIGHT(A98,LEN(A98) - 19))"),"Volume 21, Number 16")</f>
        <v>Volume 21, Number 16</v>
      </c>
      <c r="F98" s="3" t="s">
        <v>445</v>
      </c>
      <c r="G98" s="30">
        <v>36201</v>
      </c>
      <c r="H98" s="1" t="s">
        <v>280</v>
      </c>
      <c r="I98" s="2" t="s">
        <v>26</v>
      </c>
      <c r="J98" s="1" t="s">
        <v>27</v>
      </c>
      <c r="K98" s="1" t="s">
        <v>28</v>
      </c>
      <c r="L98" s="1" t="s">
        <v>29</v>
      </c>
      <c r="M98" s="1" t="s">
        <v>30</v>
      </c>
      <c r="N98" s="2" t="s">
        <v>80</v>
      </c>
      <c r="O98" s="2"/>
      <c r="P98" s="2"/>
      <c r="Q98" s="2" t="s">
        <v>32</v>
      </c>
      <c r="R98" s="1" t="s">
        <v>33</v>
      </c>
      <c r="S98" s="1" t="s">
        <v>34</v>
      </c>
      <c r="T98" s="2" t="s">
        <v>35</v>
      </c>
      <c r="U98" s="6" t="s">
        <v>36</v>
      </c>
    </row>
    <row r="99" spans="1:21" ht="98" x14ac:dyDescent="0.15">
      <c r="A99" s="4" t="s">
        <v>446</v>
      </c>
      <c r="B99" s="1" t="s">
        <v>447</v>
      </c>
      <c r="C99" s="1" t="s">
        <v>272</v>
      </c>
      <c r="D99" s="2" t="s">
        <v>448</v>
      </c>
      <c r="E99" s="19" t="str">
        <f ca="1">IFERROR(__xludf.DUMMYFUNCTION("CONCATENATE(""Volume "",REGEXEXTRACT(A99,""[\d]+""),"", Number "",RIGHT(A99,LEN(A99) - 19))"),"Volume 21, Number 17")</f>
        <v>Volume 21, Number 17</v>
      </c>
      <c r="F99" s="3" t="s">
        <v>449</v>
      </c>
      <c r="G99" s="30">
        <v>36215</v>
      </c>
      <c r="H99" s="1" t="s">
        <v>317</v>
      </c>
      <c r="I99" s="2" t="s">
        <v>26</v>
      </c>
      <c r="J99" s="1" t="s">
        <v>27</v>
      </c>
      <c r="K99" s="1" t="s">
        <v>28</v>
      </c>
      <c r="L99" s="1" t="s">
        <v>30</v>
      </c>
      <c r="M99" s="1" t="s">
        <v>29</v>
      </c>
      <c r="N99" s="2" t="s">
        <v>75</v>
      </c>
      <c r="O99" s="2"/>
      <c r="P99" s="2"/>
      <c r="Q99" s="2" t="s">
        <v>32</v>
      </c>
      <c r="R99" s="1" t="s">
        <v>33</v>
      </c>
      <c r="S99" s="1" t="s">
        <v>34</v>
      </c>
      <c r="T99" s="2" t="s">
        <v>35</v>
      </c>
      <c r="U99" s="7" t="s">
        <v>36</v>
      </c>
    </row>
    <row r="100" spans="1:21" ht="98" x14ac:dyDescent="0.15">
      <c r="A100" s="4" t="s">
        <v>450</v>
      </c>
      <c r="B100" s="1" t="s">
        <v>451</v>
      </c>
      <c r="C100" s="1" t="s">
        <v>272</v>
      </c>
      <c r="D100" s="2" t="s">
        <v>452</v>
      </c>
      <c r="E100" s="19" t="str">
        <f ca="1">IFERROR(__xludf.DUMMYFUNCTION("CONCATENATE(""Volume "",REGEXEXTRACT(A100,""[\d]+""),"", Number "",RIGHT(A100,LEN(A100) - 19))"),"Volume 21, Number 18")</f>
        <v>Volume 21, Number 18</v>
      </c>
      <c r="F100" s="3" t="s">
        <v>453</v>
      </c>
      <c r="G100" s="30">
        <v>36230</v>
      </c>
      <c r="H100" s="1" t="s">
        <v>317</v>
      </c>
      <c r="I100" s="2" t="s">
        <v>26</v>
      </c>
      <c r="J100" s="1" t="s">
        <v>27</v>
      </c>
      <c r="K100" s="1" t="s">
        <v>28</v>
      </c>
      <c r="L100" s="1" t="s">
        <v>29</v>
      </c>
      <c r="M100" s="1" t="s">
        <v>30</v>
      </c>
      <c r="N100" s="2" t="s">
        <v>75</v>
      </c>
      <c r="O100" s="2"/>
      <c r="P100" s="2"/>
      <c r="Q100" s="2" t="s">
        <v>32</v>
      </c>
      <c r="R100" s="1" t="s">
        <v>33</v>
      </c>
      <c r="S100" s="1" t="s">
        <v>34</v>
      </c>
      <c r="T100" s="2" t="s">
        <v>35</v>
      </c>
      <c r="U100" s="8" t="s">
        <v>36</v>
      </c>
    </row>
    <row r="101" spans="1:21" ht="84" x14ac:dyDescent="0.15">
      <c r="A101" s="4" t="s">
        <v>454</v>
      </c>
      <c r="B101" s="1" t="s">
        <v>455</v>
      </c>
      <c r="C101" s="1" t="s">
        <v>272</v>
      </c>
      <c r="D101" s="2" t="s">
        <v>456</v>
      </c>
      <c r="E101" s="19" t="str">
        <f ca="1">IFERROR(__xludf.DUMMYFUNCTION("CONCATENATE(""Volume "",REGEXEXTRACT(A101,""[\d]+""),"", Number "",RIGHT(A101,LEN(A101) - 19))"),"Volume 21, Number 19")</f>
        <v>Volume 21, Number 19</v>
      </c>
      <c r="F101" s="3" t="s">
        <v>457</v>
      </c>
      <c r="G101" s="30">
        <v>36250</v>
      </c>
      <c r="H101" s="1" t="s">
        <v>317</v>
      </c>
      <c r="I101" s="2" t="s">
        <v>26</v>
      </c>
      <c r="J101" s="1" t="s">
        <v>27</v>
      </c>
      <c r="K101" s="1" t="s">
        <v>28</v>
      </c>
      <c r="L101" s="1" t="s">
        <v>29</v>
      </c>
      <c r="M101" s="1" t="s">
        <v>30</v>
      </c>
      <c r="N101" s="2" t="s">
        <v>75</v>
      </c>
      <c r="O101" s="2"/>
      <c r="P101" s="2"/>
      <c r="Q101" s="2" t="s">
        <v>32</v>
      </c>
      <c r="R101" s="1" t="s">
        <v>33</v>
      </c>
      <c r="S101" s="1" t="s">
        <v>34</v>
      </c>
      <c r="T101" s="2" t="s">
        <v>35</v>
      </c>
      <c r="U101" s="6" t="s">
        <v>36</v>
      </c>
    </row>
    <row r="102" spans="1:21" ht="28" x14ac:dyDescent="0.15">
      <c r="A102" s="4" t="s">
        <v>458</v>
      </c>
      <c r="B102" s="1" t="s">
        <v>459</v>
      </c>
      <c r="C102" s="1" t="s">
        <v>272</v>
      </c>
      <c r="D102" s="21"/>
      <c r="E102" s="19" t="str">
        <f ca="1">IFERROR(__xludf.DUMMYFUNCTION("CONCATENATE(""Volume "",REGEXEXTRACT(A102,""[\d]+""),"", Number "",RIGHT(A102,LEN(A102) - 19))"),"Volume 21, Number 2")</f>
        <v>Volume 21, Number 2</v>
      </c>
      <c r="F102" s="3" t="s">
        <v>460</v>
      </c>
      <c r="G102" s="30">
        <v>36060</v>
      </c>
      <c r="H102" s="1" t="s">
        <v>317</v>
      </c>
      <c r="I102" s="2" t="s">
        <v>26</v>
      </c>
      <c r="J102" s="1" t="s">
        <v>27</v>
      </c>
      <c r="K102" s="1" t="s">
        <v>28</v>
      </c>
      <c r="L102" s="1" t="s">
        <v>29</v>
      </c>
      <c r="M102" s="1" t="s">
        <v>179</v>
      </c>
      <c r="N102" s="5" t="s">
        <v>31</v>
      </c>
      <c r="O102" s="2"/>
      <c r="P102" s="2"/>
      <c r="Q102" s="2" t="s">
        <v>32</v>
      </c>
      <c r="R102" s="1" t="s">
        <v>33</v>
      </c>
      <c r="S102" s="1" t="s">
        <v>34</v>
      </c>
      <c r="T102" s="2" t="s">
        <v>35</v>
      </c>
      <c r="U102" s="7" t="s">
        <v>36</v>
      </c>
    </row>
    <row r="103" spans="1:21" ht="112" x14ac:dyDescent="0.15">
      <c r="A103" s="4" t="s">
        <v>461</v>
      </c>
      <c r="B103" s="1" t="s">
        <v>462</v>
      </c>
      <c r="C103" s="1" t="s">
        <v>272</v>
      </c>
      <c r="D103" s="2" t="s">
        <v>463</v>
      </c>
      <c r="E103" s="19" t="str">
        <f ca="1">IFERROR(__xludf.DUMMYFUNCTION("CONCATENATE(""Volume "",REGEXEXTRACT(A103,""[\d]+""),"", Number "",RIGHT(A103,LEN(A103) - 19))"),"Volume 21, Number 20")</f>
        <v>Volume 21, Number 20</v>
      </c>
      <c r="F103" s="3" t="s">
        <v>365</v>
      </c>
      <c r="G103" s="30">
        <v>35899</v>
      </c>
      <c r="H103" s="1" t="s">
        <v>317</v>
      </c>
      <c r="I103" s="2" t="s">
        <v>26</v>
      </c>
      <c r="J103" s="1" t="s">
        <v>27</v>
      </c>
      <c r="K103" s="1" t="s">
        <v>28</v>
      </c>
      <c r="L103" s="1" t="s">
        <v>70</v>
      </c>
      <c r="M103" s="1" t="s">
        <v>75</v>
      </c>
      <c r="N103" s="2"/>
      <c r="O103" s="2"/>
      <c r="P103" s="2"/>
      <c r="Q103" s="2" t="s">
        <v>32</v>
      </c>
      <c r="R103" s="1" t="s">
        <v>33</v>
      </c>
      <c r="S103" s="1" t="s">
        <v>34</v>
      </c>
      <c r="T103" s="2" t="s">
        <v>35</v>
      </c>
      <c r="U103" s="8" t="s">
        <v>36</v>
      </c>
    </row>
    <row r="104" spans="1:21" ht="126" x14ac:dyDescent="0.15">
      <c r="A104" s="4" t="s">
        <v>464</v>
      </c>
      <c r="B104" s="1" t="s">
        <v>465</v>
      </c>
      <c r="C104" s="1" t="s">
        <v>272</v>
      </c>
      <c r="D104" s="2" t="s">
        <v>466</v>
      </c>
      <c r="E104" s="19" t="str">
        <f ca="1">IFERROR(__xludf.DUMMYFUNCTION("CONCATENATE(""Volume "",REGEXEXTRACT(A104,""[\d]+""),"", Number "",RIGHT(A104,LEN(A104) - 19))"),"Volume 21, Number 21")</f>
        <v>Volume 21, Number 21</v>
      </c>
      <c r="F104" s="3" t="s">
        <v>467</v>
      </c>
      <c r="G104" s="30">
        <v>35899</v>
      </c>
      <c r="H104" s="1" t="s">
        <v>280</v>
      </c>
      <c r="I104" s="2" t="s">
        <v>26</v>
      </c>
      <c r="J104" s="1" t="s">
        <v>27</v>
      </c>
      <c r="K104" s="1" t="s">
        <v>28</v>
      </c>
      <c r="L104" s="1" t="s">
        <v>468</v>
      </c>
      <c r="M104" s="1" t="s">
        <v>29</v>
      </c>
      <c r="N104" s="2"/>
      <c r="O104" s="2"/>
      <c r="P104" s="2"/>
      <c r="Q104" s="2" t="s">
        <v>32</v>
      </c>
      <c r="R104" s="1" t="s">
        <v>33</v>
      </c>
      <c r="S104" s="1" t="s">
        <v>34</v>
      </c>
      <c r="T104" s="2" t="s">
        <v>35</v>
      </c>
      <c r="U104" s="6" t="s">
        <v>36</v>
      </c>
    </row>
    <row r="105" spans="1:21" ht="126" x14ac:dyDescent="0.15">
      <c r="A105" s="4" t="s">
        <v>469</v>
      </c>
      <c r="B105" s="1" t="s">
        <v>470</v>
      </c>
      <c r="C105" s="1" t="s">
        <v>272</v>
      </c>
      <c r="D105" s="2" t="s">
        <v>471</v>
      </c>
      <c r="E105" s="19" t="str">
        <f ca="1">IFERROR(__xludf.DUMMYFUNCTION("CONCATENATE(""Volume "",REGEXEXTRACT(A105,""[\d]+""),"", Number "",RIGHT(A105,LEN(A105) - 19))"),"Volume 21, Number 22")</f>
        <v>Volume 21, Number 22</v>
      </c>
      <c r="F105" s="22" t="s">
        <v>472</v>
      </c>
      <c r="G105" s="30">
        <v>36294</v>
      </c>
      <c r="H105" s="1" t="s">
        <v>317</v>
      </c>
      <c r="I105" s="2" t="s">
        <v>26</v>
      </c>
      <c r="J105" s="1" t="s">
        <v>27</v>
      </c>
      <c r="K105" s="1" t="s">
        <v>28</v>
      </c>
      <c r="L105" s="1" t="s">
        <v>75</v>
      </c>
      <c r="M105" s="1" t="s">
        <v>179</v>
      </c>
      <c r="N105" s="2"/>
      <c r="O105" s="2"/>
      <c r="P105" s="2"/>
      <c r="Q105" s="2" t="s">
        <v>32</v>
      </c>
      <c r="R105" s="1" t="s">
        <v>33</v>
      </c>
      <c r="S105" s="1" t="s">
        <v>34</v>
      </c>
      <c r="T105" s="2" t="s">
        <v>35</v>
      </c>
      <c r="U105" s="7" t="s">
        <v>36</v>
      </c>
    </row>
    <row r="106" spans="1:21" ht="140" x14ac:dyDescent="0.15">
      <c r="A106" s="4" t="s">
        <v>473</v>
      </c>
      <c r="B106" s="1" t="s">
        <v>474</v>
      </c>
      <c r="C106" s="1" t="s">
        <v>272</v>
      </c>
      <c r="D106" s="2" t="s">
        <v>475</v>
      </c>
      <c r="E106" s="19" t="str">
        <f ca="1">IFERROR(__xludf.DUMMYFUNCTION("CONCATENATE(""Volume "",REGEXEXTRACT(A106,""[\d]+""),"", Number "",RIGHT(A106,LEN(A106) - 19))"),"Volume 21, Number 23")</f>
        <v>Volume 21, Number 23</v>
      </c>
      <c r="F106" s="3" t="s">
        <v>476</v>
      </c>
      <c r="G106" s="30">
        <v>33020</v>
      </c>
      <c r="H106" s="1" t="s">
        <v>317</v>
      </c>
      <c r="I106" s="2" t="s">
        <v>26</v>
      </c>
      <c r="J106" s="1" t="s">
        <v>27</v>
      </c>
      <c r="K106" s="1" t="s">
        <v>28</v>
      </c>
      <c r="L106" s="1" t="s">
        <v>80</v>
      </c>
      <c r="M106" s="1" t="s">
        <v>179</v>
      </c>
      <c r="N106" s="2"/>
      <c r="O106" s="2"/>
      <c r="P106" s="2"/>
      <c r="Q106" s="2" t="s">
        <v>32</v>
      </c>
      <c r="R106" s="1" t="s">
        <v>33</v>
      </c>
      <c r="S106" s="1" t="s">
        <v>34</v>
      </c>
      <c r="T106" s="2" t="s">
        <v>35</v>
      </c>
      <c r="U106" s="8" t="s">
        <v>36</v>
      </c>
    </row>
    <row r="107" spans="1:21" ht="154" x14ac:dyDescent="0.15">
      <c r="A107" s="4" t="s">
        <v>477</v>
      </c>
      <c r="B107" s="1" t="s">
        <v>478</v>
      </c>
      <c r="C107" s="1" t="s">
        <v>272</v>
      </c>
      <c r="D107" s="23" t="s">
        <v>479</v>
      </c>
      <c r="E107" s="19" t="str">
        <f ca="1">IFERROR(__xludf.DUMMYFUNCTION("CONCATENATE(""Volume "",REGEXEXTRACT(A107,""[\d]+""),"", Number "",RIGHT(A107,LEN(A107) - 19))"),"Volume 21, Number 24")</f>
        <v>Volume 21, Number 24</v>
      </c>
      <c r="F107" s="3" t="s">
        <v>480</v>
      </c>
      <c r="G107" s="30">
        <v>36338</v>
      </c>
      <c r="H107" s="1" t="s">
        <v>280</v>
      </c>
      <c r="I107" s="2" t="s">
        <v>26</v>
      </c>
      <c r="J107" s="1" t="s">
        <v>27</v>
      </c>
      <c r="K107" s="1" t="s">
        <v>28</v>
      </c>
      <c r="L107" s="1" t="s">
        <v>29</v>
      </c>
      <c r="M107" s="1" t="s">
        <v>30</v>
      </c>
      <c r="N107" s="2" t="s">
        <v>481</v>
      </c>
      <c r="O107" s="2"/>
      <c r="P107" s="2"/>
      <c r="Q107" s="2" t="s">
        <v>32</v>
      </c>
      <c r="R107" s="1" t="s">
        <v>33</v>
      </c>
      <c r="S107" s="1" t="s">
        <v>34</v>
      </c>
      <c r="T107" s="2" t="s">
        <v>35</v>
      </c>
      <c r="U107" s="6" t="s">
        <v>36</v>
      </c>
    </row>
    <row r="108" spans="1:21" ht="140" x14ac:dyDescent="0.15">
      <c r="A108" s="4" t="s">
        <v>482</v>
      </c>
      <c r="B108" s="1" t="s">
        <v>483</v>
      </c>
      <c r="C108" s="1" t="s">
        <v>272</v>
      </c>
      <c r="D108" s="2" t="s">
        <v>484</v>
      </c>
      <c r="E108" s="19" t="str">
        <f ca="1">IFERROR(__xludf.DUMMYFUNCTION("CONCATENATE(""Volume "",REGEXEXTRACT(A108,""[\d]+""),"", Number "",RIGHT(A108,LEN(A108) - 19))"),"Volume 21, Number 25")</f>
        <v>Volume 21, Number 25</v>
      </c>
      <c r="F108" s="3" t="s">
        <v>485</v>
      </c>
      <c r="G108" s="30">
        <v>36373</v>
      </c>
      <c r="H108" s="1" t="s">
        <v>25</v>
      </c>
      <c r="I108" s="2" t="s">
        <v>26</v>
      </c>
      <c r="J108" s="1" t="s">
        <v>27</v>
      </c>
      <c r="K108" s="1" t="s">
        <v>28</v>
      </c>
      <c r="L108" s="1" t="s">
        <v>29</v>
      </c>
      <c r="N108" s="2"/>
      <c r="O108" s="2"/>
      <c r="P108" s="2"/>
      <c r="Q108" s="2" t="s">
        <v>32</v>
      </c>
      <c r="R108" s="1" t="s">
        <v>33</v>
      </c>
      <c r="S108" s="1" t="s">
        <v>34</v>
      </c>
      <c r="T108" s="2" t="s">
        <v>35</v>
      </c>
      <c r="U108" s="7" t="s">
        <v>36</v>
      </c>
    </row>
    <row r="109" spans="1:21" ht="28" x14ac:dyDescent="0.15">
      <c r="A109" s="4" t="s">
        <v>486</v>
      </c>
      <c r="B109" s="1" t="s">
        <v>487</v>
      </c>
      <c r="C109" s="1" t="s">
        <v>272</v>
      </c>
      <c r="D109" s="21"/>
      <c r="E109" s="19" t="str">
        <f ca="1">IFERROR(__xludf.DUMMYFUNCTION("CONCATENATE(""Volume "",REGEXEXTRACT(A109,""[\d]+""),"", Number "",RIGHT(A109,LEN(A109) - 19))"),"Volume 21, Number 3")</f>
        <v>Volume 21, Number 3</v>
      </c>
      <c r="F109" s="3" t="s">
        <v>488</v>
      </c>
      <c r="G109" s="30">
        <v>36067</v>
      </c>
      <c r="H109" s="1" t="s">
        <v>317</v>
      </c>
      <c r="I109" s="2" t="s">
        <v>26</v>
      </c>
      <c r="J109" s="1" t="s">
        <v>27</v>
      </c>
      <c r="K109" s="1" t="s">
        <v>28</v>
      </c>
      <c r="L109" s="1" t="s">
        <v>29</v>
      </c>
      <c r="M109" s="1" t="s">
        <v>179</v>
      </c>
      <c r="N109" s="2"/>
      <c r="O109" s="2"/>
      <c r="P109" s="2"/>
      <c r="Q109" s="2" t="s">
        <v>32</v>
      </c>
      <c r="R109" s="1" t="s">
        <v>33</v>
      </c>
      <c r="S109" s="1" t="s">
        <v>34</v>
      </c>
      <c r="T109" s="2" t="s">
        <v>35</v>
      </c>
      <c r="U109" s="8" t="s">
        <v>36</v>
      </c>
    </row>
    <row r="110" spans="1:21" ht="28" x14ac:dyDescent="0.15">
      <c r="A110" s="4" t="s">
        <v>489</v>
      </c>
      <c r="B110" s="1" t="s">
        <v>490</v>
      </c>
      <c r="C110" s="1" t="s">
        <v>272</v>
      </c>
      <c r="D110" s="21"/>
      <c r="E110" s="19" t="str">
        <f ca="1">IFERROR(__xludf.DUMMYFUNCTION("CONCATENATE(""Volume "",REGEXEXTRACT(A110,""[\d]+""),"", Number "",RIGHT(A110,LEN(A110) - 19))"),"Volume 21, Number 4")</f>
        <v>Volume 21, Number 4</v>
      </c>
      <c r="F110" s="3" t="s">
        <v>491</v>
      </c>
      <c r="G110" s="30">
        <v>36074</v>
      </c>
      <c r="H110" s="1" t="s">
        <v>317</v>
      </c>
      <c r="I110" s="2" t="s">
        <v>26</v>
      </c>
      <c r="J110" s="1" t="s">
        <v>27</v>
      </c>
      <c r="K110" s="1" t="s">
        <v>28</v>
      </c>
      <c r="L110" s="1" t="s">
        <v>29</v>
      </c>
      <c r="M110" s="1" t="s">
        <v>54</v>
      </c>
      <c r="N110" s="2"/>
      <c r="O110" s="2"/>
      <c r="P110" s="2"/>
      <c r="Q110" s="2" t="s">
        <v>32</v>
      </c>
      <c r="R110" s="1" t="s">
        <v>33</v>
      </c>
      <c r="S110" s="1" t="s">
        <v>34</v>
      </c>
      <c r="T110" s="2" t="s">
        <v>35</v>
      </c>
      <c r="U110" s="6" t="s">
        <v>36</v>
      </c>
    </row>
    <row r="111" spans="1:21" ht="28" x14ac:dyDescent="0.15">
      <c r="A111" s="4" t="s">
        <v>492</v>
      </c>
      <c r="B111" s="1" t="s">
        <v>493</v>
      </c>
      <c r="C111" s="1" t="s">
        <v>272</v>
      </c>
      <c r="D111" s="21"/>
      <c r="E111" s="19" t="str">
        <f ca="1">IFERROR(__xludf.DUMMYFUNCTION("CONCATENATE(""Volume "",REGEXEXTRACT(A111,""[\d]+""),"", Number "",RIGHT(A111,LEN(A111) - 19))"),"Volume 21, Number 5")</f>
        <v>Volume 21, Number 5</v>
      </c>
      <c r="F111" s="3" t="s">
        <v>494</v>
      </c>
      <c r="G111" s="30">
        <v>36081</v>
      </c>
      <c r="H111" s="1" t="s">
        <v>317</v>
      </c>
      <c r="I111" s="2" t="s">
        <v>26</v>
      </c>
      <c r="J111" s="1" t="s">
        <v>27</v>
      </c>
      <c r="K111" s="1" t="s">
        <v>28</v>
      </c>
      <c r="L111" s="1" t="s">
        <v>29</v>
      </c>
      <c r="M111" s="1" t="s">
        <v>80</v>
      </c>
      <c r="N111" s="2" t="s">
        <v>48</v>
      </c>
      <c r="O111" s="2"/>
      <c r="P111" s="2"/>
      <c r="Q111" s="2" t="s">
        <v>32</v>
      </c>
      <c r="R111" s="1" t="s">
        <v>33</v>
      </c>
      <c r="S111" s="1" t="s">
        <v>34</v>
      </c>
      <c r="T111" s="2" t="s">
        <v>35</v>
      </c>
      <c r="U111" s="7" t="s">
        <v>36</v>
      </c>
    </row>
    <row r="112" spans="1:21" ht="28" x14ac:dyDescent="0.15">
      <c r="A112" s="4" t="s">
        <v>495</v>
      </c>
      <c r="B112" s="1" t="s">
        <v>496</v>
      </c>
      <c r="C112" s="1" t="s">
        <v>272</v>
      </c>
      <c r="D112" s="21"/>
      <c r="E112" s="19" t="str">
        <f ca="1">IFERROR(__xludf.DUMMYFUNCTION("CONCATENATE(""Volume "",REGEXEXTRACT(A112,""[\d]+""),"", Number "",RIGHT(A112,LEN(A112) - 19))"),"Volume 21, Number 6")</f>
        <v>Volume 21, Number 6</v>
      </c>
      <c r="F112" s="3" t="s">
        <v>497</v>
      </c>
      <c r="G112" s="30">
        <v>36095</v>
      </c>
      <c r="H112" s="1" t="s">
        <v>280</v>
      </c>
      <c r="I112" s="2" t="s">
        <v>26</v>
      </c>
      <c r="J112" s="1" t="s">
        <v>27</v>
      </c>
      <c r="K112" s="1" t="s">
        <v>28</v>
      </c>
      <c r="L112" s="1" t="s">
        <v>29</v>
      </c>
      <c r="M112" s="1" t="s">
        <v>30</v>
      </c>
      <c r="N112" s="2"/>
      <c r="O112" s="2"/>
      <c r="P112" s="2"/>
      <c r="Q112" s="2" t="s">
        <v>32</v>
      </c>
      <c r="R112" s="1" t="s">
        <v>33</v>
      </c>
      <c r="S112" s="1" t="s">
        <v>34</v>
      </c>
      <c r="T112" s="2" t="s">
        <v>35</v>
      </c>
      <c r="U112" s="8" t="s">
        <v>36</v>
      </c>
    </row>
    <row r="113" spans="1:21" ht="28" x14ac:dyDescent="0.15">
      <c r="A113" s="4" t="s">
        <v>498</v>
      </c>
      <c r="B113" s="1" t="s">
        <v>499</v>
      </c>
      <c r="C113" s="1" t="s">
        <v>272</v>
      </c>
      <c r="D113" s="21"/>
      <c r="E113" s="19" t="str">
        <f ca="1">IFERROR(__xludf.DUMMYFUNCTION("CONCATENATE(""Volume "",REGEXEXTRACT(A113,""[\d]+""),"", Number "",RIGHT(A113,LEN(A113) - 19))"),"Volume 21, Number 7")</f>
        <v>Volume 21, Number 7</v>
      </c>
      <c r="F113" s="3" t="s">
        <v>500</v>
      </c>
      <c r="G113" s="30">
        <v>36102</v>
      </c>
      <c r="H113" s="1" t="s">
        <v>317</v>
      </c>
      <c r="I113" s="2" t="s">
        <v>26</v>
      </c>
      <c r="J113" s="1" t="s">
        <v>27</v>
      </c>
      <c r="K113" s="1" t="s">
        <v>28</v>
      </c>
      <c r="L113" s="1" t="s">
        <v>29</v>
      </c>
      <c r="M113" s="1" t="s">
        <v>54</v>
      </c>
      <c r="N113" s="2" t="s">
        <v>179</v>
      </c>
      <c r="O113" s="2" t="s">
        <v>48</v>
      </c>
      <c r="P113" s="2"/>
      <c r="Q113" s="2" t="s">
        <v>32</v>
      </c>
      <c r="R113" s="1" t="s">
        <v>33</v>
      </c>
      <c r="S113" s="1" t="s">
        <v>34</v>
      </c>
      <c r="T113" s="2" t="s">
        <v>35</v>
      </c>
      <c r="U113" s="6" t="s">
        <v>36</v>
      </c>
    </row>
    <row r="114" spans="1:21" ht="28" x14ac:dyDescent="0.15">
      <c r="A114" s="4" t="s">
        <v>501</v>
      </c>
      <c r="B114" s="20" t="s">
        <v>502</v>
      </c>
      <c r="C114" s="1" t="s">
        <v>272</v>
      </c>
      <c r="D114" s="21"/>
      <c r="E114" s="19" t="str">
        <f ca="1">IFERROR(__xludf.DUMMYFUNCTION("CONCATENATE(""Volume "",REGEXEXTRACT(A114,""[\d]+""),"", Number "",RIGHT(A114,LEN(A114) - 19))"),"Volume 21, Number 8")</f>
        <v>Volume 21, Number 8</v>
      </c>
      <c r="F114" s="3" t="s">
        <v>503</v>
      </c>
      <c r="G114" s="30">
        <v>36109</v>
      </c>
      <c r="H114" s="1" t="s">
        <v>317</v>
      </c>
      <c r="I114" s="2" t="s">
        <v>26</v>
      </c>
      <c r="J114" s="1" t="s">
        <v>27</v>
      </c>
      <c r="K114" s="1" t="s">
        <v>28</v>
      </c>
      <c r="L114" s="1" t="s">
        <v>29</v>
      </c>
      <c r="M114" s="1" t="s">
        <v>179</v>
      </c>
      <c r="N114" s="2" t="s">
        <v>49</v>
      </c>
      <c r="O114" s="2"/>
      <c r="P114" s="2"/>
      <c r="Q114" s="2" t="s">
        <v>32</v>
      </c>
      <c r="R114" s="1" t="s">
        <v>33</v>
      </c>
      <c r="S114" s="1" t="s">
        <v>34</v>
      </c>
      <c r="T114" s="2" t="s">
        <v>35</v>
      </c>
      <c r="U114" s="7" t="s">
        <v>36</v>
      </c>
    </row>
    <row r="115" spans="1:21" ht="28" x14ac:dyDescent="0.15">
      <c r="A115" s="4" t="s">
        <v>504</v>
      </c>
      <c r="B115" s="20" t="s">
        <v>505</v>
      </c>
      <c r="C115" s="1" t="s">
        <v>272</v>
      </c>
      <c r="D115" s="21"/>
      <c r="E115" s="19" t="str">
        <f ca="1">IFERROR(__xludf.DUMMYFUNCTION("CONCATENATE(""Volume "",REGEXEXTRACT(A115,""[\d]+""),"", Number "",RIGHT(A115,LEN(A115) - 19))"),"Volume 21, Number 9")</f>
        <v>Volume 21, Number 9</v>
      </c>
      <c r="F115" s="3" t="s">
        <v>506</v>
      </c>
      <c r="G115" s="30">
        <v>36116</v>
      </c>
      <c r="H115" s="1" t="s">
        <v>317</v>
      </c>
      <c r="I115" s="2" t="s">
        <v>26</v>
      </c>
      <c r="J115" s="1" t="s">
        <v>27</v>
      </c>
      <c r="K115" s="1" t="s">
        <v>28</v>
      </c>
      <c r="L115" s="1" t="s">
        <v>29</v>
      </c>
      <c r="M115" s="1" t="s">
        <v>54</v>
      </c>
      <c r="N115" s="2"/>
      <c r="O115" s="2"/>
      <c r="P115" s="2"/>
      <c r="Q115" s="2" t="s">
        <v>32</v>
      </c>
      <c r="R115" s="1" t="s">
        <v>33</v>
      </c>
      <c r="S115" s="1" t="s">
        <v>34</v>
      </c>
      <c r="T115" s="2" t="s">
        <v>35</v>
      </c>
      <c r="U115" s="8" t="s">
        <v>36</v>
      </c>
    </row>
    <row r="116" spans="1:21" ht="112" x14ac:dyDescent="0.15">
      <c r="A116" s="4" t="s">
        <v>507</v>
      </c>
      <c r="B116" s="24" t="s">
        <v>508</v>
      </c>
      <c r="C116" s="1" t="s">
        <v>272</v>
      </c>
      <c r="D116" s="2" t="s">
        <v>509</v>
      </c>
      <c r="E116" s="19" t="str">
        <f ca="1">IFERROR(__xludf.DUMMYFUNCTION("CONCATENATE(""Volume "",REGEXEXTRACT(A116,""[\d]+""),"", Number "",RIGHT(A116,LEN(A116) - 19))"),"Volume 22, Number 1")</f>
        <v>Volume 22, Number 1</v>
      </c>
      <c r="F116" s="3" t="s">
        <v>510</v>
      </c>
      <c r="G116" s="30">
        <v>36046</v>
      </c>
      <c r="H116" s="1" t="s">
        <v>280</v>
      </c>
      <c r="I116" s="2" t="s">
        <v>26</v>
      </c>
      <c r="J116" s="1" t="s">
        <v>27</v>
      </c>
      <c r="K116" s="1" t="s">
        <v>28</v>
      </c>
      <c r="L116" s="1" t="s">
        <v>29</v>
      </c>
      <c r="N116" s="2"/>
      <c r="O116" s="2"/>
      <c r="P116" s="2"/>
      <c r="Q116" s="2" t="s">
        <v>32</v>
      </c>
      <c r="R116" s="1" t="s">
        <v>33</v>
      </c>
      <c r="S116" s="1" t="s">
        <v>34</v>
      </c>
      <c r="T116" s="2" t="s">
        <v>35</v>
      </c>
      <c r="U116" s="6" t="s">
        <v>36</v>
      </c>
    </row>
    <row r="117" spans="1:21" ht="140" x14ac:dyDescent="0.15">
      <c r="A117" s="4" t="s">
        <v>511</v>
      </c>
      <c r="B117" s="24" t="s">
        <v>512</v>
      </c>
      <c r="C117" s="1" t="s">
        <v>272</v>
      </c>
      <c r="D117" s="2" t="s">
        <v>513</v>
      </c>
      <c r="E117" s="19" t="str">
        <f ca="1">IFERROR(__xludf.DUMMYFUNCTION("CONCATENATE(""Volume "",REGEXEXTRACT(A117,""[\d]+""),"", Number "",RIGHT(A117,LEN(A117) - 19))"),"Volume 22, Number 10")</f>
        <v>Volume 22, Number 10</v>
      </c>
      <c r="F117" s="3" t="s">
        <v>514</v>
      </c>
      <c r="G117" s="30">
        <v>36487</v>
      </c>
      <c r="H117" s="1" t="s">
        <v>515</v>
      </c>
      <c r="I117" s="2" t="s">
        <v>26</v>
      </c>
      <c r="J117" s="1" t="s">
        <v>27</v>
      </c>
      <c r="K117" s="1" t="s">
        <v>28</v>
      </c>
      <c r="L117" s="1" t="s">
        <v>30</v>
      </c>
      <c r="M117" s="1" t="s">
        <v>29</v>
      </c>
      <c r="N117" s="2"/>
      <c r="O117" s="2"/>
      <c r="P117" s="2"/>
      <c r="Q117" s="2" t="s">
        <v>32</v>
      </c>
      <c r="R117" s="1" t="s">
        <v>33</v>
      </c>
      <c r="S117" s="1" t="s">
        <v>34</v>
      </c>
      <c r="T117" s="2" t="s">
        <v>35</v>
      </c>
      <c r="U117" s="7" t="s">
        <v>36</v>
      </c>
    </row>
    <row r="118" spans="1:21" ht="140" x14ac:dyDescent="0.15">
      <c r="A118" s="4" t="s">
        <v>516</v>
      </c>
      <c r="B118" s="24" t="s">
        <v>517</v>
      </c>
      <c r="C118" s="1" t="s">
        <v>272</v>
      </c>
      <c r="D118" s="2" t="s">
        <v>518</v>
      </c>
      <c r="E118" s="19" t="str">
        <f ca="1">IFERROR(__xludf.DUMMYFUNCTION("CONCATENATE(""Volume "",REGEXEXTRACT(A118,""[\d]+""),"", Number "",RIGHT(A118,LEN(A118) - 19))"),"Volume 22, Number 11")</f>
        <v>Volume 22, Number 11</v>
      </c>
      <c r="F118" s="3" t="s">
        <v>519</v>
      </c>
      <c r="G118" s="30">
        <v>36501</v>
      </c>
      <c r="H118" s="1" t="s">
        <v>25</v>
      </c>
      <c r="I118" s="2" t="s">
        <v>26</v>
      </c>
      <c r="J118" s="1" t="s">
        <v>27</v>
      </c>
      <c r="K118" s="1" t="s">
        <v>28</v>
      </c>
      <c r="L118" s="1" t="s">
        <v>75</v>
      </c>
      <c r="M118" s="1" t="s">
        <v>30</v>
      </c>
      <c r="N118" s="2" t="s">
        <v>29</v>
      </c>
      <c r="O118" s="2"/>
      <c r="P118" s="2"/>
      <c r="Q118" s="2" t="s">
        <v>32</v>
      </c>
      <c r="R118" s="1" t="s">
        <v>33</v>
      </c>
      <c r="S118" s="1" t="s">
        <v>34</v>
      </c>
      <c r="T118" s="2" t="s">
        <v>35</v>
      </c>
      <c r="U118" s="8" t="s">
        <v>36</v>
      </c>
    </row>
    <row r="119" spans="1:21" ht="140" x14ac:dyDescent="0.15">
      <c r="A119" s="4" t="s">
        <v>520</v>
      </c>
      <c r="B119" s="24" t="s">
        <v>521</v>
      </c>
      <c r="C119" s="1" t="s">
        <v>272</v>
      </c>
      <c r="D119" s="2" t="s">
        <v>522</v>
      </c>
      <c r="E119" s="19" t="str">
        <f ca="1">IFERROR(__xludf.DUMMYFUNCTION("CONCATENATE(""Volume "",REGEXEXTRACT(A119,""[\d]+""),"", Number "",RIGHT(A119,LEN(A119) - 19))"),"Volume 22, Number 12")</f>
        <v>Volume 22, Number 12</v>
      </c>
      <c r="F119" s="3" t="s">
        <v>523</v>
      </c>
      <c r="G119" s="30">
        <v>36522</v>
      </c>
      <c r="H119" s="1" t="s">
        <v>515</v>
      </c>
      <c r="I119" s="2" t="s">
        <v>26</v>
      </c>
      <c r="J119" s="1" t="s">
        <v>27</v>
      </c>
      <c r="K119" s="1" t="s">
        <v>28</v>
      </c>
      <c r="L119" s="1" t="s">
        <v>30</v>
      </c>
      <c r="M119" s="1" t="s">
        <v>29</v>
      </c>
      <c r="N119" s="2"/>
      <c r="O119" s="2"/>
      <c r="P119" s="2"/>
      <c r="Q119" s="2" t="s">
        <v>32</v>
      </c>
      <c r="R119" s="1" t="s">
        <v>33</v>
      </c>
      <c r="S119" s="1" t="s">
        <v>34</v>
      </c>
      <c r="T119" s="2" t="s">
        <v>35</v>
      </c>
      <c r="U119" s="6" t="s">
        <v>36</v>
      </c>
    </row>
    <row r="120" spans="1:21" ht="140" x14ac:dyDescent="0.15">
      <c r="A120" s="4" t="s">
        <v>524</v>
      </c>
      <c r="B120" s="24" t="s">
        <v>525</v>
      </c>
      <c r="C120" s="1" t="s">
        <v>272</v>
      </c>
      <c r="D120" s="2" t="s">
        <v>526</v>
      </c>
      <c r="E120" s="19" t="str">
        <f ca="1">IFERROR(__xludf.DUMMYFUNCTION("CONCATENATE(""Volume "",REGEXEXTRACT(A120,""[\d]+""),"", Number "",RIGHT(A120,LEN(A120) - 19))"),"Volume 22, Number 13")</f>
        <v>Volume 22, Number 13</v>
      </c>
      <c r="F120" s="3" t="s">
        <v>527</v>
      </c>
      <c r="G120" s="30">
        <v>36537</v>
      </c>
      <c r="H120" s="1" t="s">
        <v>528</v>
      </c>
      <c r="I120" s="2" t="s">
        <v>26</v>
      </c>
      <c r="J120" s="1" t="s">
        <v>27</v>
      </c>
      <c r="K120" s="1" t="s">
        <v>28</v>
      </c>
      <c r="L120" s="1" t="s">
        <v>80</v>
      </c>
      <c r="M120" s="1" t="s">
        <v>30</v>
      </c>
      <c r="N120" s="2" t="s">
        <v>29</v>
      </c>
      <c r="O120" s="2"/>
      <c r="P120" s="2"/>
      <c r="Q120" s="2" t="s">
        <v>32</v>
      </c>
      <c r="R120" s="1" t="s">
        <v>33</v>
      </c>
      <c r="S120" s="1" t="s">
        <v>34</v>
      </c>
      <c r="T120" s="2" t="s">
        <v>35</v>
      </c>
      <c r="U120" s="7" t="s">
        <v>36</v>
      </c>
    </row>
    <row r="121" spans="1:21" ht="98" x14ac:dyDescent="0.15">
      <c r="A121" s="4" t="s">
        <v>529</v>
      </c>
      <c r="B121" s="24" t="s">
        <v>530</v>
      </c>
      <c r="C121" s="1" t="s">
        <v>272</v>
      </c>
      <c r="D121" s="2" t="s">
        <v>531</v>
      </c>
      <c r="E121" s="19" t="str">
        <f ca="1">IFERROR(__xludf.DUMMYFUNCTION("CONCATENATE(""Volume "",REGEXEXTRACT(A121,""[\d]+""),"", Number "",RIGHT(A121,LEN(A121) - 19))"),"Volume 22, Number 14")</f>
        <v>Volume 22, Number 14</v>
      </c>
      <c r="F121" s="3" t="s">
        <v>532</v>
      </c>
      <c r="G121" s="30">
        <v>36546</v>
      </c>
      <c r="H121" s="1" t="s">
        <v>317</v>
      </c>
      <c r="I121" s="2" t="s">
        <v>26</v>
      </c>
      <c r="J121" s="1" t="s">
        <v>27</v>
      </c>
      <c r="K121" s="1" t="s">
        <v>28</v>
      </c>
      <c r="L121" s="1" t="s">
        <v>179</v>
      </c>
      <c r="M121" s="1" t="s">
        <v>30</v>
      </c>
      <c r="N121" s="25" t="s">
        <v>533</v>
      </c>
      <c r="O121" s="2"/>
      <c r="P121" s="2"/>
      <c r="Q121" s="2" t="s">
        <v>32</v>
      </c>
      <c r="R121" s="1" t="s">
        <v>33</v>
      </c>
      <c r="S121" s="1" t="s">
        <v>34</v>
      </c>
      <c r="T121" s="2" t="s">
        <v>35</v>
      </c>
      <c r="U121" s="8" t="s">
        <v>36</v>
      </c>
    </row>
    <row r="122" spans="1:21" ht="98" x14ac:dyDescent="0.15">
      <c r="A122" s="4" t="s">
        <v>534</v>
      </c>
      <c r="B122" s="24" t="s">
        <v>535</v>
      </c>
      <c r="C122" s="1" t="s">
        <v>272</v>
      </c>
      <c r="D122" s="2" t="s">
        <v>536</v>
      </c>
      <c r="E122" s="19" t="str">
        <f ca="1">IFERROR(__xludf.DUMMYFUNCTION("CONCATENATE(""Volume "",REGEXEXTRACT(A122,""[\d]+""),"", Number "",RIGHT(A122,LEN(A122) - 19))"),"Volume 22, Number 15")</f>
        <v>Volume 22, Number 15</v>
      </c>
      <c r="F122" s="3" t="s">
        <v>537</v>
      </c>
      <c r="G122" s="30">
        <v>36564</v>
      </c>
      <c r="H122" s="1" t="s">
        <v>280</v>
      </c>
      <c r="I122" s="2" t="s">
        <v>26</v>
      </c>
      <c r="J122" s="1" t="s">
        <v>27</v>
      </c>
      <c r="K122" s="1" t="s">
        <v>28</v>
      </c>
      <c r="L122" s="1" t="s">
        <v>30</v>
      </c>
      <c r="M122" s="1" t="s">
        <v>80</v>
      </c>
      <c r="N122" s="2" t="s">
        <v>29</v>
      </c>
      <c r="O122" s="2"/>
      <c r="P122" s="2"/>
      <c r="Q122" s="2" t="s">
        <v>32</v>
      </c>
      <c r="R122" s="1" t="s">
        <v>33</v>
      </c>
      <c r="S122" s="1" t="s">
        <v>34</v>
      </c>
      <c r="T122" s="2" t="s">
        <v>35</v>
      </c>
      <c r="U122" s="6" t="s">
        <v>36</v>
      </c>
    </row>
    <row r="123" spans="1:21" ht="98" x14ac:dyDescent="0.15">
      <c r="A123" s="4" t="s">
        <v>538</v>
      </c>
      <c r="B123" s="24" t="s">
        <v>539</v>
      </c>
      <c r="C123" s="1" t="s">
        <v>272</v>
      </c>
      <c r="D123" s="2" t="s">
        <v>540</v>
      </c>
      <c r="E123" s="19" t="str">
        <f ca="1">IFERROR(__xludf.DUMMYFUNCTION("CONCATENATE(""Volume "",REGEXEXTRACT(A123,""[\d]+""),"", Number "",RIGHT(A123,LEN(A123) - 19))"),"Volume 22, Number 16")</f>
        <v>Volume 22, Number 16</v>
      </c>
      <c r="F123" s="3" t="s">
        <v>541</v>
      </c>
      <c r="G123" s="30">
        <v>36581</v>
      </c>
      <c r="H123" s="1" t="s">
        <v>317</v>
      </c>
      <c r="I123" s="2" t="s">
        <v>26</v>
      </c>
      <c r="J123" s="1" t="s">
        <v>27</v>
      </c>
      <c r="K123" s="1" t="s">
        <v>28</v>
      </c>
      <c r="L123" s="1" t="s">
        <v>30</v>
      </c>
      <c r="M123" s="1" t="s">
        <v>75</v>
      </c>
      <c r="N123" s="2"/>
      <c r="O123" s="2"/>
      <c r="P123" s="2"/>
      <c r="Q123" s="2" t="s">
        <v>32</v>
      </c>
      <c r="R123" s="1" t="s">
        <v>33</v>
      </c>
      <c r="S123" s="1" t="s">
        <v>34</v>
      </c>
      <c r="T123" s="2" t="s">
        <v>35</v>
      </c>
      <c r="U123" s="7" t="s">
        <v>36</v>
      </c>
    </row>
    <row r="124" spans="1:21" ht="168" x14ac:dyDescent="0.15">
      <c r="A124" s="4" t="s">
        <v>542</v>
      </c>
      <c r="B124" s="24" t="s">
        <v>543</v>
      </c>
      <c r="C124" s="1" t="s">
        <v>272</v>
      </c>
      <c r="D124" s="2" t="s">
        <v>544</v>
      </c>
      <c r="E124" s="19" t="str">
        <f ca="1">IFERROR(__xludf.DUMMYFUNCTION("CONCATENATE(""Volume "",REGEXEXTRACT(A124,""[\d]+""),"", Number "",RIGHT(A124,LEN(A124) - 19))"),"Volume 22, Number 17")</f>
        <v>Volume 22, Number 17</v>
      </c>
      <c r="F124" s="3" t="s">
        <v>545</v>
      </c>
      <c r="G124" s="30">
        <v>36605</v>
      </c>
      <c r="H124" s="1" t="s">
        <v>25</v>
      </c>
      <c r="I124" s="2" t="s">
        <v>26</v>
      </c>
      <c r="J124" s="1" t="s">
        <v>27</v>
      </c>
      <c r="K124" s="1" t="s">
        <v>28</v>
      </c>
      <c r="L124" s="1" t="s">
        <v>54</v>
      </c>
      <c r="M124" s="1" t="s">
        <v>80</v>
      </c>
      <c r="N124" s="2" t="s">
        <v>30</v>
      </c>
      <c r="O124" s="2" t="s">
        <v>75</v>
      </c>
      <c r="P124" s="2"/>
      <c r="Q124" s="2" t="s">
        <v>32</v>
      </c>
      <c r="R124" s="1" t="s">
        <v>33</v>
      </c>
      <c r="S124" s="1" t="s">
        <v>34</v>
      </c>
      <c r="T124" s="2" t="s">
        <v>35</v>
      </c>
      <c r="U124" s="8" t="s">
        <v>36</v>
      </c>
    </row>
    <row r="125" spans="1:21" ht="126" x14ac:dyDescent="0.15">
      <c r="A125" s="4" t="s">
        <v>546</v>
      </c>
      <c r="B125" s="24" t="s">
        <v>547</v>
      </c>
      <c r="C125" s="1" t="s">
        <v>272</v>
      </c>
      <c r="D125" s="2" t="s">
        <v>548</v>
      </c>
      <c r="E125" s="19" t="str">
        <f ca="1">IFERROR(__xludf.DUMMYFUNCTION("CONCATENATE(""Volume "",REGEXEXTRACT(A125,""[\d]+""),"", Number "",RIGHT(A125,LEN(A125) - 19))"),"Volume 22, Number 18")</f>
        <v>Volume 22, Number 18</v>
      </c>
      <c r="F125" s="3" t="s">
        <v>549</v>
      </c>
      <c r="G125" s="30">
        <v>36619</v>
      </c>
      <c r="H125" s="1" t="s">
        <v>280</v>
      </c>
      <c r="I125" s="2" t="s">
        <v>26</v>
      </c>
      <c r="J125" s="1" t="s">
        <v>27</v>
      </c>
      <c r="K125" s="1" t="s">
        <v>28</v>
      </c>
      <c r="L125" s="1" t="s">
        <v>75</v>
      </c>
      <c r="M125" s="1" t="s">
        <v>30</v>
      </c>
      <c r="N125" s="2" t="s">
        <v>69</v>
      </c>
      <c r="O125" s="2" t="s">
        <v>179</v>
      </c>
      <c r="P125" s="2" t="s">
        <v>54</v>
      </c>
      <c r="Q125" s="2" t="s">
        <v>32</v>
      </c>
      <c r="R125" s="1" t="s">
        <v>33</v>
      </c>
      <c r="S125" s="1" t="s">
        <v>34</v>
      </c>
      <c r="T125" s="2" t="s">
        <v>35</v>
      </c>
      <c r="U125" s="6" t="s">
        <v>36</v>
      </c>
    </row>
    <row r="126" spans="1:21" ht="84" x14ac:dyDescent="0.15">
      <c r="A126" s="4" t="s">
        <v>550</v>
      </c>
      <c r="B126" s="24" t="s">
        <v>551</v>
      </c>
      <c r="C126" s="1" t="s">
        <v>272</v>
      </c>
      <c r="D126" s="2" t="s">
        <v>552</v>
      </c>
      <c r="E126" s="19" t="str">
        <f ca="1">IFERROR(__xludf.DUMMYFUNCTION("CONCATENATE(""Volume "",REGEXEXTRACT(A126,""[\d]+""),"", Number "",RIGHT(A126,LEN(A126) - 19))"),"Volume 22, Number 19")</f>
        <v>Volume 22, Number 19</v>
      </c>
      <c r="F126" s="3" t="s">
        <v>553</v>
      </c>
      <c r="G126" s="30">
        <v>36627</v>
      </c>
      <c r="H126" s="1" t="s">
        <v>317</v>
      </c>
      <c r="I126" s="2" t="s">
        <v>26</v>
      </c>
      <c r="J126" s="1" t="s">
        <v>27</v>
      </c>
      <c r="K126" s="1" t="s">
        <v>28</v>
      </c>
      <c r="L126" s="1" t="s">
        <v>179</v>
      </c>
      <c r="M126" s="1" t="s">
        <v>75</v>
      </c>
      <c r="N126" s="2" t="s">
        <v>30</v>
      </c>
      <c r="O126" s="2" t="s">
        <v>80</v>
      </c>
      <c r="P126" s="2"/>
      <c r="Q126" s="2" t="s">
        <v>32</v>
      </c>
      <c r="R126" s="1" t="s">
        <v>33</v>
      </c>
      <c r="S126" s="1" t="s">
        <v>34</v>
      </c>
      <c r="T126" s="2" t="s">
        <v>35</v>
      </c>
      <c r="U126" s="7" t="s">
        <v>36</v>
      </c>
    </row>
    <row r="127" spans="1:21" ht="154" x14ac:dyDescent="0.15">
      <c r="A127" s="4" t="s">
        <v>554</v>
      </c>
      <c r="B127" s="24" t="s">
        <v>555</v>
      </c>
      <c r="C127" s="1" t="s">
        <v>272</v>
      </c>
      <c r="D127" s="2" t="s">
        <v>556</v>
      </c>
      <c r="E127" s="19" t="str">
        <f ca="1">IFERROR(__xludf.DUMMYFUNCTION("CONCATENATE(""Volume "",REGEXEXTRACT(A127,""[\d]+""),"", Number "",RIGHT(A127,LEN(A127) - 19))"),"Volume 22, Number 2")</f>
        <v>Volume 22, Number 2</v>
      </c>
      <c r="F127" s="3" t="s">
        <v>557</v>
      </c>
      <c r="G127" s="30">
        <v>36424</v>
      </c>
      <c r="H127" s="1" t="s">
        <v>558</v>
      </c>
      <c r="I127" s="2" t="s">
        <v>26</v>
      </c>
      <c r="J127" s="1" t="s">
        <v>27</v>
      </c>
      <c r="K127" s="1" t="s">
        <v>28</v>
      </c>
      <c r="L127" s="1" t="s">
        <v>29</v>
      </c>
      <c r="M127" s="1" t="s">
        <v>30</v>
      </c>
      <c r="N127" s="2"/>
      <c r="O127" s="2"/>
      <c r="P127" s="2"/>
      <c r="Q127" s="2" t="s">
        <v>32</v>
      </c>
      <c r="R127" s="1" t="s">
        <v>33</v>
      </c>
      <c r="S127" s="1" t="s">
        <v>34</v>
      </c>
      <c r="T127" s="2" t="s">
        <v>35</v>
      </c>
      <c r="U127" s="8" t="s">
        <v>36</v>
      </c>
    </row>
    <row r="128" spans="1:21" ht="112" x14ac:dyDescent="0.15">
      <c r="A128" s="4" t="s">
        <v>559</v>
      </c>
      <c r="B128" s="24" t="s">
        <v>560</v>
      </c>
      <c r="C128" s="1" t="s">
        <v>272</v>
      </c>
      <c r="D128" s="2" t="s">
        <v>561</v>
      </c>
      <c r="E128" s="19" t="str">
        <f ca="1">IFERROR(__xludf.DUMMYFUNCTION("CONCATENATE(""Volume "",REGEXEXTRACT(A128,""[\d]+""),"", Number "",RIGHT(A128,LEN(A128) - 19))"),"Volume 22, Number 20")</f>
        <v>Volume 22, Number 20</v>
      </c>
      <c r="F128" s="3" t="s">
        <v>562</v>
      </c>
      <c r="G128" s="30">
        <v>36640</v>
      </c>
      <c r="H128" s="1" t="s">
        <v>280</v>
      </c>
      <c r="I128" s="2" t="s">
        <v>26</v>
      </c>
      <c r="J128" s="1" t="s">
        <v>27</v>
      </c>
      <c r="K128" s="1" t="s">
        <v>28</v>
      </c>
      <c r="L128" s="1" t="s">
        <v>30</v>
      </c>
      <c r="M128" s="1" t="s">
        <v>29</v>
      </c>
      <c r="N128" s="2" t="s">
        <v>80</v>
      </c>
      <c r="O128" s="2" t="s">
        <v>75</v>
      </c>
      <c r="P128" s="2"/>
      <c r="Q128" s="2" t="s">
        <v>32</v>
      </c>
      <c r="R128" s="1" t="s">
        <v>33</v>
      </c>
      <c r="S128" s="1" t="s">
        <v>34</v>
      </c>
      <c r="T128" s="2" t="s">
        <v>35</v>
      </c>
      <c r="U128" s="6" t="s">
        <v>36</v>
      </c>
    </row>
    <row r="129" spans="1:21" ht="112" x14ac:dyDescent="0.15">
      <c r="A129" s="4" t="s">
        <v>563</v>
      </c>
      <c r="B129" s="24" t="s">
        <v>564</v>
      </c>
      <c r="C129" s="1" t="s">
        <v>272</v>
      </c>
      <c r="D129" s="2" t="s">
        <v>565</v>
      </c>
      <c r="E129" s="19" t="str">
        <f ca="1">IFERROR(__xludf.DUMMYFUNCTION("CONCATENATE(""Volume "",REGEXEXTRACT(A129,""[\d]+""),"", Number "",RIGHT(A129,LEN(A129) - 19))"),"Volume 22, Number 21")</f>
        <v>Volume 22, Number 21</v>
      </c>
      <c r="F129" s="3" t="s">
        <v>566</v>
      </c>
      <c r="G129" s="30">
        <v>36668</v>
      </c>
      <c r="H129" s="1" t="s">
        <v>280</v>
      </c>
      <c r="I129" s="2" t="s">
        <v>26</v>
      </c>
      <c r="J129" s="1" t="s">
        <v>27</v>
      </c>
      <c r="K129" s="1" t="s">
        <v>28</v>
      </c>
      <c r="L129" s="1" t="s">
        <v>69</v>
      </c>
      <c r="M129" s="1" t="s">
        <v>179</v>
      </c>
      <c r="N129" s="2" t="s">
        <v>80</v>
      </c>
      <c r="O129" s="2" t="s">
        <v>48</v>
      </c>
      <c r="P129" s="2" t="s">
        <v>75</v>
      </c>
      <c r="Q129" s="2" t="s">
        <v>32</v>
      </c>
      <c r="R129" s="1" t="s">
        <v>33</v>
      </c>
      <c r="S129" s="1" t="s">
        <v>34</v>
      </c>
      <c r="T129" s="2" t="s">
        <v>35</v>
      </c>
      <c r="U129" s="7" t="s">
        <v>36</v>
      </c>
    </row>
    <row r="130" spans="1:21" ht="98" x14ac:dyDescent="0.15">
      <c r="A130" s="4" t="s">
        <v>567</v>
      </c>
      <c r="B130" s="24" t="s">
        <v>568</v>
      </c>
      <c r="C130" s="1" t="s">
        <v>272</v>
      </c>
      <c r="D130" s="2" t="s">
        <v>569</v>
      </c>
      <c r="E130" s="19" t="str">
        <f ca="1">IFERROR(__xludf.DUMMYFUNCTION("CONCATENATE(""Volume "",REGEXEXTRACT(A130,""[\d]+""),"", Number "",RIGHT(A130,LEN(A130) - 19))"),"Volume 22, Number 22")</f>
        <v>Volume 22, Number 22</v>
      </c>
      <c r="F130" s="3" t="s">
        <v>570</v>
      </c>
      <c r="G130" s="30">
        <v>36717</v>
      </c>
      <c r="H130" s="1" t="s">
        <v>317</v>
      </c>
      <c r="I130" s="2" t="s">
        <v>26</v>
      </c>
      <c r="J130" s="1" t="s">
        <v>27</v>
      </c>
      <c r="K130" s="1" t="s">
        <v>28</v>
      </c>
      <c r="L130" s="1" t="s">
        <v>179</v>
      </c>
      <c r="M130" s="1" t="s">
        <v>80</v>
      </c>
      <c r="N130" s="2" t="s">
        <v>48</v>
      </c>
      <c r="O130" s="2"/>
      <c r="P130" s="2"/>
      <c r="Q130" s="2" t="s">
        <v>32</v>
      </c>
      <c r="R130" s="1" t="s">
        <v>33</v>
      </c>
      <c r="S130" s="1" t="s">
        <v>34</v>
      </c>
      <c r="T130" s="2" t="s">
        <v>35</v>
      </c>
      <c r="U130" s="8" t="s">
        <v>36</v>
      </c>
    </row>
    <row r="131" spans="1:21" ht="70" x14ac:dyDescent="0.15">
      <c r="A131" s="4" t="s">
        <v>571</v>
      </c>
      <c r="B131" s="24" t="s">
        <v>572</v>
      </c>
      <c r="C131" s="1" t="s">
        <v>272</v>
      </c>
      <c r="D131" s="2" t="s">
        <v>573</v>
      </c>
      <c r="E131" s="19" t="str">
        <f ca="1">IFERROR(__xludf.DUMMYFUNCTION("CONCATENATE(""Volume "",REGEXEXTRACT(A131,""[\d]+""),"", Number "",RIGHT(A131,LEN(A131) - 19))"),"Volume 22, Number 23")</f>
        <v>Volume 22, Number 23</v>
      </c>
      <c r="F131" s="3" t="s">
        <v>574</v>
      </c>
      <c r="G131" s="30">
        <v>36738</v>
      </c>
      <c r="H131" s="1" t="s">
        <v>275</v>
      </c>
      <c r="I131" s="2" t="s">
        <v>26</v>
      </c>
      <c r="J131" s="1" t="s">
        <v>27</v>
      </c>
      <c r="K131" s="1" t="s">
        <v>28</v>
      </c>
      <c r="L131" s="1" t="s">
        <v>179</v>
      </c>
      <c r="M131" s="26" t="s">
        <v>533</v>
      </c>
      <c r="N131" s="2"/>
      <c r="O131" s="2"/>
      <c r="P131" s="2"/>
      <c r="Q131" s="2" t="s">
        <v>32</v>
      </c>
      <c r="R131" s="1" t="s">
        <v>33</v>
      </c>
      <c r="S131" s="1" t="s">
        <v>34</v>
      </c>
      <c r="T131" s="2" t="s">
        <v>35</v>
      </c>
      <c r="U131" s="6" t="s">
        <v>36</v>
      </c>
    </row>
    <row r="132" spans="1:21" ht="84" x14ac:dyDescent="0.15">
      <c r="A132" s="4" t="s">
        <v>575</v>
      </c>
      <c r="B132" s="24" t="s">
        <v>576</v>
      </c>
      <c r="C132" s="1" t="s">
        <v>272</v>
      </c>
      <c r="D132" s="2" t="s">
        <v>577</v>
      </c>
      <c r="E132" s="19" t="str">
        <f ca="1">IFERROR(__xludf.DUMMYFUNCTION("CONCATENATE(""Volume "",REGEXEXTRACT(A132,""[\d]+""),"", Number "",RIGHT(A132,LEN(A132) - 19))"),"Volume 22, Number 24")</f>
        <v>Volume 22, Number 24</v>
      </c>
      <c r="F132" s="3" t="s">
        <v>578</v>
      </c>
      <c r="G132" s="30">
        <v>36755</v>
      </c>
      <c r="H132" s="1" t="s">
        <v>317</v>
      </c>
      <c r="I132" s="2" t="s">
        <v>26</v>
      </c>
      <c r="J132" s="1" t="s">
        <v>27</v>
      </c>
      <c r="K132" s="1" t="s">
        <v>28</v>
      </c>
      <c r="L132" s="1" t="s">
        <v>49</v>
      </c>
      <c r="M132" s="1" t="s">
        <v>29</v>
      </c>
      <c r="N132" s="2"/>
      <c r="O132" s="2"/>
      <c r="P132" s="2"/>
      <c r="Q132" s="2" t="s">
        <v>32</v>
      </c>
      <c r="R132" s="1" t="s">
        <v>33</v>
      </c>
      <c r="S132" s="1" t="s">
        <v>34</v>
      </c>
      <c r="T132" s="2" t="s">
        <v>35</v>
      </c>
      <c r="U132" s="7" t="s">
        <v>36</v>
      </c>
    </row>
    <row r="133" spans="1:21" ht="70" x14ac:dyDescent="0.15">
      <c r="A133" s="4" t="s">
        <v>579</v>
      </c>
      <c r="B133" s="24" t="s">
        <v>580</v>
      </c>
      <c r="C133" s="1" t="s">
        <v>272</v>
      </c>
      <c r="D133" s="2" t="s">
        <v>581</v>
      </c>
      <c r="E133" s="19" t="str">
        <f ca="1">IFERROR(__xludf.DUMMYFUNCTION("CONCATENATE(""Volume "",REGEXEXTRACT(A133,""[\d]+""),"", Number "",RIGHT(A133,LEN(A133) - 19))"),"Volume 22, Number 25")</f>
        <v>Volume 22, Number 25</v>
      </c>
      <c r="F133" s="3" t="s">
        <v>582</v>
      </c>
      <c r="G133" s="30">
        <v>36768</v>
      </c>
      <c r="H133" s="1" t="s">
        <v>275</v>
      </c>
      <c r="I133" s="2" t="s">
        <v>26</v>
      </c>
      <c r="J133" s="1" t="s">
        <v>27</v>
      </c>
      <c r="K133" s="1" t="s">
        <v>28</v>
      </c>
      <c r="L133" s="1" t="s">
        <v>31</v>
      </c>
      <c r="M133" s="1" t="s">
        <v>29</v>
      </c>
      <c r="N133" s="2"/>
      <c r="O133" s="2"/>
      <c r="P133" s="2"/>
      <c r="Q133" s="2" t="s">
        <v>32</v>
      </c>
      <c r="R133" s="1" t="s">
        <v>33</v>
      </c>
      <c r="S133" s="1" t="s">
        <v>34</v>
      </c>
      <c r="T133" s="2" t="s">
        <v>35</v>
      </c>
      <c r="U133" s="8" t="s">
        <v>36</v>
      </c>
    </row>
    <row r="134" spans="1:21" ht="28" x14ac:dyDescent="0.15">
      <c r="A134" s="4" t="s">
        <v>583</v>
      </c>
      <c r="B134" s="24" t="s">
        <v>584</v>
      </c>
      <c r="C134" s="1" t="s">
        <v>272</v>
      </c>
      <c r="D134" s="21"/>
      <c r="E134" s="19" t="str">
        <f ca="1">IFERROR(__xludf.DUMMYFUNCTION("CONCATENATE(""Volume "",REGEXEXTRACT(A134,""[\d]+""),"", Number "",RIGHT(A134,LEN(A134) - 19))"),"Volume 22, Number 3")</f>
        <v>Volume 22, Number 3</v>
      </c>
      <c r="F134" s="3" t="s">
        <v>585</v>
      </c>
      <c r="G134" s="30">
        <v>36431</v>
      </c>
      <c r="H134" s="1" t="s">
        <v>586</v>
      </c>
      <c r="I134" s="2" t="s">
        <v>26</v>
      </c>
      <c r="J134" s="1" t="s">
        <v>27</v>
      </c>
      <c r="K134" s="1" t="s">
        <v>28</v>
      </c>
      <c r="L134" s="1" t="s">
        <v>29</v>
      </c>
      <c r="N134" s="2"/>
      <c r="O134" s="2"/>
      <c r="P134" s="2"/>
      <c r="Q134" s="2" t="s">
        <v>32</v>
      </c>
      <c r="R134" s="1" t="s">
        <v>33</v>
      </c>
      <c r="S134" s="1" t="s">
        <v>34</v>
      </c>
      <c r="T134" s="2" t="s">
        <v>35</v>
      </c>
      <c r="U134" s="6" t="s">
        <v>36</v>
      </c>
    </row>
    <row r="135" spans="1:21" ht="112" x14ac:dyDescent="0.15">
      <c r="A135" s="4" t="s">
        <v>587</v>
      </c>
      <c r="B135" s="24" t="s">
        <v>588</v>
      </c>
      <c r="C135" s="1" t="s">
        <v>272</v>
      </c>
      <c r="D135" s="2" t="s">
        <v>589</v>
      </c>
      <c r="E135" s="19" t="str">
        <f ca="1">IFERROR(__xludf.DUMMYFUNCTION("CONCATENATE(""Volume "",REGEXEXTRACT(A135,""[\d]+""),"", Number "",RIGHT(A135,LEN(A135) - 19))"),"Volume 22, Number 4")</f>
        <v>Volume 22, Number 4</v>
      </c>
      <c r="F135" s="3" t="s">
        <v>590</v>
      </c>
      <c r="G135" s="30">
        <v>36438</v>
      </c>
      <c r="H135" s="1" t="s">
        <v>280</v>
      </c>
      <c r="I135" s="2" t="s">
        <v>26</v>
      </c>
      <c r="J135" s="1" t="s">
        <v>27</v>
      </c>
      <c r="K135" s="1" t="s">
        <v>28</v>
      </c>
      <c r="L135" s="1" t="s">
        <v>29</v>
      </c>
      <c r="M135" s="1" t="s">
        <v>48</v>
      </c>
      <c r="N135" s="2"/>
      <c r="O135" s="2"/>
      <c r="P135" s="2"/>
      <c r="Q135" s="2" t="s">
        <v>32</v>
      </c>
      <c r="R135" s="1" t="s">
        <v>33</v>
      </c>
      <c r="S135" s="1" t="s">
        <v>34</v>
      </c>
      <c r="T135" s="2" t="s">
        <v>35</v>
      </c>
      <c r="U135" s="7" t="s">
        <v>36</v>
      </c>
    </row>
    <row r="136" spans="1:21" ht="112" x14ac:dyDescent="0.15">
      <c r="A136" s="4" t="s">
        <v>591</v>
      </c>
      <c r="B136" s="24" t="s">
        <v>592</v>
      </c>
      <c r="C136" s="1" t="s">
        <v>272</v>
      </c>
      <c r="D136" s="2" t="s">
        <v>593</v>
      </c>
      <c r="E136" s="19" t="str">
        <f ca="1">IFERROR(__xludf.DUMMYFUNCTION("CONCATENATE(""Volume "",REGEXEXTRACT(A136,""[\d]+""),"", Number "",RIGHT(A136,LEN(A136) - 19))"),"Volume 22, Number 5")</f>
        <v>Volume 22, Number 5</v>
      </c>
      <c r="F136" s="3" t="s">
        <v>594</v>
      </c>
      <c r="G136" s="30">
        <v>36445</v>
      </c>
      <c r="H136" s="1" t="s">
        <v>280</v>
      </c>
      <c r="I136" s="2" t="s">
        <v>26</v>
      </c>
      <c r="J136" s="1" t="s">
        <v>27</v>
      </c>
      <c r="K136" s="1" t="s">
        <v>28</v>
      </c>
      <c r="L136" s="1" t="s">
        <v>31</v>
      </c>
      <c r="M136" s="1" t="s">
        <v>29</v>
      </c>
      <c r="N136" s="2"/>
      <c r="O136" s="2"/>
      <c r="P136" s="2"/>
      <c r="Q136" s="2" t="s">
        <v>32</v>
      </c>
      <c r="R136" s="1" t="s">
        <v>33</v>
      </c>
      <c r="S136" s="1" t="s">
        <v>34</v>
      </c>
      <c r="T136" s="2" t="s">
        <v>35</v>
      </c>
      <c r="U136" s="8" t="s">
        <v>36</v>
      </c>
    </row>
    <row r="137" spans="1:21" ht="126" x14ac:dyDescent="0.15">
      <c r="A137" s="4" t="s">
        <v>595</v>
      </c>
      <c r="B137" s="24" t="s">
        <v>596</v>
      </c>
      <c r="C137" s="1" t="s">
        <v>272</v>
      </c>
      <c r="D137" s="2" t="s">
        <v>597</v>
      </c>
      <c r="E137" s="19" t="str">
        <f ca="1">IFERROR(__xludf.DUMMYFUNCTION("CONCATENATE(""Volume "",REGEXEXTRACT(A137,""[\d]+""),"", Number "",RIGHT(A137,LEN(A137) - 19))"),"Volume 22, Number 6")</f>
        <v>Volume 22, Number 6</v>
      </c>
      <c r="F137" s="3" t="s">
        <v>598</v>
      </c>
      <c r="G137" s="30">
        <v>36459</v>
      </c>
      <c r="H137" s="1" t="s">
        <v>25</v>
      </c>
      <c r="I137" s="2" t="s">
        <v>26</v>
      </c>
      <c r="J137" s="1" t="s">
        <v>27</v>
      </c>
      <c r="K137" s="1" t="s">
        <v>28</v>
      </c>
      <c r="L137" s="1" t="s">
        <v>30</v>
      </c>
      <c r="M137" s="1" t="s">
        <v>48</v>
      </c>
      <c r="N137" s="2" t="s">
        <v>29</v>
      </c>
      <c r="O137" s="2"/>
      <c r="P137" s="2"/>
      <c r="Q137" s="2" t="s">
        <v>32</v>
      </c>
      <c r="R137" s="1" t="s">
        <v>33</v>
      </c>
      <c r="S137" s="1" t="s">
        <v>34</v>
      </c>
      <c r="T137" s="2" t="s">
        <v>35</v>
      </c>
      <c r="U137" s="6" t="s">
        <v>36</v>
      </c>
    </row>
    <row r="138" spans="1:21" ht="98" x14ac:dyDescent="0.15">
      <c r="A138" s="4" t="s">
        <v>599</v>
      </c>
      <c r="B138" s="24" t="s">
        <v>600</v>
      </c>
      <c r="C138" s="1" t="s">
        <v>272</v>
      </c>
      <c r="D138" s="2" t="s">
        <v>601</v>
      </c>
      <c r="E138" s="19" t="str">
        <f ca="1">IFERROR(__xludf.DUMMYFUNCTION("CONCATENATE(""Volume "",REGEXEXTRACT(A138,""[\d]+""),"", Number "",RIGHT(A138,LEN(A138) - 19))"),"Volume 22, Number 7")</f>
        <v>Volume 22, Number 7</v>
      </c>
      <c r="F138" s="3" t="s">
        <v>602</v>
      </c>
      <c r="G138" s="30">
        <v>36466</v>
      </c>
      <c r="H138" s="1" t="s">
        <v>280</v>
      </c>
      <c r="I138" s="2" t="s">
        <v>26</v>
      </c>
      <c r="J138" s="1" t="s">
        <v>27</v>
      </c>
      <c r="K138" s="1" t="s">
        <v>28</v>
      </c>
      <c r="L138" s="1" t="s">
        <v>30</v>
      </c>
      <c r="M138" s="1" t="s">
        <v>29</v>
      </c>
      <c r="N138" s="2"/>
      <c r="O138" s="2"/>
      <c r="P138" s="2"/>
      <c r="Q138" s="2" t="s">
        <v>32</v>
      </c>
      <c r="R138" s="1" t="s">
        <v>33</v>
      </c>
      <c r="S138" s="1" t="s">
        <v>34</v>
      </c>
      <c r="T138" s="2" t="s">
        <v>35</v>
      </c>
      <c r="U138" s="7" t="s">
        <v>36</v>
      </c>
    </row>
    <row r="139" spans="1:21" ht="112" x14ac:dyDescent="0.15">
      <c r="A139" s="4" t="s">
        <v>603</v>
      </c>
      <c r="B139" s="24" t="s">
        <v>604</v>
      </c>
      <c r="C139" s="1" t="s">
        <v>272</v>
      </c>
      <c r="D139" s="2" t="s">
        <v>605</v>
      </c>
      <c r="E139" s="19" t="str">
        <f ca="1">IFERROR(__xludf.DUMMYFUNCTION("CONCATENATE(""Volume "",REGEXEXTRACT(A139,""[\d]+""),"", Number "",RIGHT(A139,LEN(A139) - 19))"),"Volume 22, Number 8")</f>
        <v>Volume 22, Number 8</v>
      </c>
      <c r="F139" s="3" t="s">
        <v>606</v>
      </c>
      <c r="G139" s="30">
        <v>36473</v>
      </c>
      <c r="H139" s="1" t="s">
        <v>280</v>
      </c>
      <c r="I139" s="2" t="s">
        <v>26</v>
      </c>
      <c r="J139" s="1" t="s">
        <v>27</v>
      </c>
      <c r="K139" s="1" t="s">
        <v>28</v>
      </c>
      <c r="L139" s="1" t="s">
        <v>29</v>
      </c>
      <c r="N139" s="2"/>
      <c r="O139" s="2"/>
      <c r="P139" s="2"/>
      <c r="Q139" s="2" t="s">
        <v>32</v>
      </c>
      <c r="R139" s="1" t="s">
        <v>33</v>
      </c>
      <c r="S139" s="1" t="s">
        <v>34</v>
      </c>
      <c r="T139" s="2" t="s">
        <v>35</v>
      </c>
      <c r="U139" s="8" t="s">
        <v>36</v>
      </c>
    </row>
    <row r="140" spans="1:21" ht="112" x14ac:dyDescent="0.15">
      <c r="A140" s="4" t="s">
        <v>607</v>
      </c>
      <c r="B140" s="24" t="s">
        <v>608</v>
      </c>
      <c r="C140" s="1" t="s">
        <v>272</v>
      </c>
      <c r="D140" s="2" t="s">
        <v>609</v>
      </c>
      <c r="E140" s="19" t="str">
        <f ca="1">IFERROR(__xludf.DUMMYFUNCTION("CONCATENATE(""Volume "",REGEXEXTRACT(A140,""[\d]+""),"", Number "",RIGHT(A140,LEN(A140) - 19))"),"Volume 22, Number 9")</f>
        <v>Volume 22, Number 9</v>
      </c>
      <c r="F140" s="3" t="s">
        <v>610</v>
      </c>
      <c r="G140" s="30" t="s">
        <v>611</v>
      </c>
      <c r="H140" s="1" t="s">
        <v>280</v>
      </c>
      <c r="I140" s="2" t="s">
        <v>26</v>
      </c>
      <c r="J140" s="1" t="s">
        <v>27</v>
      </c>
      <c r="K140" s="1" t="s">
        <v>28</v>
      </c>
      <c r="L140" s="1" t="s">
        <v>30</v>
      </c>
      <c r="M140" s="1" t="s">
        <v>29</v>
      </c>
      <c r="N140" s="2"/>
      <c r="O140" s="2"/>
      <c r="P140" s="2"/>
      <c r="Q140" s="2" t="s">
        <v>32</v>
      </c>
      <c r="R140" s="1" t="s">
        <v>33</v>
      </c>
      <c r="S140" s="1" t="s">
        <v>34</v>
      </c>
      <c r="T140" s="2" t="s">
        <v>35</v>
      </c>
      <c r="U140" s="6" t="s">
        <v>36</v>
      </c>
    </row>
    <row r="141" spans="1:21" ht="84" x14ac:dyDescent="0.15">
      <c r="A141" s="4" t="s">
        <v>612</v>
      </c>
      <c r="B141" s="24" t="s">
        <v>613</v>
      </c>
      <c r="C141" s="1" t="s">
        <v>272</v>
      </c>
      <c r="D141" s="2" t="s">
        <v>614</v>
      </c>
      <c r="E141" s="19" t="str">
        <f ca="1">IFERROR(__xludf.DUMMYFUNCTION("CONCATENATE(""Volume "",REGEXEXTRACT(A141,""[\d]+""),"", Number "",RIGHT(A141,LEN(A141) - 19))"),"Volume 23, Number 1")</f>
        <v>Volume 23, Number 1</v>
      </c>
      <c r="F141" s="3" t="s">
        <v>615</v>
      </c>
      <c r="G141" s="30">
        <v>36775</v>
      </c>
      <c r="H141" s="1" t="s">
        <v>317</v>
      </c>
      <c r="I141" s="2" t="s">
        <v>26</v>
      </c>
      <c r="J141" s="1" t="s">
        <v>27</v>
      </c>
      <c r="K141" s="1" t="s">
        <v>28</v>
      </c>
      <c r="L141" s="1" t="s">
        <v>29</v>
      </c>
      <c r="M141" s="1" t="s">
        <v>48</v>
      </c>
      <c r="N141" s="2"/>
      <c r="O141" s="2"/>
      <c r="P141" s="2"/>
      <c r="Q141" s="2" t="s">
        <v>32</v>
      </c>
      <c r="R141" s="1" t="s">
        <v>33</v>
      </c>
      <c r="S141" s="1" t="s">
        <v>34</v>
      </c>
      <c r="T141" s="2" t="s">
        <v>35</v>
      </c>
      <c r="U141" s="7" t="s">
        <v>36</v>
      </c>
    </row>
    <row r="142" spans="1:21" ht="84" x14ac:dyDescent="0.15">
      <c r="A142" s="4" t="s">
        <v>616</v>
      </c>
      <c r="B142" s="24" t="s">
        <v>617</v>
      </c>
      <c r="C142" s="1" t="s">
        <v>272</v>
      </c>
      <c r="D142" s="27" t="s">
        <v>618</v>
      </c>
      <c r="E142" s="19" t="str">
        <f ca="1">IFERROR(__xludf.DUMMYFUNCTION("CONCATENATE(""Volume "",REGEXEXTRACT(A142,""[\d]+""),"", Number "",RIGHT(A142,LEN(A142) - 19))"),"Volume 23, Number 10")</f>
        <v>Volume 23, Number 10</v>
      </c>
      <c r="F142" s="3" t="s">
        <v>619</v>
      </c>
      <c r="G142" s="30" t="s">
        <v>620</v>
      </c>
      <c r="H142" s="1" t="s">
        <v>317</v>
      </c>
      <c r="I142" s="2" t="s">
        <v>26</v>
      </c>
      <c r="J142" s="1" t="s">
        <v>27</v>
      </c>
      <c r="K142" s="1" t="s">
        <v>28</v>
      </c>
      <c r="L142" s="1" t="s">
        <v>29</v>
      </c>
      <c r="N142" s="2"/>
      <c r="O142" s="2"/>
      <c r="P142" s="2"/>
      <c r="Q142" s="2" t="s">
        <v>32</v>
      </c>
      <c r="R142" s="1" t="s">
        <v>33</v>
      </c>
      <c r="S142" s="1" t="s">
        <v>34</v>
      </c>
      <c r="T142" s="2" t="s">
        <v>35</v>
      </c>
      <c r="U142" s="8" t="s">
        <v>36</v>
      </c>
    </row>
    <row r="143" spans="1:21" ht="84" x14ac:dyDescent="0.15">
      <c r="A143" s="4" t="s">
        <v>621</v>
      </c>
      <c r="B143" s="24" t="s">
        <v>622</v>
      </c>
      <c r="C143" s="1" t="s">
        <v>272</v>
      </c>
      <c r="D143" s="27" t="s">
        <v>623</v>
      </c>
      <c r="E143" s="19" t="str">
        <f ca="1">IFERROR(__xludf.DUMMYFUNCTION("CONCATENATE(""Volume "",REGEXEXTRACT(A143,""[\d]+""),"", Number "",RIGHT(A143,LEN(A143) - 19))"),"Volume 23, Number 11")</f>
        <v>Volume 23, Number 11</v>
      </c>
      <c r="F143" s="3" t="s">
        <v>624</v>
      </c>
      <c r="G143" s="30">
        <v>36847</v>
      </c>
      <c r="H143" s="1" t="s">
        <v>280</v>
      </c>
      <c r="I143" s="2" t="s">
        <v>26</v>
      </c>
      <c r="J143" s="1" t="s">
        <v>27</v>
      </c>
      <c r="K143" s="1" t="s">
        <v>28</v>
      </c>
      <c r="L143" s="1" t="s">
        <v>29</v>
      </c>
      <c r="M143" s="1" t="s">
        <v>48</v>
      </c>
      <c r="N143" s="2" t="s">
        <v>54</v>
      </c>
      <c r="O143" s="2" t="s">
        <v>30</v>
      </c>
      <c r="P143" s="2"/>
      <c r="Q143" s="2" t="s">
        <v>32</v>
      </c>
      <c r="R143" s="1" t="s">
        <v>33</v>
      </c>
      <c r="S143" s="1" t="s">
        <v>34</v>
      </c>
      <c r="T143" s="2" t="s">
        <v>35</v>
      </c>
      <c r="U143" s="6" t="s">
        <v>36</v>
      </c>
    </row>
    <row r="144" spans="1:21" ht="126" x14ac:dyDescent="0.15">
      <c r="A144" s="4" t="s">
        <v>625</v>
      </c>
      <c r="B144" s="24" t="s">
        <v>626</v>
      </c>
      <c r="C144" s="1" t="s">
        <v>272</v>
      </c>
      <c r="D144" s="2" t="s">
        <v>627</v>
      </c>
      <c r="E144" s="19" t="str">
        <f ca="1">IFERROR(__xludf.DUMMYFUNCTION("CONCATENATE(""Volume "",REGEXEXTRACT(A144,""[\d]+""),"", Number "",RIGHT(A144,LEN(A144) - 19))"),"Volume 23, Number 12")</f>
        <v>Volume 23, Number 12</v>
      </c>
      <c r="F144" s="3" t="s">
        <v>628</v>
      </c>
      <c r="G144" s="30">
        <v>36878</v>
      </c>
      <c r="H144" s="1" t="s">
        <v>528</v>
      </c>
      <c r="I144" s="2" t="s">
        <v>26</v>
      </c>
      <c r="J144" s="1" t="s">
        <v>27</v>
      </c>
      <c r="K144" s="1" t="s">
        <v>28</v>
      </c>
      <c r="L144" s="1" t="s">
        <v>29</v>
      </c>
      <c r="M144" s="1" t="s">
        <v>30</v>
      </c>
      <c r="N144" s="2"/>
      <c r="O144" s="2"/>
      <c r="P144" s="2"/>
      <c r="Q144" s="2" t="s">
        <v>32</v>
      </c>
      <c r="R144" s="1" t="s">
        <v>33</v>
      </c>
      <c r="S144" s="1" t="s">
        <v>34</v>
      </c>
      <c r="T144" s="2" t="s">
        <v>35</v>
      </c>
      <c r="U144" s="7" t="s">
        <v>36</v>
      </c>
    </row>
    <row r="145" spans="1:21" ht="70" x14ac:dyDescent="0.15">
      <c r="A145" s="4" t="s">
        <v>629</v>
      </c>
      <c r="B145" s="24" t="s">
        <v>630</v>
      </c>
      <c r="C145" s="1" t="s">
        <v>272</v>
      </c>
      <c r="D145" s="2" t="s">
        <v>631</v>
      </c>
      <c r="E145" s="19" t="str">
        <f ca="1">IFERROR(__xludf.DUMMYFUNCTION("CONCATENATE(""Volume "",REGEXEXTRACT(A145,""[\d]+""),"", Number "",RIGHT(A145,LEN(A145) - 19))"),"Volume 23, Number 13")</f>
        <v>Volume 23, Number 13</v>
      </c>
      <c r="F145" s="3" t="s">
        <v>632</v>
      </c>
      <c r="G145" s="30">
        <v>36903</v>
      </c>
      <c r="H145" s="1" t="s">
        <v>275</v>
      </c>
      <c r="I145" s="2" t="s">
        <v>26</v>
      </c>
      <c r="J145" s="1" t="s">
        <v>27</v>
      </c>
      <c r="K145" s="1" t="s">
        <v>28</v>
      </c>
      <c r="L145" s="1" t="s">
        <v>29</v>
      </c>
      <c r="M145" s="1" t="s">
        <v>30</v>
      </c>
      <c r="N145" s="2"/>
      <c r="O145" s="2"/>
      <c r="P145" s="2"/>
      <c r="Q145" s="2" t="s">
        <v>32</v>
      </c>
      <c r="R145" s="1" t="s">
        <v>33</v>
      </c>
      <c r="S145" s="1" t="s">
        <v>34</v>
      </c>
      <c r="T145" s="2" t="s">
        <v>35</v>
      </c>
      <c r="U145" s="8" t="s">
        <v>36</v>
      </c>
    </row>
    <row r="146" spans="1:21" ht="98" x14ac:dyDescent="0.15">
      <c r="A146" s="4" t="s">
        <v>633</v>
      </c>
      <c r="B146" s="24" t="s">
        <v>634</v>
      </c>
      <c r="C146" s="1" t="s">
        <v>272</v>
      </c>
      <c r="D146" s="2" t="s">
        <v>635</v>
      </c>
      <c r="E146" s="19" t="str">
        <f ca="1">IFERROR(__xludf.DUMMYFUNCTION("CONCATENATE(""Volume "",REGEXEXTRACT(A146,""[\d]+""),"", Number "",RIGHT(A146,LEN(A146) - 19))"),"Volume 23, Number 14")</f>
        <v>Volume 23, Number 14</v>
      </c>
      <c r="F146" s="3" t="s">
        <v>636</v>
      </c>
      <c r="G146" s="30">
        <v>36924</v>
      </c>
      <c r="H146" s="1" t="s">
        <v>280</v>
      </c>
      <c r="I146" s="2" t="s">
        <v>26</v>
      </c>
      <c r="J146" s="1" t="s">
        <v>27</v>
      </c>
      <c r="K146" s="1" t="s">
        <v>28</v>
      </c>
      <c r="L146" s="1" t="s">
        <v>80</v>
      </c>
      <c r="M146" s="1" t="s">
        <v>30</v>
      </c>
      <c r="N146" s="2" t="s">
        <v>29</v>
      </c>
      <c r="O146" s="2" t="s">
        <v>54</v>
      </c>
      <c r="P146" s="2" t="s">
        <v>75</v>
      </c>
      <c r="Q146" s="2" t="s">
        <v>32</v>
      </c>
      <c r="R146" s="1" t="s">
        <v>33</v>
      </c>
      <c r="S146" s="1" t="s">
        <v>34</v>
      </c>
      <c r="T146" s="2" t="s">
        <v>35</v>
      </c>
      <c r="U146" s="6" t="s">
        <v>36</v>
      </c>
    </row>
    <row r="147" spans="1:21" ht="84" x14ac:dyDescent="0.15">
      <c r="A147" s="4" t="s">
        <v>637</v>
      </c>
      <c r="B147" s="24" t="s">
        <v>638</v>
      </c>
      <c r="C147" s="1" t="s">
        <v>272</v>
      </c>
      <c r="D147" s="2" t="s">
        <v>639</v>
      </c>
      <c r="E147" s="19" t="str">
        <f ca="1">IFERROR(__xludf.DUMMYFUNCTION("CONCATENATE(""Volume "",REGEXEXTRACT(A147,""[\d]+""),"", Number "",RIGHT(A147,LEN(A147) - 19))"),"Volume 23, Number 16")</f>
        <v>Volume 23, Number 16</v>
      </c>
      <c r="F147" s="3" t="s">
        <v>640</v>
      </c>
      <c r="G147" s="30">
        <v>36938</v>
      </c>
      <c r="H147" s="1" t="s">
        <v>528</v>
      </c>
      <c r="I147" s="2" t="s">
        <v>26</v>
      </c>
      <c r="J147" s="1" t="s">
        <v>27</v>
      </c>
      <c r="K147" s="1" t="s">
        <v>28</v>
      </c>
      <c r="L147" s="1" t="s">
        <v>30</v>
      </c>
      <c r="M147" s="1" t="s">
        <v>80</v>
      </c>
      <c r="N147" s="2" t="s">
        <v>29</v>
      </c>
      <c r="O147" s="2"/>
      <c r="P147" s="2"/>
      <c r="Q147" s="2" t="s">
        <v>32</v>
      </c>
      <c r="R147" s="1" t="s">
        <v>33</v>
      </c>
      <c r="S147" s="1" t="s">
        <v>34</v>
      </c>
      <c r="T147" s="2" t="s">
        <v>35</v>
      </c>
      <c r="U147" s="7" t="s">
        <v>36</v>
      </c>
    </row>
    <row r="148" spans="1:21" ht="84" x14ac:dyDescent="0.15">
      <c r="A148" s="4" t="s">
        <v>641</v>
      </c>
      <c r="B148" s="24" t="s">
        <v>642</v>
      </c>
      <c r="C148" s="1" t="s">
        <v>272</v>
      </c>
      <c r="D148" s="2" t="s">
        <v>643</v>
      </c>
      <c r="E148" s="19" t="str">
        <f ca="1">IFERROR(__xludf.DUMMYFUNCTION("CONCATENATE(""Volume "",REGEXEXTRACT(A148,""[\d]+""),"", Number "",RIGHT(A148,LEN(A148) - 19))"),"Volume 23, Number 17")</f>
        <v>Volume 23, Number 17</v>
      </c>
      <c r="F148" s="3" t="s">
        <v>644</v>
      </c>
      <c r="G148" s="30">
        <v>36950</v>
      </c>
      <c r="H148" s="1" t="s">
        <v>280</v>
      </c>
      <c r="I148" s="2" t="s">
        <v>26</v>
      </c>
      <c r="J148" s="1" t="s">
        <v>27</v>
      </c>
      <c r="K148" s="1" t="s">
        <v>28</v>
      </c>
      <c r="L148" s="1" t="s">
        <v>30</v>
      </c>
      <c r="M148" s="1" t="s">
        <v>54</v>
      </c>
      <c r="N148" s="2" t="s">
        <v>179</v>
      </c>
      <c r="O148" s="2" t="s">
        <v>75</v>
      </c>
      <c r="P148" s="2"/>
      <c r="Q148" s="2" t="s">
        <v>32</v>
      </c>
      <c r="R148" s="1" t="s">
        <v>33</v>
      </c>
      <c r="S148" s="1" t="s">
        <v>34</v>
      </c>
      <c r="T148" s="2" t="s">
        <v>35</v>
      </c>
      <c r="U148" s="8" t="s">
        <v>36</v>
      </c>
    </row>
    <row r="149" spans="1:21" ht="112" x14ac:dyDescent="0.15">
      <c r="A149" s="4" t="s">
        <v>645</v>
      </c>
      <c r="B149" s="24" t="s">
        <v>646</v>
      </c>
      <c r="C149" s="1" t="s">
        <v>272</v>
      </c>
      <c r="D149" s="2" t="s">
        <v>647</v>
      </c>
      <c r="E149" s="19" t="str">
        <f ca="1">IFERROR(__xludf.DUMMYFUNCTION("CONCATENATE(""Volume "",REGEXEXTRACT(A149,""[\d]+""),"", Number "",RIGHT(A149,LEN(A149) - 19))"),"Volume 23, Number 18")</f>
        <v>Volume 23, Number 18</v>
      </c>
      <c r="F149" s="3" t="s">
        <v>648</v>
      </c>
      <c r="G149" s="30">
        <v>36980</v>
      </c>
      <c r="H149" s="1" t="s">
        <v>528</v>
      </c>
      <c r="I149" s="2" t="s">
        <v>26</v>
      </c>
      <c r="J149" s="1" t="s">
        <v>27</v>
      </c>
      <c r="K149" s="1" t="s">
        <v>28</v>
      </c>
      <c r="L149" s="1" t="s">
        <v>75</v>
      </c>
      <c r="M149" s="1" t="s">
        <v>54</v>
      </c>
      <c r="N149" s="2" t="s">
        <v>48</v>
      </c>
      <c r="O149" s="2" t="s">
        <v>179</v>
      </c>
      <c r="P149" s="2" t="s">
        <v>30</v>
      </c>
      <c r="Q149" s="2" t="s">
        <v>32</v>
      </c>
      <c r="R149" s="1" t="s">
        <v>33</v>
      </c>
      <c r="S149" s="1" t="s">
        <v>34</v>
      </c>
      <c r="T149" s="2" t="s">
        <v>35</v>
      </c>
      <c r="U149" s="6" t="s">
        <v>36</v>
      </c>
    </row>
    <row r="150" spans="1:21" ht="84" x14ac:dyDescent="0.15">
      <c r="A150" s="4" t="s">
        <v>649</v>
      </c>
      <c r="B150" s="24" t="s">
        <v>650</v>
      </c>
      <c r="C150" s="1" t="s">
        <v>272</v>
      </c>
      <c r="D150" s="2" t="s">
        <v>651</v>
      </c>
      <c r="E150" s="19" t="str">
        <f ca="1">IFERROR(__xludf.DUMMYFUNCTION("CONCATENATE(""Volume "",REGEXEXTRACT(A150,""[\d]+""),"", Number "",RIGHT(A150,LEN(A150) - 19))"),"Volume 23, Number 19")</f>
        <v>Volume 23, Number 19</v>
      </c>
      <c r="F150" s="3" t="s">
        <v>652</v>
      </c>
      <c r="G150" s="30">
        <v>36997</v>
      </c>
      <c r="H150" s="1" t="s">
        <v>317</v>
      </c>
      <c r="I150" s="2" t="s">
        <v>26</v>
      </c>
      <c r="J150" s="1" t="s">
        <v>27</v>
      </c>
      <c r="K150" s="1" t="s">
        <v>28</v>
      </c>
      <c r="L150" s="1" t="s">
        <v>179</v>
      </c>
      <c r="M150" s="1" t="s">
        <v>75</v>
      </c>
      <c r="N150" s="2" t="s">
        <v>30</v>
      </c>
      <c r="O150" s="2"/>
      <c r="P150" s="2"/>
      <c r="Q150" s="2" t="s">
        <v>32</v>
      </c>
      <c r="R150" s="1" t="s">
        <v>33</v>
      </c>
      <c r="S150" s="1" t="s">
        <v>34</v>
      </c>
      <c r="T150" s="2" t="s">
        <v>35</v>
      </c>
      <c r="U150" s="7" t="s">
        <v>36</v>
      </c>
    </row>
    <row r="151" spans="1:21" ht="70" x14ac:dyDescent="0.15">
      <c r="A151" s="4" t="s">
        <v>653</v>
      </c>
      <c r="B151" s="24" t="s">
        <v>654</v>
      </c>
      <c r="C151" s="1" t="s">
        <v>272</v>
      </c>
      <c r="D151" s="2" t="s">
        <v>655</v>
      </c>
      <c r="E151" s="19" t="str">
        <f ca="1">IFERROR(__xludf.DUMMYFUNCTION("CONCATENATE(""Volume "",REGEXEXTRACT(A151,""[\d]+""),"", Number "",RIGHT(A151,LEN(A151) - 19))"),"Volume 23, Number 2")</f>
        <v>Volume 23, Number 2</v>
      </c>
      <c r="F151" s="3" t="s">
        <v>656</v>
      </c>
      <c r="G151" s="30">
        <v>36788</v>
      </c>
      <c r="H151" s="1" t="s">
        <v>317</v>
      </c>
      <c r="I151" s="2" t="s">
        <v>26</v>
      </c>
      <c r="J151" s="1" t="s">
        <v>27</v>
      </c>
      <c r="K151" s="1" t="s">
        <v>28</v>
      </c>
      <c r="L151" s="1" t="s">
        <v>29</v>
      </c>
      <c r="M151" s="1" t="s">
        <v>30</v>
      </c>
      <c r="N151" s="2"/>
      <c r="O151" s="2"/>
      <c r="P151" s="2"/>
      <c r="Q151" s="2" t="s">
        <v>32</v>
      </c>
      <c r="R151" s="1" t="s">
        <v>33</v>
      </c>
      <c r="S151" s="1" t="s">
        <v>34</v>
      </c>
      <c r="T151" s="2" t="s">
        <v>35</v>
      </c>
      <c r="U151" s="8" t="s">
        <v>36</v>
      </c>
    </row>
    <row r="152" spans="1:21" ht="98" x14ac:dyDescent="0.15">
      <c r="A152" s="4" t="s">
        <v>657</v>
      </c>
      <c r="B152" s="24" t="s">
        <v>658</v>
      </c>
      <c r="C152" s="1" t="s">
        <v>272</v>
      </c>
      <c r="D152" s="2" t="s">
        <v>659</v>
      </c>
      <c r="E152" s="19" t="str">
        <f ca="1">IFERROR(__xludf.DUMMYFUNCTION("CONCATENATE(""Volume "",REGEXEXTRACT(A152,""[\d]+""),"", Number "",RIGHT(A152,LEN(A152) - 19))"),"Volume 23, Number 20")</f>
        <v>Volume 23, Number 20</v>
      </c>
      <c r="F152" s="3" t="s">
        <v>660</v>
      </c>
      <c r="G152" s="30">
        <v>37006</v>
      </c>
      <c r="H152" s="1" t="s">
        <v>25</v>
      </c>
      <c r="I152" s="2" t="s">
        <v>26</v>
      </c>
      <c r="J152" s="1" t="s">
        <v>27</v>
      </c>
      <c r="K152" s="1" t="s">
        <v>28</v>
      </c>
      <c r="L152" s="1" t="s">
        <v>179</v>
      </c>
      <c r="M152" s="1" t="s">
        <v>80</v>
      </c>
      <c r="N152" s="2" t="s">
        <v>29</v>
      </c>
      <c r="O152" s="2" t="s">
        <v>30</v>
      </c>
      <c r="P152" s="2"/>
      <c r="Q152" s="2" t="s">
        <v>32</v>
      </c>
      <c r="R152" s="1" t="s">
        <v>33</v>
      </c>
      <c r="S152" s="1" t="s">
        <v>34</v>
      </c>
      <c r="T152" s="2" t="s">
        <v>35</v>
      </c>
      <c r="U152" s="6" t="s">
        <v>36</v>
      </c>
    </row>
    <row r="153" spans="1:21" ht="84" x14ac:dyDescent="0.15">
      <c r="A153" s="4" t="s">
        <v>661</v>
      </c>
      <c r="B153" s="24" t="s">
        <v>662</v>
      </c>
      <c r="C153" s="1" t="s">
        <v>272</v>
      </c>
      <c r="D153" s="2" t="s">
        <v>663</v>
      </c>
      <c r="E153" s="19" t="str">
        <f ca="1">IFERROR(__xludf.DUMMYFUNCTION("CONCATENATE(""Volume "",REGEXEXTRACT(A153,""[\d]+""),"", Number "",RIGHT(A153,LEN(A153) - 19))"),"Volume 23, Number 21")</f>
        <v>Volume 23, Number 21</v>
      </c>
      <c r="F153" s="3" t="s">
        <v>664</v>
      </c>
      <c r="G153" s="30">
        <v>37033</v>
      </c>
      <c r="H153" s="1" t="s">
        <v>317</v>
      </c>
      <c r="I153" s="2" t="s">
        <v>26</v>
      </c>
      <c r="J153" s="1" t="s">
        <v>27</v>
      </c>
      <c r="K153" s="1" t="s">
        <v>28</v>
      </c>
      <c r="L153" s="1" t="s">
        <v>179</v>
      </c>
      <c r="M153" s="1" t="s">
        <v>80</v>
      </c>
      <c r="N153" s="2" t="s">
        <v>48</v>
      </c>
      <c r="O153" s="2" t="s">
        <v>75</v>
      </c>
      <c r="P153" s="2"/>
      <c r="Q153" s="2" t="s">
        <v>32</v>
      </c>
      <c r="R153" s="1" t="s">
        <v>33</v>
      </c>
      <c r="S153" s="1" t="s">
        <v>34</v>
      </c>
      <c r="T153" s="2" t="s">
        <v>35</v>
      </c>
      <c r="U153" s="7" t="s">
        <v>36</v>
      </c>
    </row>
    <row r="154" spans="1:21" ht="70" x14ac:dyDescent="0.15">
      <c r="A154" s="4" t="s">
        <v>665</v>
      </c>
      <c r="B154" s="24" t="s">
        <v>666</v>
      </c>
      <c r="C154" s="1" t="s">
        <v>272</v>
      </c>
      <c r="D154" s="2" t="s">
        <v>667</v>
      </c>
      <c r="E154" s="19" t="str">
        <f ca="1">IFERROR(__xludf.DUMMYFUNCTION("CONCATENATE(""Volume "",REGEXEXTRACT(A154,""[\d]+""),"", Number "",RIGHT(A154,LEN(A154) - 19))"),"Volume 23, Number 22")</f>
        <v>Volume 23, Number 22</v>
      </c>
      <c r="F154" s="3" t="s">
        <v>668</v>
      </c>
      <c r="G154" s="30">
        <v>37053</v>
      </c>
      <c r="H154" s="1" t="s">
        <v>275</v>
      </c>
      <c r="I154" s="2" t="s">
        <v>26</v>
      </c>
      <c r="J154" s="1" t="s">
        <v>27</v>
      </c>
      <c r="K154" s="1" t="s">
        <v>28</v>
      </c>
      <c r="L154" s="1" t="s">
        <v>179</v>
      </c>
      <c r="M154" s="1" t="s">
        <v>75</v>
      </c>
      <c r="N154" s="2" t="s">
        <v>80</v>
      </c>
      <c r="O154" s="2" t="s">
        <v>48</v>
      </c>
      <c r="P154" s="2"/>
      <c r="Q154" s="2" t="s">
        <v>32</v>
      </c>
      <c r="R154" s="1" t="s">
        <v>33</v>
      </c>
      <c r="S154" s="1" t="s">
        <v>34</v>
      </c>
      <c r="T154" s="2" t="s">
        <v>35</v>
      </c>
      <c r="U154" s="8" t="s">
        <v>36</v>
      </c>
    </row>
    <row r="155" spans="1:21" ht="70" x14ac:dyDescent="0.15">
      <c r="A155" s="4" t="s">
        <v>669</v>
      </c>
      <c r="B155" s="24" t="s">
        <v>670</v>
      </c>
      <c r="C155" s="1" t="s">
        <v>272</v>
      </c>
      <c r="D155" s="2" t="s">
        <v>671</v>
      </c>
      <c r="E155" s="19" t="str">
        <f ca="1">IFERROR(__xludf.DUMMYFUNCTION("CONCATENATE(""Volume "",REGEXEXTRACT(A155,""[\d]+""),"", Number "",RIGHT(A155,LEN(A155) - 19))"),"Volume 23, Number 23")</f>
        <v>Volume 23, Number 23</v>
      </c>
      <c r="F155" s="3" t="s">
        <v>672</v>
      </c>
      <c r="G155" s="30">
        <v>37099</v>
      </c>
      <c r="H155" s="1" t="s">
        <v>280</v>
      </c>
      <c r="I155" s="2" t="s">
        <v>26</v>
      </c>
      <c r="J155" s="1" t="s">
        <v>27</v>
      </c>
      <c r="K155" s="1" t="s">
        <v>28</v>
      </c>
      <c r="L155" s="1" t="s">
        <v>179</v>
      </c>
      <c r="M155" s="1" t="s">
        <v>80</v>
      </c>
      <c r="N155" s="2" t="s">
        <v>54</v>
      </c>
      <c r="O155" s="2" t="s">
        <v>48</v>
      </c>
      <c r="P155" s="2" t="s">
        <v>31</v>
      </c>
      <c r="Q155" s="2" t="s">
        <v>32</v>
      </c>
      <c r="R155" s="1" t="s">
        <v>33</v>
      </c>
      <c r="S155" s="1" t="s">
        <v>34</v>
      </c>
      <c r="T155" s="2" t="s">
        <v>35</v>
      </c>
      <c r="U155" s="6" t="s">
        <v>36</v>
      </c>
    </row>
    <row r="156" spans="1:21" ht="70" x14ac:dyDescent="0.15">
      <c r="A156" s="4" t="s">
        <v>673</v>
      </c>
      <c r="B156" s="24" t="s">
        <v>674</v>
      </c>
      <c r="C156" s="1" t="s">
        <v>272</v>
      </c>
      <c r="D156" s="2" t="s">
        <v>675</v>
      </c>
      <c r="E156" s="19" t="str">
        <f ca="1">IFERROR(__xludf.DUMMYFUNCTION("CONCATENATE(""Volume "",REGEXEXTRACT(A156,""[\d]+""),"", Number "",RIGHT(A156,LEN(A156) - 19))"),"Volume 23, Number 24")</f>
        <v>Volume 23, Number 24</v>
      </c>
      <c r="F156" s="3" t="s">
        <v>676</v>
      </c>
      <c r="G156" s="30">
        <v>37120</v>
      </c>
      <c r="H156" s="1" t="s">
        <v>275</v>
      </c>
      <c r="I156" s="2" t="s">
        <v>26</v>
      </c>
      <c r="J156" s="1" t="s">
        <v>27</v>
      </c>
      <c r="K156" s="1" t="s">
        <v>28</v>
      </c>
      <c r="L156" s="1" t="s">
        <v>30</v>
      </c>
      <c r="M156" s="1" t="s">
        <v>29</v>
      </c>
      <c r="N156" s="2"/>
      <c r="O156" s="2"/>
      <c r="P156" s="2"/>
      <c r="Q156" s="2" t="s">
        <v>32</v>
      </c>
      <c r="R156" s="1" t="s">
        <v>33</v>
      </c>
      <c r="S156" s="1" t="s">
        <v>34</v>
      </c>
      <c r="T156" s="2" t="s">
        <v>35</v>
      </c>
      <c r="U156" s="7" t="s">
        <v>36</v>
      </c>
    </row>
    <row r="157" spans="1:21" ht="126" x14ac:dyDescent="0.15">
      <c r="A157" s="4" t="s">
        <v>677</v>
      </c>
      <c r="B157" s="24" t="s">
        <v>678</v>
      </c>
      <c r="C157" s="1" t="s">
        <v>272</v>
      </c>
      <c r="D157" s="2" t="s">
        <v>679</v>
      </c>
      <c r="E157" s="19" t="str">
        <f ca="1">IFERROR(__xludf.DUMMYFUNCTION("CONCATENATE(""Volume "",REGEXEXTRACT(A157,""[\d]+""),"", Number "",RIGHT(A157,LEN(A157) - 19))"),"Volume 23, Number 25")</f>
        <v>Volume 23, Number 25</v>
      </c>
      <c r="F157" s="3" t="s">
        <v>680</v>
      </c>
      <c r="G157" s="30">
        <v>37130</v>
      </c>
      <c r="H157" s="1" t="s">
        <v>681</v>
      </c>
      <c r="I157" s="2" t="s">
        <v>26</v>
      </c>
      <c r="J157" s="1" t="s">
        <v>27</v>
      </c>
      <c r="K157" s="1" t="s">
        <v>28</v>
      </c>
      <c r="L157" s="1" t="s">
        <v>29</v>
      </c>
      <c r="M157" s="1" t="s">
        <v>48</v>
      </c>
      <c r="N157" s="2"/>
      <c r="O157" s="2"/>
      <c r="P157" s="2"/>
      <c r="Q157" s="2" t="s">
        <v>32</v>
      </c>
      <c r="R157" s="1" t="s">
        <v>33</v>
      </c>
      <c r="S157" s="1" t="s">
        <v>34</v>
      </c>
      <c r="T157" s="2" t="s">
        <v>35</v>
      </c>
      <c r="U157" s="8" t="s">
        <v>36</v>
      </c>
    </row>
    <row r="158" spans="1:21" ht="70" x14ac:dyDescent="0.15">
      <c r="A158" s="4" t="s">
        <v>682</v>
      </c>
      <c r="B158" s="24" t="s">
        <v>683</v>
      </c>
      <c r="C158" s="1" t="s">
        <v>272</v>
      </c>
      <c r="D158" s="2" t="s">
        <v>684</v>
      </c>
      <c r="E158" s="19" t="str">
        <f ca="1">IFERROR(__xludf.DUMMYFUNCTION("CONCATENATE(""Volume "",REGEXEXTRACT(A158,""[\d]+""),"", Number "",RIGHT(A158,LEN(A158) - 19))"),"Volume 23, Number 3")</f>
        <v>Volume 23, Number 3</v>
      </c>
      <c r="F158" s="3" t="s">
        <v>685</v>
      </c>
      <c r="G158" s="30">
        <v>36795</v>
      </c>
      <c r="H158" s="1" t="s">
        <v>317</v>
      </c>
      <c r="I158" s="2" t="s">
        <v>26</v>
      </c>
      <c r="J158" s="1" t="s">
        <v>27</v>
      </c>
      <c r="K158" s="1" t="s">
        <v>28</v>
      </c>
      <c r="L158" s="1" t="s">
        <v>48</v>
      </c>
      <c r="M158" s="1" t="s">
        <v>29</v>
      </c>
      <c r="N158" s="2"/>
      <c r="O158" s="2"/>
      <c r="P158" s="2"/>
      <c r="Q158" s="2" t="s">
        <v>32</v>
      </c>
      <c r="R158" s="1" t="s">
        <v>33</v>
      </c>
      <c r="S158" s="1" t="s">
        <v>34</v>
      </c>
      <c r="T158" s="2" t="s">
        <v>35</v>
      </c>
      <c r="U158" s="6" t="s">
        <v>36</v>
      </c>
    </row>
    <row r="159" spans="1:21" ht="70" x14ac:dyDescent="0.15">
      <c r="A159" s="4" t="s">
        <v>686</v>
      </c>
      <c r="B159" s="24" t="s">
        <v>687</v>
      </c>
      <c r="C159" s="1" t="s">
        <v>272</v>
      </c>
      <c r="D159" s="2" t="s">
        <v>688</v>
      </c>
      <c r="E159" s="19" t="str">
        <f ca="1">IFERROR(__xludf.DUMMYFUNCTION("CONCATENATE(""Volume "",REGEXEXTRACT(A159,""[\d]+""),"", Number "",RIGHT(A159,LEN(A159) - 19))"),"Volume 23, Number 4")</f>
        <v>Volume 23, Number 4</v>
      </c>
      <c r="F159" s="3" t="s">
        <v>689</v>
      </c>
      <c r="G159" s="30">
        <v>36802</v>
      </c>
      <c r="H159" s="1" t="s">
        <v>317</v>
      </c>
      <c r="I159" s="2" t="s">
        <v>26</v>
      </c>
      <c r="J159" s="1" t="s">
        <v>27</v>
      </c>
      <c r="K159" s="1" t="s">
        <v>28</v>
      </c>
      <c r="L159" s="1" t="s">
        <v>29</v>
      </c>
      <c r="M159" s="1" t="s">
        <v>31</v>
      </c>
      <c r="N159" s="2"/>
      <c r="O159" s="2"/>
      <c r="P159" s="2"/>
      <c r="Q159" s="2" t="s">
        <v>32</v>
      </c>
      <c r="R159" s="1" t="s">
        <v>33</v>
      </c>
      <c r="S159" s="1" t="s">
        <v>34</v>
      </c>
      <c r="T159" s="2" t="s">
        <v>35</v>
      </c>
      <c r="U159" s="7" t="s">
        <v>36</v>
      </c>
    </row>
    <row r="160" spans="1:21" ht="84" x14ac:dyDescent="0.15">
      <c r="A160" s="4" t="s">
        <v>690</v>
      </c>
      <c r="B160" s="24" t="s">
        <v>691</v>
      </c>
      <c r="C160" s="1" t="s">
        <v>272</v>
      </c>
      <c r="D160" s="2" t="s">
        <v>692</v>
      </c>
      <c r="E160" s="19" t="str">
        <f ca="1">IFERROR(__xludf.DUMMYFUNCTION("CONCATENATE(""Volume "",REGEXEXTRACT(A160,""[\d]+""),"", Number "",RIGHT(A160,LEN(A160) - 19))"),"Volume 23, Number 5")</f>
        <v>Volume 23, Number 5</v>
      </c>
      <c r="F160" s="3" t="s">
        <v>693</v>
      </c>
      <c r="G160" s="30">
        <v>36809</v>
      </c>
      <c r="H160" s="1" t="s">
        <v>317</v>
      </c>
      <c r="I160" s="2" t="s">
        <v>26</v>
      </c>
      <c r="J160" s="1" t="s">
        <v>27</v>
      </c>
      <c r="K160" s="1" t="s">
        <v>28</v>
      </c>
      <c r="L160" s="1" t="s">
        <v>29</v>
      </c>
      <c r="M160" s="1" t="s">
        <v>30</v>
      </c>
      <c r="N160" s="2"/>
      <c r="O160" s="2"/>
      <c r="P160" s="2"/>
      <c r="Q160" s="2" t="s">
        <v>32</v>
      </c>
      <c r="R160" s="1" t="s">
        <v>33</v>
      </c>
      <c r="S160" s="1" t="s">
        <v>34</v>
      </c>
      <c r="T160" s="2" t="s">
        <v>35</v>
      </c>
      <c r="U160" s="8" t="s">
        <v>36</v>
      </c>
    </row>
    <row r="161" spans="1:21" ht="98" x14ac:dyDescent="0.15">
      <c r="A161" s="4" t="s">
        <v>694</v>
      </c>
      <c r="B161" s="24" t="s">
        <v>695</v>
      </c>
      <c r="C161" s="1" t="s">
        <v>272</v>
      </c>
      <c r="D161" s="2" t="s">
        <v>696</v>
      </c>
      <c r="E161" s="19" t="str">
        <f ca="1">IFERROR(__xludf.DUMMYFUNCTION("CONCATENATE(""Volume "",REGEXEXTRACT(A161,""[\d]+""),"", Number "",RIGHT(A161,LEN(A161) - 19))"),"Volume 23, Number 6")</f>
        <v>Volume 23, Number 6</v>
      </c>
      <c r="F161" s="3" t="s">
        <v>697</v>
      </c>
      <c r="G161" s="30">
        <v>36823</v>
      </c>
      <c r="H161" s="1" t="s">
        <v>280</v>
      </c>
      <c r="I161" s="2" t="s">
        <v>26</v>
      </c>
      <c r="J161" s="1" t="s">
        <v>27</v>
      </c>
      <c r="K161" s="1" t="s">
        <v>28</v>
      </c>
      <c r="L161" s="1" t="s">
        <v>30</v>
      </c>
      <c r="M161" s="1" t="s">
        <v>48</v>
      </c>
      <c r="N161" s="2" t="s">
        <v>30</v>
      </c>
      <c r="O161" s="2"/>
      <c r="P161" s="2"/>
      <c r="Q161" s="2" t="s">
        <v>32</v>
      </c>
      <c r="R161" s="1" t="s">
        <v>33</v>
      </c>
      <c r="S161" s="1" t="s">
        <v>34</v>
      </c>
      <c r="T161" s="2" t="s">
        <v>35</v>
      </c>
      <c r="U161" s="6" t="s">
        <v>36</v>
      </c>
    </row>
    <row r="162" spans="1:21" ht="84" x14ac:dyDescent="0.15">
      <c r="A162" s="4" t="s">
        <v>698</v>
      </c>
      <c r="B162" s="24" t="s">
        <v>699</v>
      </c>
      <c r="C162" s="1" t="s">
        <v>272</v>
      </c>
      <c r="D162" s="2" t="s">
        <v>700</v>
      </c>
      <c r="E162" s="19" t="str">
        <f ca="1">IFERROR(__xludf.DUMMYFUNCTION("CONCATENATE(""Volume "",REGEXEXTRACT(A162,""[\d]+""),"", Number "",RIGHT(A162,LEN(A162) - 19))"),"Volume 23, Number 7")</f>
        <v>Volume 23, Number 7</v>
      </c>
      <c r="F162" s="3" t="s">
        <v>701</v>
      </c>
      <c r="G162" s="30">
        <v>36830</v>
      </c>
      <c r="H162" s="1" t="s">
        <v>702</v>
      </c>
      <c r="I162" s="2" t="s">
        <v>26</v>
      </c>
      <c r="J162" s="1" t="s">
        <v>27</v>
      </c>
      <c r="K162" s="1" t="s">
        <v>28</v>
      </c>
      <c r="L162" s="1" t="s">
        <v>29</v>
      </c>
      <c r="M162" s="1" t="s">
        <v>75</v>
      </c>
      <c r="N162" s="2"/>
      <c r="O162" s="2"/>
      <c r="P162" s="2"/>
      <c r="Q162" s="2" t="s">
        <v>32</v>
      </c>
      <c r="R162" s="1" t="s">
        <v>33</v>
      </c>
      <c r="S162" s="1" t="s">
        <v>34</v>
      </c>
      <c r="T162" s="2" t="s">
        <v>35</v>
      </c>
      <c r="U162" s="7" t="s">
        <v>36</v>
      </c>
    </row>
    <row r="163" spans="1:21" ht="84" x14ac:dyDescent="0.15">
      <c r="A163" s="4" t="s">
        <v>703</v>
      </c>
      <c r="B163" s="24" t="s">
        <v>704</v>
      </c>
      <c r="C163" s="1" t="s">
        <v>272</v>
      </c>
      <c r="D163" s="2" t="s">
        <v>705</v>
      </c>
      <c r="E163" s="19" t="str">
        <f ca="1">IFERROR(__xludf.DUMMYFUNCTION("CONCATENATE(""Volume "",REGEXEXTRACT(A163,""[\d]+""),"", Number "",RIGHT(A163,LEN(A163) - 19))"),"Volume 23, Number 8")</f>
        <v>Volume 23, Number 8</v>
      </c>
      <c r="F163" s="3" t="s">
        <v>706</v>
      </c>
      <c r="G163" s="30">
        <v>36837</v>
      </c>
      <c r="H163" s="1" t="s">
        <v>317</v>
      </c>
      <c r="I163" s="2" t="s">
        <v>26</v>
      </c>
      <c r="J163" s="1" t="s">
        <v>27</v>
      </c>
      <c r="K163" s="1" t="s">
        <v>28</v>
      </c>
      <c r="L163" s="1" t="s">
        <v>29</v>
      </c>
      <c r="N163" s="2"/>
      <c r="O163" s="2"/>
      <c r="P163" s="2"/>
      <c r="Q163" s="2" t="s">
        <v>32</v>
      </c>
      <c r="R163" s="1" t="s">
        <v>33</v>
      </c>
      <c r="S163" s="1" t="s">
        <v>34</v>
      </c>
      <c r="T163" s="2" t="s">
        <v>35</v>
      </c>
      <c r="U163" s="8" t="s">
        <v>36</v>
      </c>
    </row>
    <row r="164" spans="1:21" ht="84" x14ac:dyDescent="0.15">
      <c r="A164" s="4" t="s">
        <v>707</v>
      </c>
      <c r="B164" s="24" t="s">
        <v>708</v>
      </c>
      <c r="C164" s="1" t="s">
        <v>272</v>
      </c>
      <c r="D164" s="2" t="s">
        <v>709</v>
      </c>
      <c r="E164" s="19" t="str">
        <f ca="1">IFERROR(__xludf.DUMMYFUNCTION("CONCATENATE(""Volume "",REGEXEXTRACT(A164,""[\d]+""),"", Number "",RIGHT(A164,LEN(A164) - 19))"),"Volume 23, Number 9")</f>
        <v>Volume 23, Number 9</v>
      </c>
      <c r="F164" s="3" t="s">
        <v>710</v>
      </c>
      <c r="G164" s="30" t="s">
        <v>711</v>
      </c>
      <c r="H164" s="1" t="s">
        <v>317</v>
      </c>
      <c r="I164" s="2" t="s">
        <v>26</v>
      </c>
      <c r="J164" s="1" t="s">
        <v>27</v>
      </c>
      <c r="K164" s="1" t="s">
        <v>28</v>
      </c>
      <c r="L164" s="1" t="s">
        <v>29</v>
      </c>
      <c r="N164" s="2"/>
      <c r="O164" s="2"/>
      <c r="P164" s="2"/>
      <c r="Q164" s="2" t="s">
        <v>32</v>
      </c>
      <c r="R164" s="1" t="s">
        <v>33</v>
      </c>
      <c r="S164" s="1" t="s">
        <v>34</v>
      </c>
      <c r="T164" s="2" t="s">
        <v>35</v>
      </c>
      <c r="U164" s="6" t="s">
        <v>36</v>
      </c>
    </row>
    <row r="165" spans="1:21" ht="84" x14ac:dyDescent="0.15">
      <c r="A165" s="4" t="s">
        <v>712</v>
      </c>
      <c r="B165" s="24" t="s">
        <v>713</v>
      </c>
      <c r="C165" s="1" t="s">
        <v>272</v>
      </c>
      <c r="D165" s="2" t="s">
        <v>714</v>
      </c>
      <c r="E165" s="19" t="str">
        <f ca="1">IFERROR(__xludf.DUMMYFUNCTION("CONCATENATE(""Volume "",REGEXEXTRACT(A165,""[\d]+""),"", Number "",RIGHT(A165,LEN(A165) - 19))"),"Volume 24, Number 1")</f>
        <v>Volume 24, Number 1</v>
      </c>
      <c r="F165" s="3" t="s">
        <v>715</v>
      </c>
      <c r="G165" s="30">
        <v>37139</v>
      </c>
      <c r="H165" s="1" t="s">
        <v>280</v>
      </c>
      <c r="I165" s="2" t="s">
        <v>26</v>
      </c>
      <c r="J165" s="1" t="s">
        <v>27</v>
      </c>
      <c r="K165" s="1" t="s">
        <v>28</v>
      </c>
      <c r="L165" s="1" t="s">
        <v>29</v>
      </c>
      <c r="M165" s="1" t="s">
        <v>31</v>
      </c>
      <c r="N165" s="2"/>
      <c r="O165" s="2"/>
      <c r="P165" s="2"/>
      <c r="Q165" s="2" t="s">
        <v>32</v>
      </c>
      <c r="R165" s="1" t="s">
        <v>33</v>
      </c>
      <c r="S165" s="1" t="s">
        <v>34</v>
      </c>
      <c r="T165" s="2" t="s">
        <v>35</v>
      </c>
      <c r="U165" s="7" t="s">
        <v>36</v>
      </c>
    </row>
    <row r="166" spans="1:21" ht="84" x14ac:dyDescent="0.15">
      <c r="A166" s="4" t="s">
        <v>716</v>
      </c>
      <c r="B166" s="24" t="s">
        <v>717</v>
      </c>
      <c r="C166" s="1" t="s">
        <v>272</v>
      </c>
      <c r="D166" s="2" t="s">
        <v>718</v>
      </c>
      <c r="E166" s="19" t="str">
        <f ca="1">IFERROR(__xludf.DUMMYFUNCTION("CONCATENATE(""Volume "",REGEXEXTRACT(A166,""[\d]+""),"", Number "",RIGHT(A166,LEN(A166) - 19))"),"Volume 24, Number 10")</f>
        <v>Volume 24, Number 10</v>
      </c>
      <c r="F166" s="3" t="s">
        <v>719</v>
      </c>
      <c r="G166" s="30">
        <v>37215</v>
      </c>
      <c r="H166" s="1" t="s">
        <v>586</v>
      </c>
      <c r="I166" s="2" t="s">
        <v>26</v>
      </c>
      <c r="J166" s="1" t="s">
        <v>27</v>
      </c>
      <c r="K166" s="1" t="s">
        <v>28</v>
      </c>
      <c r="L166" s="1" t="s">
        <v>29</v>
      </c>
      <c r="M166" s="1" t="s">
        <v>30</v>
      </c>
      <c r="N166" s="2"/>
      <c r="O166" s="2"/>
      <c r="P166" s="2"/>
      <c r="Q166" s="2" t="s">
        <v>32</v>
      </c>
      <c r="R166" s="1" t="s">
        <v>33</v>
      </c>
      <c r="S166" s="1" t="s">
        <v>34</v>
      </c>
      <c r="T166" s="2" t="s">
        <v>35</v>
      </c>
      <c r="U166" s="8" t="s">
        <v>36</v>
      </c>
    </row>
    <row r="167" spans="1:21" ht="98" x14ac:dyDescent="0.15">
      <c r="A167" s="4" t="s">
        <v>720</v>
      </c>
      <c r="B167" s="24" t="s">
        <v>721</v>
      </c>
      <c r="C167" s="1" t="s">
        <v>272</v>
      </c>
      <c r="D167" s="2" t="s">
        <v>722</v>
      </c>
      <c r="E167" s="19" t="str">
        <f ca="1">IFERROR(__xludf.DUMMYFUNCTION("CONCATENATE(""Volume "",REGEXEXTRACT(A167,""[\d]+""),"", Number "",RIGHT(A167,LEN(A167) - 19))"),"Volume 24, Number 12")</f>
        <v>Volume 24, Number 12</v>
      </c>
      <c r="F167" s="3" t="s">
        <v>723</v>
      </c>
      <c r="G167" s="30">
        <v>37228</v>
      </c>
      <c r="H167" s="1" t="s">
        <v>586</v>
      </c>
      <c r="I167" s="2" t="s">
        <v>26</v>
      </c>
      <c r="J167" s="1" t="s">
        <v>27</v>
      </c>
      <c r="K167" s="1" t="s">
        <v>28</v>
      </c>
      <c r="L167" s="1" t="s">
        <v>29</v>
      </c>
      <c r="N167" s="2"/>
      <c r="O167" s="2"/>
      <c r="P167" s="2"/>
      <c r="Q167" s="2" t="s">
        <v>32</v>
      </c>
      <c r="R167" s="1" t="s">
        <v>33</v>
      </c>
      <c r="S167" s="1" t="s">
        <v>34</v>
      </c>
      <c r="T167" s="2" t="s">
        <v>35</v>
      </c>
      <c r="U167" s="6" t="s">
        <v>36</v>
      </c>
    </row>
    <row r="168" spans="1:21" ht="126" x14ac:dyDescent="0.15">
      <c r="A168" s="4" t="s">
        <v>724</v>
      </c>
      <c r="B168" s="24" t="s">
        <v>725</v>
      </c>
      <c r="C168" s="1" t="s">
        <v>272</v>
      </c>
      <c r="D168" s="2" t="s">
        <v>726</v>
      </c>
      <c r="E168" s="19" t="str">
        <f ca="1">IFERROR(__xludf.DUMMYFUNCTION("CONCATENATE(""Volume "",REGEXEXTRACT(A168,""[\d]+""),"", Number "",RIGHT(A168,LEN(A168) - 19))"),"Volume 24, Number 13")</f>
        <v>Volume 24, Number 13</v>
      </c>
      <c r="F168" s="3" t="s">
        <v>727</v>
      </c>
      <c r="G168" s="30">
        <v>37236</v>
      </c>
      <c r="H168" s="1" t="s">
        <v>25</v>
      </c>
      <c r="I168" s="2" t="s">
        <v>26</v>
      </c>
      <c r="J168" s="1" t="s">
        <v>27</v>
      </c>
      <c r="K168" s="1" t="s">
        <v>28</v>
      </c>
      <c r="L168" s="1" t="s">
        <v>29</v>
      </c>
      <c r="M168" s="1" t="s">
        <v>70</v>
      </c>
      <c r="N168" s="2" t="s">
        <v>49</v>
      </c>
      <c r="O168" s="2"/>
      <c r="P168" s="2"/>
      <c r="Q168" s="2" t="s">
        <v>32</v>
      </c>
      <c r="R168" s="1" t="s">
        <v>33</v>
      </c>
      <c r="S168" s="1" t="s">
        <v>34</v>
      </c>
      <c r="T168" s="2" t="s">
        <v>35</v>
      </c>
      <c r="U168" s="7" t="s">
        <v>36</v>
      </c>
    </row>
    <row r="169" spans="1:21" ht="140" x14ac:dyDescent="0.15">
      <c r="A169" s="4" t="s">
        <v>728</v>
      </c>
      <c r="B169" s="24" t="s">
        <v>729</v>
      </c>
      <c r="C169" s="1" t="s">
        <v>272</v>
      </c>
      <c r="D169" s="2" t="s">
        <v>730</v>
      </c>
      <c r="E169" s="19" t="str">
        <f ca="1">IFERROR(__xludf.DUMMYFUNCTION("CONCATENATE(""Volume "",REGEXEXTRACT(A169,""[\d]+""),"", Number "",RIGHT(A169,LEN(A169) - 19))"),"Volume 24, Number 14")</f>
        <v>Volume 24, Number 14</v>
      </c>
      <c r="F169" s="3" t="s">
        <v>731</v>
      </c>
      <c r="G169" s="30">
        <v>37246</v>
      </c>
      <c r="H169" s="1" t="s">
        <v>528</v>
      </c>
      <c r="I169" s="2" t="s">
        <v>26</v>
      </c>
      <c r="J169" s="1" t="s">
        <v>27</v>
      </c>
      <c r="K169" s="1" t="s">
        <v>28</v>
      </c>
      <c r="L169" s="1" t="s">
        <v>29</v>
      </c>
      <c r="N169" s="2"/>
      <c r="O169" s="2"/>
      <c r="P169" s="2"/>
      <c r="Q169" s="2" t="s">
        <v>32</v>
      </c>
      <c r="R169" s="1" t="s">
        <v>33</v>
      </c>
      <c r="S169" s="1" t="s">
        <v>34</v>
      </c>
      <c r="T169" s="2" t="s">
        <v>35</v>
      </c>
      <c r="U169" s="8" t="s">
        <v>36</v>
      </c>
    </row>
    <row r="170" spans="1:21" ht="56" x14ac:dyDescent="0.15">
      <c r="A170" s="4" t="s">
        <v>732</v>
      </c>
      <c r="B170" s="24" t="s">
        <v>733</v>
      </c>
      <c r="C170" s="1" t="s">
        <v>272</v>
      </c>
      <c r="D170" s="2" t="s">
        <v>734</v>
      </c>
      <c r="E170" s="19" t="str">
        <f ca="1">IFERROR(__xludf.DUMMYFUNCTION("CONCATENATE(""Volume "",REGEXEXTRACT(A170,""[\d]+""),"", Number "",RIGHT(A170,LEN(A170) - 19))"),"Volume 24, Number 15")</f>
        <v>Volume 24, Number 15</v>
      </c>
      <c r="F170" s="3" t="s">
        <v>735</v>
      </c>
      <c r="G170" s="30">
        <v>37265</v>
      </c>
      <c r="H170" s="1" t="s">
        <v>275</v>
      </c>
      <c r="I170" s="2" t="s">
        <v>26</v>
      </c>
      <c r="J170" s="1" t="s">
        <v>27</v>
      </c>
      <c r="K170" s="1" t="s">
        <v>28</v>
      </c>
      <c r="L170" s="1" t="s">
        <v>29</v>
      </c>
      <c r="N170" s="2"/>
      <c r="O170" s="2"/>
      <c r="P170" s="2"/>
      <c r="Q170" s="2" t="s">
        <v>32</v>
      </c>
      <c r="R170" s="1" t="s">
        <v>33</v>
      </c>
      <c r="S170" s="1" t="s">
        <v>34</v>
      </c>
      <c r="T170" s="2" t="s">
        <v>35</v>
      </c>
      <c r="U170" s="6" t="s">
        <v>36</v>
      </c>
    </row>
    <row r="171" spans="1:21" ht="112" x14ac:dyDescent="0.15">
      <c r="A171" s="4" t="s">
        <v>736</v>
      </c>
      <c r="B171" s="24" t="s">
        <v>737</v>
      </c>
      <c r="C171" s="1" t="s">
        <v>272</v>
      </c>
      <c r="D171" s="2" t="s">
        <v>738</v>
      </c>
      <c r="E171" s="19" t="str">
        <f ca="1">IFERROR(__xludf.DUMMYFUNCTION("CONCATENATE(""Volume "",REGEXEXTRACT(A171,""[\d]+""),"", Number "",RIGHT(A171,LEN(A171) - 19))"),"Volume 24, Number 16")</f>
        <v>Volume 24, Number 16</v>
      </c>
      <c r="F171" s="3" t="s">
        <v>739</v>
      </c>
      <c r="G171" s="30">
        <v>37286</v>
      </c>
      <c r="H171" s="1" t="s">
        <v>740</v>
      </c>
      <c r="I171" s="2" t="s">
        <v>26</v>
      </c>
      <c r="J171" s="1" t="s">
        <v>27</v>
      </c>
      <c r="K171" s="1" t="s">
        <v>28</v>
      </c>
      <c r="L171" s="1" t="s">
        <v>80</v>
      </c>
      <c r="M171" s="1" t="s">
        <v>30</v>
      </c>
      <c r="N171" s="2"/>
      <c r="O171" s="2"/>
      <c r="P171" s="2"/>
      <c r="Q171" s="2" t="s">
        <v>32</v>
      </c>
      <c r="R171" s="1" t="s">
        <v>33</v>
      </c>
      <c r="S171" s="1" t="s">
        <v>34</v>
      </c>
      <c r="T171" s="2" t="s">
        <v>35</v>
      </c>
      <c r="U171" s="7" t="s">
        <v>36</v>
      </c>
    </row>
    <row r="172" spans="1:21" ht="140" x14ac:dyDescent="0.15">
      <c r="A172" s="4" t="s">
        <v>741</v>
      </c>
      <c r="B172" s="24" t="s">
        <v>742</v>
      </c>
      <c r="C172" s="1" t="s">
        <v>272</v>
      </c>
      <c r="D172" s="2" t="s">
        <v>743</v>
      </c>
      <c r="E172" s="19" t="str">
        <f ca="1">IFERROR(__xludf.DUMMYFUNCTION("CONCATENATE(""Volume "",REGEXEXTRACT(A172,""[\d]+""),"", Number "",RIGHT(A172,LEN(A172) - 19))"),"Volume 24, Number 17")</f>
        <v>Volume 24, Number 17</v>
      </c>
      <c r="F172" s="3" t="s">
        <v>744</v>
      </c>
      <c r="G172" s="30">
        <v>37300</v>
      </c>
      <c r="H172" s="1" t="s">
        <v>25</v>
      </c>
      <c r="I172" s="2" t="s">
        <v>26</v>
      </c>
      <c r="J172" s="1" t="s">
        <v>27</v>
      </c>
      <c r="K172" s="1" t="s">
        <v>28</v>
      </c>
      <c r="L172" s="1" t="s">
        <v>179</v>
      </c>
      <c r="M172" s="1" t="s">
        <v>30</v>
      </c>
      <c r="N172" s="2" t="s">
        <v>54</v>
      </c>
      <c r="O172" s="2"/>
      <c r="P172" s="2"/>
      <c r="Q172" s="2" t="s">
        <v>32</v>
      </c>
      <c r="R172" s="1" t="s">
        <v>33</v>
      </c>
      <c r="S172" s="1" t="s">
        <v>34</v>
      </c>
      <c r="T172" s="2" t="s">
        <v>35</v>
      </c>
      <c r="U172" s="8" t="s">
        <v>36</v>
      </c>
    </row>
    <row r="173" spans="1:21" ht="84" x14ac:dyDescent="0.15">
      <c r="A173" s="4" t="s">
        <v>745</v>
      </c>
      <c r="B173" s="24" t="s">
        <v>746</v>
      </c>
      <c r="C173" s="1" t="s">
        <v>272</v>
      </c>
      <c r="D173" s="2" t="s">
        <v>747</v>
      </c>
      <c r="E173" s="19" t="str">
        <f ca="1">IFERROR(__xludf.DUMMYFUNCTION("CONCATENATE(""Volume "",REGEXEXTRACT(A173,""[\d]+""),"", Number "",RIGHT(A173,LEN(A173) - 19))"),"Volume 24, Number 18")</f>
        <v>Volume 24, Number 18</v>
      </c>
      <c r="F173" s="3" t="s">
        <v>748</v>
      </c>
      <c r="G173" s="30">
        <v>37319</v>
      </c>
      <c r="H173" s="1" t="s">
        <v>280</v>
      </c>
      <c r="I173" s="2" t="s">
        <v>26</v>
      </c>
      <c r="J173" s="1" t="s">
        <v>27</v>
      </c>
      <c r="K173" s="1" t="s">
        <v>28</v>
      </c>
      <c r="L173" s="1" t="s">
        <v>30</v>
      </c>
      <c r="M173" s="1" t="s">
        <v>75</v>
      </c>
      <c r="N173" s="2"/>
      <c r="O173" s="2"/>
      <c r="P173" s="2"/>
      <c r="Q173" s="2" t="s">
        <v>32</v>
      </c>
      <c r="R173" s="1" t="s">
        <v>33</v>
      </c>
      <c r="S173" s="1" t="s">
        <v>34</v>
      </c>
      <c r="T173" s="2" t="s">
        <v>35</v>
      </c>
      <c r="U173" s="6" t="s">
        <v>36</v>
      </c>
    </row>
    <row r="174" spans="1:21" ht="154" x14ac:dyDescent="0.15">
      <c r="A174" s="4" t="s">
        <v>749</v>
      </c>
      <c r="B174" s="24" t="s">
        <v>750</v>
      </c>
      <c r="C174" s="1" t="s">
        <v>272</v>
      </c>
      <c r="D174" s="2" t="s">
        <v>751</v>
      </c>
      <c r="E174" s="19" t="str">
        <f ca="1">IFERROR(__xludf.DUMMYFUNCTION("CONCATENATE(""Volume "",REGEXEXTRACT(A174,""[\d]+""),"", Number "",RIGHT(A174,LEN(A174) - 19))"),"Volume 24, Number 19")</f>
        <v>Volume 24, Number 19</v>
      </c>
      <c r="F174" s="3" t="s">
        <v>752</v>
      </c>
      <c r="G174" s="30">
        <v>37340</v>
      </c>
      <c r="H174" s="1" t="s">
        <v>25</v>
      </c>
      <c r="I174" s="2" t="s">
        <v>26</v>
      </c>
      <c r="J174" s="1" t="s">
        <v>27</v>
      </c>
      <c r="K174" s="1" t="s">
        <v>28</v>
      </c>
      <c r="L174" s="1" t="s">
        <v>29</v>
      </c>
      <c r="M174" s="1" t="s">
        <v>179</v>
      </c>
      <c r="N174" s="2" t="s">
        <v>54</v>
      </c>
      <c r="O174" s="2" t="s">
        <v>30</v>
      </c>
      <c r="P174" s="2" t="s">
        <v>80</v>
      </c>
      <c r="Q174" s="2" t="s">
        <v>32</v>
      </c>
      <c r="R174" s="1" t="s">
        <v>33</v>
      </c>
      <c r="S174" s="1" t="s">
        <v>34</v>
      </c>
      <c r="T174" s="2" t="s">
        <v>35</v>
      </c>
      <c r="U174" s="7" t="s">
        <v>36</v>
      </c>
    </row>
    <row r="175" spans="1:21" ht="70" x14ac:dyDescent="0.15">
      <c r="A175" s="4" t="s">
        <v>753</v>
      </c>
      <c r="B175" s="24" t="s">
        <v>754</v>
      </c>
      <c r="C175" s="1" t="s">
        <v>272</v>
      </c>
      <c r="D175" s="2" t="s">
        <v>755</v>
      </c>
      <c r="E175" s="19" t="str">
        <f ca="1">IFERROR(__xludf.DUMMYFUNCTION("CONCATENATE(""Volume "",REGEXEXTRACT(A175,""[\d]+""),"", Number "",RIGHT(A175,LEN(A175) - 19))"),"Volume 24, Number 2")</f>
        <v>Volume 24, Number 2</v>
      </c>
      <c r="F175" s="3" t="s">
        <v>756</v>
      </c>
      <c r="G175" s="30">
        <v>37145</v>
      </c>
      <c r="H175" s="1" t="s">
        <v>317</v>
      </c>
      <c r="I175" s="2" t="s">
        <v>26</v>
      </c>
      <c r="J175" s="1" t="s">
        <v>27</v>
      </c>
      <c r="K175" s="1" t="s">
        <v>28</v>
      </c>
      <c r="L175" s="1" t="s">
        <v>29</v>
      </c>
      <c r="M175" s="1" t="s">
        <v>31</v>
      </c>
      <c r="N175" s="5" t="s">
        <v>80</v>
      </c>
      <c r="O175" s="5" t="s">
        <v>179</v>
      </c>
      <c r="P175" s="2"/>
      <c r="Q175" s="2" t="s">
        <v>32</v>
      </c>
      <c r="R175" s="1" t="s">
        <v>33</v>
      </c>
      <c r="S175" s="1" t="s">
        <v>34</v>
      </c>
      <c r="T175" s="2" t="s">
        <v>35</v>
      </c>
      <c r="U175" s="8" t="s">
        <v>36</v>
      </c>
    </row>
    <row r="176" spans="1:21" ht="140" x14ac:dyDescent="0.15">
      <c r="A176" s="4" t="s">
        <v>757</v>
      </c>
      <c r="B176" s="24" t="s">
        <v>758</v>
      </c>
      <c r="C176" s="1" t="s">
        <v>272</v>
      </c>
      <c r="D176" s="2" t="s">
        <v>759</v>
      </c>
      <c r="E176" s="19" t="str">
        <f ca="1">IFERROR(__xludf.DUMMYFUNCTION("CONCATENATE(""Volume "",REGEXEXTRACT(A176,""[\d]+""),"", Number "",RIGHT(A176,LEN(A176) - 19))"),"Volume 24, Number 21")</f>
        <v>Volume 24, Number 21</v>
      </c>
      <c r="F176" s="3" t="s">
        <v>760</v>
      </c>
      <c r="G176" s="30">
        <v>37377</v>
      </c>
      <c r="H176" s="1" t="s">
        <v>25</v>
      </c>
      <c r="I176" s="2" t="s">
        <v>26</v>
      </c>
      <c r="J176" s="1" t="s">
        <v>27</v>
      </c>
      <c r="K176" s="1" t="s">
        <v>28</v>
      </c>
      <c r="L176" s="1" t="s">
        <v>80</v>
      </c>
      <c r="M176" s="1" t="s">
        <v>29</v>
      </c>
      <c r="N176" s="2" t="s">
        <v>54</v>
      </c>
      <c r="O176" s="5" t="s">
        <v>31</v>
      </c>
      <c r="P176" s="2"/>
      <c r="Q176" s="2" t="s">
        <v>32</v>
      </c>
      <c r="R176" s="1" t="s">
        <v>33</v>
      </c>
      <c r="S176" s="1" t="s">
        <v>34</v>
      </c>
      <c r="T176" s="2" t="s">
        <v>35</v>
      </c>
      <c r="U176" s="6" t="s">
        <v>36</v>
      </c>
    </row>
    <row r="177" spans="1:37" ht="154" x14ac:dyDescent="0.15">
      <c r="A177" s="4" t="s">
        <v>761</v>
      </c>
      <c r="B177" s="1" t="s">
        <v>762</v>
      </c>
      <c r="C177" s="1" t="s">
        <v>272</v>
      </c>
      <c r="D177" s="2" t="s">
        <v>763</v>
      </c>
      <c r="E177" s="19" t="str">
        <f ca="1">IFERROR(__xludf.DUMMYFUNCTION("CONCATENATE(""Volume "",REGEXEXTRACT(A177,""[\d]+""),"", Number "",RIGHT(A177,LEN(A177) - 19))"),"Volume 24, Number 22")</f>
        <v>Volume 24, Number 22</v>
      </c>
      <c r="F177" s="3" t="s">
        <v>764</v>
      </c>
      <c r="G177" s="30">
        <v>37396</v>
      </c>
      <c r="H177" s="1" t="s">
        <v>765</v>
      </c>
      <c r="I177" s="2" t="s">
        <v>26</v>
      </c>
      <c r="J177" s="1" t="s">
        <v>27</v>
      </c>
      <c r="K177" s="1" t="s">
        <v>28</v>
      </c>
      <c r="L177" s="1" t="s">
        <v>179</v>
      </c>
      <c r="M177" s="1" t="s">
        <v>29</v>
      </c>
      <c r="N177" s="2" t="s">
        <v>54</v>
      </c>
      <c r="O177" s="2" t="s">
        <v>75</v>
      </c>
      <c r="P177" s="2"/>
      <c r="Q177" s="2" t="s">
        <v>32</v>
      </c>
      <c r="R177" s="1" t="s">
        <v>33</v>
      </c>
      <c r="S177" s="1" t="s">
        <v>34</v>
      </c>
      <c r="T177" s="2" t="s">
        <v>35</v>
      </c>
      <c r="U177" s="7" t="s">
        <v>36</v>
      </c>
    </row>
    <row r="178" spans="1:37" ht="70" x14ac:dyDescent="0.15">
      <c r="A178" s="4" t="s">
        <v>766</v>
      </c>
      <c r="B178" s="1" t="s">
        <v>767</v>
      </c>
      <c r="C178" s="1" t="s">
        <v>272</v>
      </c>
      <c r="D178" s="2" t="s">
        <v>768</v>
      </c>
      <c r="E178" s="19" t="str">
        <f ca="1">IFERROR(__xludf.DUMMYFUNCTION("CONCATENATE(""Volume "",REGEXEXTRACT(A178,""[\d]+""),"", Number "",RIGHT(A178,LEN(A178) - 19))"),"Volume 24, Number 24")</f>
        <v>Volume 24, Number 24</v>
      </c>
      <c r="F178" s="3" t="s">
        <v>769</v>
      </c>
      <c r="G178" s="30">
        <v>37454</v>
      </c>
      <c r="H178" s="1" t="s">
        <v>275</v>
      </c>
      <c r="I178" s="2" t="s">
        <v>26</v>
      </c>
      <c r="J178" s="1" t="s">
        <v>27</v>
      </c>
      <c r="K178" s="1" t="s">
        <v>28</v>
      </c>
      <c r="L178" s="1" t="s">
        <v>179</v>
      </c>
      <c r="N178" s="2"/>
      <c r="O178" s="2"/>
      <c r="P178" s="2"/>
      <c r="Q178" s="2" t="s">
        <v>32</v>
      </c>
      <c r="R178" s="1" t="s">
        <v>33</v>
      </c>
      <c r="S178" s="1" t="s">
        <v>34</v>
      </c>
      <c r="T178" s="2" t="s">
        <v>35</v>
      </c>
      <c r="U178" s="8" t="s">
        <v>36</v>
      </c>
    </row>
    <row r="179" spans="1:37" ht="98" x14ac:dyDescent="0.15">
      <c r="A179" s="4" t="s">
        <v>770</v>
      </c>
      <c r="B179" s="9" t="s">
        <v>771</v>
      </c>
      <c r="C179" s="1" t="s">
        <v>272</v>
      </c>
      <c r="D179" s="2" t="s">
        <v>772</v>
      </c>
      <c r="E179" s="19" t="str">
        <f ca="1">IFERROR(__xludf.DUMMYFUNCTION("CONCATENATE(""Volume "",REGEXEXTRACT(A179,""[\d]+""),"", Number "",RIGHT(A179,LEN(A179) - 19))"),"Volume 24, Number 25")</f>
        <v>Volume 24, Number 25</v>
      </c>
      <c r="F179" s="3" t="s">
        <v>773</v>
      </c>
      <c r="G179" s="30">
        <v>37480</v>
      </c>
      <c r="H179" s="1" t="s">
        <v>280</v>
      </c>
      <c r="I179" s="2" t="s">
        <v>26</v>
      </c>
      <c r="J179" s="1" t="s">
        <v>27</v>
      </c>
      <c r="K179" s="1" t="s">
        <v>28</v>
      </c>
      <c r="L179" s="1" t="s">
        <v>29</v>
      </c>
      <c r="N179" s="2"/>
      <c r="O179" s="2"/>
      <c r="P179" s="2"/>
      <c r="Q179" s="2" t="s">
        <v>32</v>
      </c>
      <c r="R179" s="1" t="s">
        <v>33</v>
      </c>
      <c r="S179" s="1" t="s">
        <v>34</v>
      </c>
      <c r="T179" s="2" t="s">
        <v>35</v>
      </c>
      <c r="U179" s="6" t="s">
        <v>36</v>
      </c>
    </row>
    <row r="180" spans="1:37" ht="84" x14ac:dyDescent="0.15">
      <c r="A180" s="4" t="s">
        <v>774</v>
      </c>
      <c r="B180" s="9" t="s">
        <v>775</v>
      </c>
      <c r="C180" s="1" t="s">
        <v>272</v>
      </c>
      <c r="D180" s="2" t="s">
        <v>776</v>
      </c>
      <c r="E180" s="19" t="str">
        <f ca="1">IFERROR(__xludf.DUMMYFUNCTION("CONCATENATE(""Volume "",REGEXEXTRACT(A180,""[\d]+""),"", Number "",RIGHT(A180,LEN(A180) - 19))"),"Volume 24, Number 3")</f>
        <v>Volume 24, Number 3</v>
      </c>
      <c r="F180" s="3" t="s">
        <v>777</v>
      </c>
      <c r="G180" s="30">
        <v>37152</v>
      </c>
      <c r="H180" s="1" t="s">
        <v>317</v>
      </c>
      <c r="I180" s="2" t="s">
        <v>26</v>
      </c>
      <c r="J180" s="1" t="s">
        <v>27</v>
      </c>
      <c r="K180" s="1" t="s">
        <v>28</v>
      </c>
      <c r="L180" s="1" t="s">
        <v>49</v>
      </c>
      <c r="M180" s="1" t="s">
        <v>29</v>
      </c>
      <c r="N180" s="2" t="s">
        <v>31</v>
      </c>
      <c r="O180" s="2"/>
      <c r="P180" s="2"/>
      <c r="Q180" s="2" t="s">
        <v>32</v>
      </c>
      <c r="R180" s="1" t="s">
        <v>33</v>
      </c>
      <c r="S180" s="1" t="s">
        <v>34</v>
      </c>
      <c r="T180" s="2" t="s">
        <v>35</v>
      </c>
      <c r="U180" s="7" t="s">
        <v>36</v>
      </c>
    </row>
    <row r="181" spans="1:37" ht="70" x14ac:dyDescent="0.15">
      <c r="A181" s="4" t="s">
        <v>778</v>
      </c>
      <c r="B181" s="9" t="s">
        <v>779</v>
      </c>
      <c r="C181" s="1" t="s">
        <v>272</v>
      </c>
      <c r="D181" s="2" t="s">
        <v>780</v>
      </c>
      <c r="E181" s="19" t="str">
        <f ca="1">IFERROR(__xludf.DUMMYFUNCTION("CONCATENATE(""Volume "",REGEXEXTRACT(A181,""[\d]+""),"", Number "",RIGHT(A181,LEN(A181) - 19))"),"Volume 24, Number 4")</f>
        <v>Volume 24, Number 4</v>
      </c>
      <c r="F181" s="3" t="s">
        <v>781</v>
      </c>
      <c r="G181" s="30">
        <v>37166</v>
      </c>
      <c r="H181" s="1" t="s">
        <v>280</v>
      </c>
      <c r="I181" s="2" t="s">
        <v>26</v>
      </c>
      <c r="J181" s="1" t="s">
        <v>27</v>
      </c>
      <c r="K181" s="1" t="s">
        <v>28</v>
      </c>
      <c r="L181" s="1" t="s">
        <v>29</v>
      </c>
      <c r="M181" s="1" t="s">
        <v>80</v>
      </c>
      <c r="N181" s="2" t="s">
        <v>31</v>
      </c>
      <c r="O181" s="2" t="s">
        <v>49</v>
      </c>
      <c r="P181" s="2"/>
      <c r="Q181" s="2" t="s">
        <v>32</v>
      </c>
      <c r="R181" s="1" t="s">
        <v>33</v>
      </c>
      <c r="S181" s="1" t="s">
        <v>34</v>
      </c>
      <c r="T181" s="2" t="s">
        <v>35</v>
      </c>
      <c r="U181" s="8" t="s">
        <v>36</v>
      </c>
    </row>
    <row r="182" spans="1:37" ht="84" x14ac:dyDescent="0.15">
      <c r="A182" s="4" t="s">
        <v>782</v>
      </c>
      <c r="B182" s="9" t="s">
        <v>783</v>
      </c>
      <c r="C182" s="1" t="s">
        <v>272</v>
      </c>
      <c r="D182" s="2" t="s">
        <v>784</v>
      </c>
      <c r="E182" s="19" t="str">
        <f ca="1">IFERROR(__xludf.DUMMYFUNCTION("CONCATENATE(""Volume "",REGEXEXTRACT(A182,""[\d]+""),"", Number "",RIGHT(A182,LEN(A182) - 19))"),"Volume 24, Number 5")</f>
        <v>Volume 24, Number 5</v>
      </c>
      <c r="F182" s="3" t="s">
        <v>785</v>
      </c>
      <c r="G182" s="30">
        <v>37173</v>
      </c>
      <c r="H182" s="1" t="s">
        <v>280</v>
      </c>
      <c r="I182" s="2" t="s">
        <v>26</v>
      </c>
      <c r="J182" s="1" t="s">
        <v>27</v>
      </c>
      <c r="K182" s="1" t="s">
        <v>28</v>
      </c>
      <c r="L182" s="1" t="s">
        <v>786</v>
      </c>
      <c r="M182" s="1" t="s">
        <v>75</v>
      </c>
      <c r="N182" s="2"/>
      <c r="O182" s="2"/>
      <c r="P182" s="2"/>
      <c r="Q182" s="2" t="s">
        <v>32</v>
      </c>
      <c r="R182" s="1" t="s">
        <v>33</v>
      </c>
      <c r="S182" s="1" t="s">
        <v>34</v>
      </c>
      <c r="T182" s="2" t="s">
        <v>35</v>
      </c>
      <c r="U182" s="6" t="s">
        <v>36</v>
      </c>
    </row>
    <row r="183" spans="1:37" ht="126" x14ac:dyDescent="0.15">
      <c r="A183" s="4" t="s">
        <v>787</v>
      </c>
      <c r="B183" s="9" t="s">
        <v>788</v>
      </c>
      <c r="C183" s="1" t="s">
        <v>272</v>
      </c>
      <c r="D183" s="2" t="s">
        <v>789</v>
      </c>
      <c r="E183" s="19" t="str">
        <f ca="1">IFERROR(__xludf.DUMMYFUNCTION("CONCATENATE(""Volume "",REGEXEXTRACT(A183,""[\d]+""),"", Number "",RIGHT(A183,LEN(A183) - 19))"),"Volume 24, Number 6")</f>
        <v>Volume 24, Number 6</v>
      </c>
      <c r="F183" s="3" t="s">
        <v>790</v>
      </c>
      <c r="G183" s="30">
        <v>37187</v>
      </c>
      <c r="H183" s="1" t="s">
        <v>25</v>
      </c>
      <c r="I183" s="2" t="s">
        <v>26</v>
      </c>
      <c r="J183" s="1" t="s">
        <v>27</v>
      </c>
      <c r="K183" s="1" t="s">
        <v>28</v>
      </c>
      <c r="L183" s="1" t="s">
        <v>29</v>
      </c>
      <c r="M183" s="1" t="s">
        <v>48</v>
      </c>
      <c r="N183" s="2" t="s">
        <v>30</v>
      </c>
      <c r="O183" s="2"/>
      <c r="P183" s="2"/>
      <c r="Q183" s="2" t="s">
        <v>32</v>
      </c>
      <c r="R183" s="1" t="s">
        <v>33</v>
      </c>
      <c r="S183" s="1" t="s">
        <v>34</v>
      </c>
      <c r="T183" s="2" t="s">
        <v>35</v>
      </c>
      <c r="U183" s="7" t="s">
        <v>36</v>
      </c>
    </row>
    <row r="184" spans="1:37" ht="126" x14ac:dyDescent="0.15">
      <c r="A184" s="4" t="s">
        <v>791</v>
      </c>
      <c r="B184" s="1" t="s">
        <v>792</v>
      </c>
      <c r="C184" s="1" t="s">
        <v>272</v>
      </c>
      <c r="D184" s="2" t="s">
        <v>793</v>
      </c>
      <c r="E184" s="19" t="str">
        <f ca="1">IFERROR(__xludf.DUMMYFUNCTION("CONCATENATE(""Volume "",REGEXEXTRACT(A184,""[\d]+""),"", Number "",RIGHT(A184,LEN(A184) - 19))"),"Volume 24, Number 7")</f>
        <v>Volume 24, Number 7</v>
      </c>
      <c r="F184" s="3" t="s">
        <v>794</v>
      </c>
      <c r="G184" s="30">
        <v>37194</v>
      </c>
      <c r="H184" s="1" t="s">
        <v>25</v>
      </c>
      <c r="I184" s="2" t="s">
        <v>26</v>
      </c>
      <c r="J184" s="1" t="s">
        <v>27</v>
      </c>
      <c r="K184" s="1" t="s">
        <v>28</v>
      </c>
      <c r="L184" s="1" t="s">
        <v>54</v>
      </c>
      <c r="M184" s="1" t="s">
        <v>29</v>
      </c>
      <c r="N184" s="2" t="s">
        <v>48</v>
      </c>
      <c r="O184" s="2"/>
      <c r="P184" s="2"/>
      <c r="Q184" s="2" t="s">
        <v>32</v>
      </c>
      <c r="R184" s="1" t="s">
        <v>33</v>
      </c>
      <c r="S184" s="1" t="s">
        <v>34</v>
      </c>
      <c r="T184" s="2" t="s">
        <v>35</v>
      </c>
      <c r="U184" s="8" t="s">
        <v>36</v>
      </c>
    </row>
    <row r="185" spans="1:37" ht="126" x14ac:dyDescent="0.15">
      <c r="A185" s="4" t="s">
        <v>795</v>
      </c>
      <c r="B185" s="9" t="s">
        <v>796</v>
      </c>
      <c r="C185" s="1" t="s">
        <v>272</v>
      </c>
      <c r="D185" s="2" t="s">
        <v>797</v>
      </c>
      <c r="E185" s="19" t="str">
        <f ca="1">IFERROR(__xludf.DUMMYFUNCTION("CONCATENATE(""Volume "",REGEXEXTRACT(A185,""[\d]+""),"", Number "",RIGHT(A185,LEN(A185) - 19))"),"Volume 24, Number 8")</f>
        <v>Volume 24, Number 8</v>
      </c>
      <c r="F185" s="3" t="s">
        <v>798</v>
      </c>
      <c r="G185" s="30">
        <v>37201</v>
      </c>
      <c r="H185" s="1" t="s">
        <v>25</v>
      </c>
      <c r="I185" s="2" t="s">
        <v>26</v>
      </c>
      <c r="J185" s="1" t="s">
        <v>27</v>
      </c>
      <c r="K185" s="1" t="s">
        <v>28</v>
      </c>
      <c r="L185" s="1" t="s">
        <v>29</v>
      </c>
      <c r="M185" s="1" t="s">
        <v>80</v>
      </c>
      <c r="N185" s="2" t="s">
        <v>48</v>
      </c>
      <c r="O185" s="2" t="s">
        <v>179</v>
      </c>
      <c r="P185" s="2" t="s">
        <v>31</v>
      </c>
      <c r="Q185" s="2" t="s">
        <v>32</v>
      </c>
      <c r="R185" s="1" t="s">
        <v>33</v>
      </c>
      <c r="S185" s="1" t="s">
        <v>34</v>
      </c>
      <c r="T185" s="2" t="s">
        <v>35</v>
      </c>
      <c r="U185" s="6" t="s">
        <v>36</v>
      </c>
    </row>
    <row r="186" spans="1:37" ht="70" x14ac:dyDescent="0.15">
      <c r="A186" s="4" t="s">
        <v>799</v>
      </c>
      <c r="B186" s="9" t="s">
        <v>800</v>
      </c>
      <c r="C186" s="1" t="s">
        <v>272</v>
      </c>
      <c r="D186" s="2" t="s">
        <v>801</v>
      </c>
      <c r="E186" s="19" t="str">
        <f ca="1">IFERROR(__xludf.DUMMYFUNCTION("CONCATENATE(""Volume "",REGEXEXTRACT(A186,""[\d]+""),"", Number "",RIGHT(A186,LEN(A186) - 19))"),"Volume 24, Number 9")</f>
        <v>Volume 24, Number 9</v>
      </c>
      <c r="F186" s="3" t="s">
        <v>802</v>
      </c>
      <c r="G186" s="30">
        <v>37208</v>
      </c>
      <c r="H186" s="1" t="s">
        <v>280</v>
      </c>
      <c r="I186" s="2" t="s">
        <v>26</v>
      </c>
      <c r="J186" s="1" t="s">
        <v>27</v>
      </c>
      <c r="K186" s="1" t="s">
        <v>28</v>
      </c>
      <c r="L186" s="1" t="s">
        <v>29</v>
      </c>
      <c r="M186" s="1" t="s">
        <v>54</v>
      </c>
      <c r="N186" s="2" t="s">
        <v>49</v>
      </c>
      <c r="O186" s="2" t="s">
        <v>30</v>
      </c>
      <c r="P186" s="2"/>
      <c r="Q186" s="2" t="s">
        <v>32</v>
      </c>
      <c r="R186" s="1" t="s">
        <v>33</v>
      </c>
      <c r="S186" s="1" t="s">
        <v>34</v>
      </c>
      <c r="T186" s="2" t="s">
        <v>35</v>
      </c>
      <c r="U186" s="7" t="s">
        <v>36</v>
      </c>
    </row>
    <row r="187" spans="1:37" ht="98" x14ac:dyDescent="0.15">
      <c r="A187" s="11" t="s">
        <v>803</v>
      </c>
      <c r="B187" s="12" t="s">
        <v>804</v>
      </c>
      <c r="C187" s="12" t="s">
        <v>805</v>
      </c>
      <c r="D187" s="14" t="s">
        <v>806</v>
      </c>
      <c r="E187" s="12" t="s">
        <v>807</v>
      </c>
      <c r="F187" s="16" t="s">
        <v>808</v>
      </c>
      <c r="G187" s="31">
        <v>31103</v>
      </c>
      <c r="H187" s="12" t="s">
        <v>809</v>
      </c>
      <c r="I187" s="14" t="s">
        <v>26</v>
      </c>
      <c r="J187" s="12" t="s">
        <v>27</v>
      </c>
      <c r="K187" s="12" t="s">
        <v>28</v>
      </c>
      <c r="L187" s="12" t="s">
        <v>30</v>
      </c>
      <c r="M187" s="15"/>
      <c r="N187" s="14"/>
      <c r="O187" s="14"/>
      <c r="P187" s="14"/>
      <c r="Q187" s="14" t="s">
        <v>32</v>
      </c>
      <c r="R187" s="12" t="s">
        <v>33</v>
      </c>
      <c r="S187" s="12" t="s">
        <v>34</v>
      </c>
      <c r="T187" s="14" t="s">
        <v>810</v>
      </c>
      <c r="U187" s="17" t="s">
        <v>811</v>
      </c>
      <c r="V187" s="15"/>
      <c r="W187" s="15"/>
      <c r="X187" s="15"/>
      <c r="Y187" s="15"/>
      <c r="Z187" s="15"/>
      <c r="AA187" s="15"/>
      <c r="AB187" s="15"/>
      <c r="AC187" s="15"/>
      <c r="AD187" s="15"/>
      <c r="AE187" s="15"/>
      <c r="AF187" s="15"/>
      <c r="AG187" s="15"/>
      <c r="AH187" s="15"/>
      <c r="AI187" s="15"/>
      <c r="AJ187" s="15"/>
      <c r="AK187" s="15"/>
    </row>
    <row r="188" spans="1:37" ht="42" x14ac:dyDescent="0.15">
      <c r="A188" s="11" t="s">
        <v>812</v>
      </c>
      <c r="B188" s="12" t="s">
        <v>813</v>
      </c>
      <c r="C188" s="12" t="s">
        <v>814</v>
      </c>
      <c r="D188" s="14" t="s">
        <v>815</v>
      </c>
      <c r="E188" s="12" t="str">
        <f ca="1">IFERROR(__xludf.DUMMYFUNCTION("CONCATENATE(""Volume "",REGEXEXTRACT(A188,""[\d]+""),"", Number "",RIGHT(A188,LEN(A188) - 19))"),"Volume 6, Number 1")</f>
        <v>Volume 6, Number 1</v>
      </c>
      <c r="F188" s="16" t="s">
        <v>816</v>
      </c>
      <c r="G188" s="31">
        <v>31107</v>
      </c>
      <c r="H188" s="12" t="s">
        <v>25</v>
      </c>
      <c r="I188" s="14" t="s">
        <v>26</v>
      </c>
      <c r="J188" s="12" t="s">
        <v>27</v>
      </c>
      <c r="K188" s="12" t="s">
        <v>28</v>
      </c>
      <c r="L188" s="12" t="s">
        <v>30</v>
      </c>
      <c r="M188" s="12" t="s">
        <v>179</v>
      </c>
      <c r="N188" s="14" t="s">
        <v>80</v>
      </c>
      <c r="O188" s="14" t="s">
        <v>48</v>
      </c>
      <c r="P188" s="14" t="s">
        <v>75</v>
      </c>
      <c r="Q188" s="14" t="s">
        <v>32</v>
      </c>
      <c r="R188" s="12" t="s">
        <v>33</v>
      </c>
      <c r="S188" s="12" t="s">
        <v>34</v>
      </c>
      <c r="T188" s="14" t="s">
        <v>810</v>
      </c>
      <c r="U188" s="17" t="s">
        <v>811</v>
      </c>
      <c r="V188" s="15"/>
      <c r="W188" s="15"/>
      <c r="X188" s="15"/>
      <c r="Y188" s="15"/>
      <c r="Z188" s="15"/>
      <c r="AA188" s="15"/>
      <c r="AB188" s="15"/>
      <c r="AC188" s="15"/>
      <c r="AD188" s="15"/>
      <c r="AE188" s="15"/>
      <c r="AF188" s="15"/>
      <c r="AG188" s="15"/>
      <c r="AH188" s="15"/>
      <c r="AI188" s="15"/>
      <c r="AJ188" s="15"/>
      <c r="AK188" s="15"/>
    </row>
    <row r="189" spans="1:37" ht="28" x14ac:dyDescent="0.15">
      <c r="A189" s="4" t="s">
        <v>817</v>
      </c>
      <c r="B189" s="9" t="s">
        <v>818</v>
      </c>
      <c r="C189" s="1" t="s">
        <v>819</v>
      </c>
      <c r="D189" s="21"/>
      <c r="E189" s="1" t="s">
        <v>820</v>
      </c>
      <c r="F189" s="3" t="s">
        <v>821</v>
      </c>
      <c r="G189" s="30">
        <v>31138</v>
      </c>
      <c r="H189" s="1" t="s">
        <v>809</v>
      </c>
      <c r="I189" s="2" t="s">
        <v>26</v>
      </c>
      <c r="J189" s="1" t="s">
        <v>27</v>
      </c>
      <c r="K189" s="1" t="s">
        <v>28</v>
      </c>
      <c r="L189" s="1" t="s">
        <v>30</v>
      </c>
      <c r="M189" s="1" t="s">
        <v>822</v>
      </c>
      <c r="N189" s="2"/>
      <c r="O189" s="2"/>
      <c r="P189" s="2"/>
      <c r="Q189" s="2" t="s">
        <v>32</v>
      </c>
      <c r="R189" s="1" t="s">
        <v>33</v>
      </c>
      <c r="S189" s="1" t="s">
        <v>34</v>
      </c>
      <c r="T189" s="5" t="s">
        <v>810</v>
      </c>
      <c r="U189" s="6" t="s">
        <v>811</v>
      </c>
    </row>
    <row r="190" spans="1:37" ht="42" x14ac:dyDescent="0.15">
      <c r="A190" s="11" t="s">
        <v>823</v>
      </c>
      <c r="B190" s="12" t="s">
        <v>824</v>
      </c>
      <c r="C190" s="12" t="s">
        <v>825</v>
      </c>
      <c r="D190" s="14" t="s">
        <v>826</v>
      </c>
      <c r="E190" s="12" t="s">
        <v>827</v>
      </c>
      <c r="F190" s="16" t="s">
        <v>828</v>
      </c>
      <c r="G190" s="31">
        <v>31291</v>
      </c>
      <c r="H190" s="12" t="s">
        <v>25</v>
      </c>
      <c r="I190" s="14" t="s">
        <v>26</v>
      </c>
      <c r="J190" s="12" t="s">
        <v>27</v>
      </c>
      <c r="K190" s="12" t="s">
        <v>28</v>
      </c>
      <c r="L190" s="12" t="s">
        <v>29</v>
      </c>
      <c r="M190" s="15"/>
      <c r="N190" s="14"/>
      <c r="O190" s="14"/>
      <c r="P190" s="14"/>
      <c r="Q190" s="14" t="s">
        <v>32</v>
      </c>
      <c r="R190" s="12" t="s">
        <v>33</v>
      </c>
      <c r="S190" s="12" t="s">
        <v>34</v>
      </c>
      <c r="T190" s="14" t="s">
        <v>35</v>
      </c>
      <c r="U190" s="28" t="s">
        <v>36</v>
      </c>
      <c r="V190" s="15"/>
      <c r="W190" s="15"/>
      <c r="X190" s="15"/>
      <c r="Y190" s="15"/>
      <c r="Z190" s="15"/>
      <c r="AA190" s="15"/>
      <c r="AB190" s="15"/>
      <c r="AC190" s="15"/>
      <c r="AD190" s="15"/>
      <c r="AE190" s="15"/>
      <c r="AF190" s="15"/>
      <c r="AG190" s="15"/>
      <c r="AH190" s="15"/>
      <c r="AI190" s="15"/>
      <c r="AJ190" s="15"/>
      <c r="AK190" s="15"/>
    </row>
    <row r="191" spans="1:37" ht="70" x14ac:dyDescent="0.15">
      <c r="A191" s="4" t="s">
        <v>829</v>
      </c>
      <c r="B191" s="1" t="s">
        <v>830</v>
      </c>
      <c r="C191" s="20" t="s">
        <v>831</v>
      </c>
      <c r="D191" s="5" t="s">
        <v>832</v>
      </c>
      <c r="E191" s="1" t="s">
        <v>833</v>
      </c>
      <c r="F191" s="3" t="s">
        <v>834</v>
      </c>
      <c r="G191" s="30">
        <v>31360</v>
      </c>
      <c r="H191" s="1" t="s">
        <v>809</v>
      </c>
      <c r="I191" s="2" t="s">
        <v>26</v>
      </c>
      <c r="J191" s="1" t="s">
        <v>27</v>
      </c>
      <c r="K191" s="1" t="s">
        <v>28</v>
      </c>
      <c r="L191" s="1" t="s">
        <v>29</v>
      </c>
      <c r="N191" s="2"/>
      <c r="O191" s="2"/>
      <c r="P191" s="2"/>
      <c r="Q191" s="2" t="s">
        <v>32</v>
      </c>
      <c r="R191" s="1" t="s">
        <v>33</v>
      </c>
      <c r="S191" s="1" t="s">
        <v>34</v>
      </c>
      <c r="T191" s="5" t="s">
        <v>810</v>
      </c>
      <c r="U191" s="6" t="s">
        <v>811</v>
      </c>
    </row>
    <row r="192" spans="1:37" ht="70" x14ac:dyDescent="0.15">
      <c r="A192" s="4" t="s">
        <v>835</v>
      </c>
      <c r="B192" s="1" t="s">
        <v>836</v>
      </c>
      <c r="C192" s="20" t="s">
        <v>831</v>
      </c>
      <c r="D192" s="5" t="s">
        <v>837</v>
      </c>
      <c r="E192" s="1" t="s">
        <v>838</v>
      </c>
      <c r="F192" s="3" t="s">
        <v>839</v>
      </c>
      <c r="G192" s="30">
        <v>31367</v>
      </c>
      <c r="H192" s="1" t="s">
        <v>809</v>
      </c>
      <c r="I192" s="2" t="s">
        <v>26</v>
      </c>
      <c r="J192" s="1" t="s">
        <v>27</v>
      </c>
      <c r="K192" s="1" t="s">
        <v>28</v>
      </c>
      <c r="L192" s="1" t="s">
        <v>29</v>
      </c>
      <c r="M192" s="1" t="s">
        <v>179</v>
      </c>
      <c r="N192" s="2"/>
      <c r="O192" s="2"/>
      <c r="P192" s="2"/>
      <c r="Q192" s="2" t="s">
        <v>32</v>
      </c>
      <c r="R192" s="1" t="s">
        <v>33</v>
      </c>
      <c r="S192" s="1" t="s">
        <v>34</v>
      </c>
      <c r="T192" s="5" t="s">
        <v>810</v>
      </c>
      <c r="U192" s="6" t="s">
        <v>811</v>
      </c>
    </row>
    <row r="193" spans="1:21" ht="70" x14ac:dyDescent="0.15">
      <c r="A193" s="4" t="s">
        <v>840</v>
      </c>
      <c r="B193" s="9" t="s">
        <v>841</v>
      </c>
      <c r="C193" s="20" t="s">
        <v>831</v>
      </c>
      <c r="D193" s="5" t="s">
        <v>842</v>
      </c>
      <c r="E193" s="1" t="s">
        <v>843</v>
      </c>
      <c r="F193" s="3" t="s">
        <v>844</v>
      </c>
      <c r="G193" s="30">
        <v>31374</v>
      </c>
      <c r="H193" s="1" t="s">
        <v>809</v>
      </c>
      <c r="I193" s="2" t="s">
        <v>26</v>
      </c>
      <c r="J193" s="1" t="s">
        <v>27</v>
      </c>
      <c r="K193" s="1" t="s">
        <v>28</v>
      </c>
      <c r="L193" s="1" t="s">
        <v>29</v>
      </c>
      <c r="N193" s="2"/>
      <c r="O193" s="2"/>
      <c r="P193" s="2"/>
      <c r="Q193" s="2" t="s">
        <v>32</v>
      </c>
      <c r="R193" s="1" t="s">
        <v>33</v>
      </c>
      <c r="S193" s="1" t="s">
        <v>34</v>
      </c>
      <c r="T193" s="5" t="s">
        <v>810</v>
      </c>
      <c r="U193" s="6" t="s">
        <v>811</v>
      </c>
    </row>
    <row r="194" spans="1:21" ht="70" x14ac:dyDescent="0.15">
      <c r="A194" s="4" t="s">
        <v>845</v>
      </c>
      <c r="B194" s="9" t="s">
        <v>846</v>
      </c>
      <c r="C194" s="20" t="s">
        <v>831</v>
      </c>
      <c r="D194" s="5" t="s">
        <v>847</v>
      </c>
      <c r="E194" s="1" t="s">
        <v>848</v>
      </c>
      <c r="F194" s="3" t="s">
        <v>849</v>
      </c>
      <c r="G194" s="30">
        <v>31381</v>
      </c>
      <c r="H194" s="1" t="s">
        <v>809</v>
      </c>
      <c r="I194" s="2" t="s">
        <v>26</v>
      </c>
      <c r="J194" s="1" t="s">
        <v>27</v>
      </c>
      <c r="K194" s="1" t="s">
        <v>28</v>
      </c>
      <c r="L194" s="1" t="s">
        <v>533</v>
      </c>
      <c r="M194" s="1" t="s">
        <v>29</v>
      </c>
      <c r="N194" s="2"/>
      <c r="O194" s="2"/>
      <c r="P194" s="2"/>
      <c r="Q194" s="2" t="s">
        <v>32</v>
      </c>
      <c r="R194" s="1" t="s">
        <v>33</v>
      </c>
      <c r="S194" s="1" t="s">
        <v>34</v>
      </c>
      <c r="T194" s="5" t="s">
        <v>810</v>
      </c>
      <c r="U194" s="6" t="s">
        <v>811</v>
      </c>
    </row>
    <row r="195" spans="1:21" ht="70" x14ac:dyDescent="0.15">
      <c r="A195" s="4" t="s">
        <v>850</v>
      </c>
      <c r="B195" s="9" t="s">
        <v>851</v>
      </c>
      <c r="C195" s="20" t="s">
        <v>852</v>
      </c>
      <c r="D195" s="5" t="s">
        <v>853</v>
      </c>
      <c r="E195" s="1" t="s">
        <v>854</v>
      </c>
      <c r="F195" s="3" t="s">
        <v>855</v>
      </c>
      <c r="G195" s="30">
        <v>31382</v>
      </c>
      <c r="H195" s="1" t="s">
        <v>809</v>
      </c>
      <c r="I195" s="2" t="s">
        <v>26</v>
      </c>
      <c r="J195" s="1" t="s">
        <v>27</v>
      </c>
      <c r="K195" s="1" t="s">
        <v>28</v>
      </c>
      <c r="N195" s="2"/>
      <c r="O195" s="2"/>
      <c r="P195" s="2"/>
      <c r="Q195" s="2" t="s">
        <v>32</v>
      </c>
      <c r="R195" s="1" t="s">
        <v>33</v>
      </c>
      <c r="S195" s="1" t="s">
        <v>34</v>
      </c>
      <c r="T195" s="5" t="s">
        <v>810</v>
      </c>
      <c r="U195" s="6" t="s">
        <v>811</v>
      </c>
    </row>
    <row r="196" spans="1:21" ht="42" x14ac:dyDescent="0.15">
      <c r="A196" s="4" t="s">
        <v>856</v>
      </c>
      <c r="B196" s="9" t="s">
        <v>857</v>
      </c>
      <c r="C196" s="20" t="s">
        <v>858</v>
      </c>
      <c r="D196" s="2" t="s">
        <v>859</v>
      </c>
      <c r="E196" s="1" t="s">
        <v>860</v>
      </c>
      <c r="F196" s="3" t="s">
        <v>861</v>
      </c>
      <c r="G196" s="30">
        <v>31413</v>
      </c>
      <c r="H196" s="1" t="s">
        <v>25</v>
      </c>
      <c r="I196" s="2" t="s">
        <v>26</v>
      </c>
      <c r="J196" s="1" t="s">
        <v>27</v>
      </c>
      <c r="K196" s="1" t="s">
        <v>28</v>
      </c>
      <c r="L196" s="1" t="s">
        <v>30</v>
      </c>
      <c r="M196" s="1" t="s">
        <v>29</v>
      </c>
      <c r="N196" s="5" t="s">
        <v>54</v>
      </c>
      <c r="O196" s="2"/>
      <c r="P196" s="2"/>
      <c r="Q196" s="2" t="s">
        <v>32</v>
      </c>
      <c r="R196" s="1" t="s">
        <v>33</v>
      </c>
      <c r="S196" s="1" t="s">
        <v>34</v>
      </c>
      <c r="T196" s="5" t="s">
        <v>35</v>
      </c>
      <c r="U196" s="7" t="s">
        <v>36</v>
      </c>
    </row>
    <row r="197" spans="1:21" ht="98" x14ac:dyDescent="0.15">
      <c r="A197" s="4" t="s">
        <v>862</v>
      </c>
      <c r="B197" s="9" t="s">
        <v>863</v>
      </c>
      <c r="C197" s="20" t="s">
        <v>858</v>
      </c>
      <c r="D197" s="5" t="s">
        <v>864</v>
      </c>
      <c r="E197" s="1" t="s">
        <v>865</v>
      </c>
      <c r="F197" s="3" t="s">
        <v>866</v>
      </c>
      <c r="G197" s="30">
        <v>31425</v>
      </c>
      <c r="H197" s="1" t="s">
        <v>809</v>
      </c>
      <c r="I197" s="2" t="s">
        <v>26</v>
      </c>
      <c r="J197" s="1" t="s">
        <v>27</v>
      </c>
      <c r="K197" s="1" t="s">
        <v>28</v>
      </c>
      <c r="L197" s="1" t="s">
        <v>30</v>
      </c>
      <c r="M197" s="1" t="s">
        <v>29</v>
      </c>
      <c r="N197" s="2"/>
      <c r="O197" s="2"/>
      <c r="P197" s="2"/>
      <c r="Q197" s="2" t="s">
        <v>32</v>
      </c>
      <c r="R197" s="1" t="s">
        <v>33</v>
      </c>
      <c r="S197" s="1" t="s">
        <v>34</v>
      </c>
      <c r="T197" s="5" t="s">
        <v>810</v>
      </c>
      <c r="U197" s="6" t="s">
        <v>811</v>
      </c>
    </row>
    <row r="198" spans="1:21" ht="42" x14ac:dyDescent="0.15">
      <c r="A198" s="4" t="s">
        <v>867</v>
      </c>
      <c r="B198" s="9" t="s">
        <v>868</v>
      </c>
      <c r="C198" s="20" t="s">
        <v>869</v>
      </c>
      <c r="D198" s="2" t="s">
        <v>870</v>
      </c>
      <c r="E198" s="1" t="s">
        <v>871</v>
      </c>
      <c r="F198" s="3" t="s">
        <v>872</v>
      </c>
      <c r="G198" s="30">
        <v>31444</v>
      </c>
      <c r="H198" s="1" t="s">
        <v>25</v>
      </c>
      <c r="I198" s="2" t="s">
        <v>26</v>
      </c>
      <c r="J198" s="1" t="s">
        <v>27</v>
      </c>
      <c r="K198" s="1" t="s">
        <v>28</v>
      </c>
      <c r="L198" s="1" t="s">
        <v>30</v>
      </c>
      <c r="M198" s="1" t="s">
        <v>822</v>
      </c>
      <c r="N198" s="5" t="s">
        <v>29</v>
      </c>
      <c r="O198" s="2"/>
      <c r="P198" s="2"/>
      <c r="Q198" s="2" t="s">
        <v>32</v>
      </c>
      <c r="R198" s="1" t="s">
        <v>33</v>
      </c>
      <c r="S198" s="1" t="s">
        <v>34</v>
      </c>
      <c r="T198" s="5" t="s">
        <v>35</v>
      </c>
      <c r="U198" s="7" t="s">
        <v>36</v>
      </c>
    </row>
    <row r="199" spans="1:21" ht="84" x14ac:dyDescent="0.15">
      <c r="A199" s="4" t="s">
        <v>873</v>
      </c>
      <c r="B199" s="9" t="s">
        <v>874</v>
      </c>
      <c r="C199" s="20" t="s">
        <v>869</v>
      </c>
      <c r="D199" s="5" t="s">
        <v>875</v>
      </c>
      <c r="E199" s="1" t="s">
        <v>876</v>
      </c>
      <c r="F199" s="3" t="s">
        <v>877</v>
      </c>
      <c r="G199" s="30">
        <v>31453</v>
      </c>
      <c r="H199" s="1" t="s">
        <v>809</v>
      </c>
      <c r="I199" s="2" t="s">
        <v>26</v>
      </c>
      <c r="J199" s="1" t="s">
        <v>27</v>
      </c>
      <c r="K199" s="1" t="s">
        <v>28</v>
      </c>
      <c r="L199" s="1" t="s">
        <v>30</v>
      </c>
      <c r="N199" s="2"/>
      <c r="O199" s="2"/>
      <c r="P199" s="2"/>
      <c r="Q199" s="2" t="s">
        <v>32</v>
      </c>
      <c r="R199" s="1" t="s">
        <v>33</v>
      </c>
      <c r="S199" s="1" t="s">
        <v>34</v>
      </c>
      <c r="T199" s="5" t="s">
        <v>810</v>
      </c>
      <c r="U199" s="6" t="s">
        <v>811</v>
      </c>
    </row>
    <row r="200" spans="1:21" ht="56" x14ac:dyDescent="0.15">
      <c r="A200" s="4" t="s">
        <v>878</v>
      </c>
      <c r="B200" s="9" t="s">
        <v>879</v>
      </c>
      <c r="C200" s="1" t="s">
        <v>880</v>
      </c>
      <c r="D200" s="5" t="s">
        <v>881</v>
      </c>
      <c r="E200" s="1" t="s">
        <v>882</v>
      </c>
      <c r="F200" s="3" t="s">
        <v>883</v>
      </c>
      <c r="G200" s="30">
        <v>31318</v>
      </c>
      <c r="H200" s="1" t="s">
        <v>809</v>
      </c>
      <c r="I200" s="2" t="s">
        <v>26</v>
      </c>
      <c r="J200" s="1" t="s">
        <v>27</v>
      </c>
      <c r="K200" s="1" t="s">
        <v>28</v>
      </c>
      <c r="L200" s="1" t="s">
        <v>29</v>
      </c>
      <c r="N200" s="2"/>
      <c r="O200" s="2"/>
      <c r="P200" s="2"/>
      <c r="Q200" s="2" t="s">
        <v>32</v>
      </c>
      <c r="R200" s="1" t="s">
        <v>33</v>
      </c>
      <c r="S200" s="1" t="s">
        <v>34</v>
      </c>
      <c r="T200" s="5" t="s">
        <v>810</v>
      </c>
      <c r="U200" s="6" t="s">
        <v>811</v>
      </c>
    </row>
    <row r="201" spans="1:21" ht="84" x14ac:dyDescent="0.15">
      <c r="A201" s="4" t="s">
        <v>884</v>
      </c>
      <c r="B201" s="9" t="s">
        <v>885</v>
      </c>
      <c r="C201" s="20" t="s">
        <v>886</v>
      </c>
      <c r="D201" s="5" t="s">
        <v>887</v>
      </c>
      <c r="E201" s="1" t="s">
        <v>888</v>
      </c>
      <c r="F201" s="3" t="s">
        <v>889</v>
      </c>
      <c r="G201" s="30">
        <v>31102</v>
      </c>
      <c r="H201" s="1" t="s">
        <v>809</v>
      </c>
      <c r="I201" s="2" t="s">
        <v>26</v>
      </c>
      <c r="J201" s="1" t="s">
        <v>27</v>
      </c>
      <c r="K201" s="1" t="s">
        <v>28</v>
      </c>
      <c r="L201" s="1" t="s">
        <v>30</v>
      </c>
      <c r="N201" s="2"/>
      <c r="O201" s="2"/>
      <c r="P201" s="2"/>
      <c r="Q201" s="2" t="s">
        <v>32</v>
      </c>
      <c r="R201" s="1" t="s">
        <v>33</v>
      </c>
      <c r="S201" s="1" t="s">
        <v>34</v>
      </c>
      <c r="T201" s="5" t="s">
        <v>810</v>
      </c>
      <c r="U201" s="6" t="s">
        <v>811</v>
      </c>
    </row>
    <row r="202" spans="1:21" ht="42" x14ac:dyDescent="0.15">
      <c r="A202" s="4" t="s">
        <v>890</v>
      </c>
      <c r="B202" s="9" t="s">
        <v>891</v>
      </c>
      <c r="C202" s="20" t="s">
        <v>814</v>
      </c>
      <c r="D202" s="2" t="s">
        <v>892</v>
      </c>
      <c r="E202" s="1" t="s">
        <v>893</v>
      </c>
      <c r="F202" s="3" t="s">
        <v>894</v>
      </c>
      <c r="G202" s="30">
        <v>31472</v>
      </c>
      <c r="H202" s="1" t="s">
        <v>25</v>
      </c>
      <c r="I202" s="2" t="s">
        <v>26</v>
      </c>
      <c r="J202" s="1" t="s">
        <v>27</v>
      </c>
      <c r="K202" s="1" t="s">
        <v>28</v>
      </c>
      <c r="L202" s="1" t="s">
        <v>75</v>
      </c>
      <c r="M202" s="1" t="s">
        <v>179</v>
      </c>
      <c r="N202" s="2" t="s">
        <v>30</v>
      </c>
      <c r="O202" s="2" t="s">
        <v>48</v>
      </c>
      <c r="P202" s="2"/>
      <c r="Q202" s="2" t="s">
        <v>32</v>
      </c>
      <c r="R202" s="1" t="s">
        <v>33</v>
      </c>
      <c r="S202" s="1" t="s">
        <v>34</v>
      </c>
      <c r="T202" s="5" t="s">
        <v>35</v>
      </c>
      <c r="U202" s="7" t="s">
        <v>36</v>
      </c>
    </row>
    <row r="203" spans="1:21" ht="112" x14ac:dyDescent="0.15">
      <c r="A203" s="4" t="s">
        <v>895</v>
      </c>
      <c r="B203" s="9" t="s">
        <v>896</v>
      </c>
      <c r="C203" s="20" t="s">
        <v>897</v>
      </c>
      <c r="D203" s="5" t="s">
        <v>898</v>
      </c>
      <c r="E203" s="1" t="s">
        <v>899</v>
      </c>
      <c r="F203" s="3" t="s">
        <v>900</v>
      </c>
      <c r="G203" s="30">
        <v>31503</v>
      </c>
      <c r="H203" s="1" t="s">
        <v>809</v>
      </c>
      <c r="I203" s="2" t="s">
        <v>26</v>
      </c>
      <c r="J203" s="1" t="s">
        <v>27</v>
      </c>
      <c r="K203" s="1" t="s">
        <v>28</v>
      </c>
      <c r="L203" s="1" t="s">
        <v>30</v>
      </c>
      <c r="M203" s="1" t="s">
        <v>54</v>
      </c>
      <c r="N203" s="2" t="s">
        <v>179</v>
      </c>
      <c r="O203" s="2"/>
      <c r="P203" s="2"/>
      <c r="Q203" s="2" t="s">
        <v>32</v>
      </c>
      <c r="R203" s="1" t="s">
        <v>33</v>
      </c>
      <c r="S203" s="1" t="s">
        <v>34</v>
      </c>
      <c r="T203" s="5" t="s">
        <v>810</v>
      </c>
      <c r="U203" s="6" t="s">
        <v>811</v>
      </c>
    </row>
    <row r="204" spans="1:21" ht="112" x14ac:dyDescent="0.15">
      <c r="A204" s="4" t="s">
        <v>901</v>
      </c>
      <c r="B204" s="9" t="s">
        <v>902</v>
      </c>
      <c r="C204" s="20" t="s">
        <v>903</v>
      </c>
      <c r="D204" s="5" t="s">
        <v>904</v>
      </c>
      <c r="E204" s="1" t="s">
        <v>905</v>
      </c>
      <c r="F204" s="3" t="s">
        <v>906</v>
      </c>
      <c r="G204" s="30">
        <v>31533</v>
      </c>
      <c r="H204" s="1" t="s">
        <v>809</v>
      </c>
      <c r="I204" s="2" t="s">
        <v>26</v>
      </c>
      <c r="J204" s="1" t="s">
        <v>27</v>
      </c>
      <c r="K204" s="1" t="s">
        <v>28</v>
      </c>
      <c r="L204" s="1" t="s">
        <v>29</v>
      </c>
      <c r="M204" s="1" t="s">
        <v>75</v>
      </c>
      <c r="N204" s="2" t="s">
        <v>179</v>
      </c>
      <c r="O204" s="2" t="s">
        <v>80</v>
      </c>
      <c r="P204" s="2" t="s">
        <v>48</v>
      </c>
      <c r="Q204" s="2" t="s">
        <v>32</v>
      </c>
      <c r="R204" s="1" t="s">
        <v>33</v>
      </c>
      <c r="S204" s="1" t="s">
        <v>34</v>
      </c>
      <c r="T204" s="5" t="s">
        <v>810</v>
      </c>
      <c r="U204" s="6" t="s">
        <v>811</v>
      </c>
    </row>
    <row r="205" spans="1:21" ht="98" x14ac:dyDescent="0.15">
      <c r="A205" s="4" t="s">
        <v>907</v>
      </c>
      <c r="B205" s="9" t="s">
        <v>908</v>
      </c>
      <c r="C205" s="20" t="s">
        <v>909</v>
      </c>
      <c r="D205" s="5" t="s">
        <v>910</v>
      </c>
      <c r="E205" s="1" t="s">
        <v>911</v>
      </c>
      <c r="F205" s="3" t="s">
        <v>912</v>
      </c>
      <c r="G205" s="30">
        <v>31564</v>
      </c>
      <c r="H205" s="1" t="s">
        <v>809</v>
      </c>
      <c r="I205" s="2" t="s">
        <v>26</v>
      </c>
      <c r="J205" s="1" t="s">
        <v>27</v>
      </c>
      <c r="K205" s="1" t="s">
        <v>28</v>
      </c>
      <c r="L205" s="1" t="s">
        <v>179</v>
      </c>
      <c r="M205" s="1" t="s">
        <v>80</v>
      </c>
      <c r="N205" s="2" t="s">
        <v>48</v>
      </c>
      <c r="O205" s="2" t="s">
        <v>75</v>
      </c>
      <c r="P205" s="2"/>
      <c r="Q205" s="2" t="s">
        <v>32</v>
      </c>
      <c r="R205" s="1" t="s">
        <v>33</v>
      </c>
      <c r="S205" s="1" t="s">
        <v>34</v>
      </c>
      <c r="T205" s="5" t="s">
        <v>810</v>
      </c>
      <c r="U205" s="6" t="s">
        <v>811</v>
      </c>
    </row>
    <row r="206" spans="1:21" ht="84" x14ac:dyDescent="0.15">
      <c r="A206" s="4" t="s">
        <v>913</v>
      </c>
      <c r="B206" s="9" t="s">
        <v>914</v>
      </c>
      <c r="C206" s="1" t="s">
        <v>915</v>
      </c>
      <c r="D206" s="5" t="s">
        <v>916</v>
      </c>
      <c r="E206" s="1" t="s">
        <v>917</v>
      </c>
      <c r="F206" s="3" t="s">
        <v>918</v>
      </c>
      <c r="G206" s="30">
        <v>31325</v>
      </c>
      <c r="H206" s="1" t="s">
        <v>809</v>
      </c>
      <c r="I206" s="2" t="s">
        <v>26</v>
      </c>
      <c r="J206" s="1" t="s">
        <v>27</v>
      </c>
      <c r="K206" s="1" t="s">
        <v>28</v>
      </c>
      <c r="L206" s="1" t="s">
        <v>29</v>
      </c>
      <c r="N206" s="2"/>
      <c r="O206" s="2"/>
      <c r="P206" s="2"/>
      <c r="Q206" s="2" t="s">
        <v>32</v>
      </c>
      <c r="R206" s="1" t="s">
        <v>33</v>
      </c>
      <c r="S206" s="1" t="s">
        <v>34</v>
      </c>
      <c r="T206" s="5" t="s">
        <v>810</v>
      </c>
      <c r="U206" s="6" t="s">
        <v>811</v>
      </c>
    </row>
    <row r="207" spans="1:21" ht="42" x14ac:dyDescent="0.15">
      <c r="A207" s="4" t="s">
        <v>919</v>
      </c>
      <c r="B207" s="9" t="s">
        <v>920</v>
      </c>
      <c r="C207" s="1" t="s">
        <v>915</v>
      </c>
      <c r="D207" s="2" t="s">
        <v>921</v>
      </c>
      <c r="E207" s="1" t="s">
        <v>922</v>
      </c>
      <c r="F207" s="3" t="s">
        <v>923</v>
      </c>
      <c r="G207" s="30">
        <v>31321</v>
      </c>
      <c r="H207" s="1" t="s">
        <v>25</v>
      </c>
      <c r="I207" s="2" t="s">
        <v>26</v>
      </c>
      <c r="J207" s="1" t="s">
        <v>27</v>
      </c>
      <c r="K207" s="1" t="s">
        <v>28</v>
      </c>
      <c r="L207" s="1" t="s">
        <v>29</v>
      </c>
      <c r="N207" s="2"/>
      <c r="O207" s="2"/>
      <c r="P207" s="2"/>
      <c r="Q207" s="2" t="s">
        <v>32</v>
      </c>
      <c r="R207" s="1" t="s">
        <v>33</v>
      </c>
      <c r="S207" s="1" t="s">
        <v>34</v>
      </c>
      <c r="T207" s="5" t="s">
        <v>35</v>
      </c>
      <c r="U207" s="7" t="s">
        <v>36</v>
      </c>
    </row>
    <row r="208" spans="1:21" ht="84" x14ac:dyDescent="0.15">
      <c r="A208" s="4" t="s">
        <v>924</v>
      </c>
      <c r="B208" s="9" t="s">
        <v>920</v>
      </c>
      <c r="C208" s="1" t="s">
        <v>915</v>
      </c>
      <c r="D208" s="5" t="s">
        <v>925</v>
      </c>
      <c r="E208" s="1" t="s">
        <v>926</v>
      </c>
      <c r="F208" s="3" t="s">
        <v>927</v>
      </c>
      <c r="G208" s="30" t="s">
        <v>928</v>
      </c>
      <c r="H208" s="1" t="s">
        <v>809</v>
      </c>
      <c r="I208" s="2" t="s">
        <v>26</v>
      </c>
      <c r="J208" s="1" t="s">
        <v>27</v>
      </c>
      <c r="K208" s="1" t="s">
        <v>28</v>
      </c>
      <c r="L208" s="1" t="s">
        <v>29</v>
      </c>
      <c r="N208" s="2"/>
      <c r="O208" s="2"/>
      <c r="P208" s="2"/>
      <c r="Q208" s="2" t="s">
        <v>32</v>
      </c>
      <c r="R208" s="1" t="s">
        <v>33</v>
      </c>
      <c r="S208" s="1" t="s">
        <v>34</v>
      </c>
      <c r="T208" s="5" t="s">
        <v>810</v>
      </c>
      <c r="U208" s="6" t="s">
        <v>811</v>
      </c>
    </row>
    <row r="209" spans="1:21" ht="98" x14ac:dyDescent="0.15">
      <c r="A209" s="4" t="s">
        <v>929</v>
      </c>
      <c r="B209" s="9" t="s">
        <v>930</v>
      </c>
      <c r="C209" s="1" t="s">
        <v>915</v>
      </c>
      <c r="D209" s="5" t="s">
        <v>931</v>
      </c>
      <c r="E209" s="1" t="s">
        <v>932</v>
      </c>
      <c r="F209" s="3" t="s">
        <v>933</v>
      </c>
      <c r="G209" s="30">
        <v>31339</v>
      </c>
      <c r="H209" s="1" t="s">
        <v>809</v>
      </c>
      <c r="I209" s="2" t="s">
        <v>26</v>
      </c>
      <c r="J209" s="1" t="s">
        <v>27</v>
      </c>
      <c r="K209" s="1" t="s">
        <v>28</v>
      </c>
      <c r="L209" s="1" t="s">
        <v>29</v>
      </c>
      <c r="N209" s="2"/>
      <c r="O209" s="2"/>
      <c r="P209" s="2"/>
      <c r="Q209" s="2" t="s">
        <v>32</v>
      </c>
      <c r="R209" s="1" t="s">
        <v>33</v>
      </c>
      <c r="S209" s="1" t="s">
        <v>34</v>
      </c>
      <c r="T209" s="5" t="s">
        <v>810</v>
      </c>
      <c r="U209" s="6" t="s">
        <v>811</v>
      </c>
    </row>
    <row r="210" spans="1:21" ht="112" x14ac:dyDescent="0.15">
      <c r="A210" s="4" t="s">
        <v>934</v>
      </c>
      <c r="B210" s="9" t="s">
        <v>935</v>
      </c>
      <c r="C210" s="1" t="s">
        <v>936</v>
      </c>
      <c r="D210" s="5" t="s">
        <v>937</v>
      </c>
      <c r="E210" s="1" t="s">
        <v>938</v>
      </c>
      <c r="F210" s="3" t="s">
        <v>939</v>
      </c>
      <c r="G210" s="30">
        <v>31346</v>
      </c>
      <c r="H210" s="1" t="s">
        <v>809</v>
      </c>
      <c r="I210" s="2" t="s">
        <v>26</v>
      </c>
      <c r="J210" s="1" t="s">
        <v>27</v>
      </c>
      <c r="K210" s="1" t="s">
        <v>28</v>
      </c>
      <c r="L210" s="1" t="s">
        <v>29</v>
      </c>
      <c r="N210" s="2"/>
      <c r="O210" s="2"/>
      <c r="P210" s="2"/>
      <c r="Q210" s="2" t="s">
        <v>32</v>
      </c>
      <c r="R210" s="1" t="s">
        <v>33</v>
      </c>
      <c r="S210" s="1" t="s">
        <v>34</v>
      </c>
      <c r="T210" s="5" t="s">
        <v>810</v>
      </c>
      <c r="U210" s="6" t="s">
        <v>811</v>
      </c>
    </row>
    <row r="211" spans="1:21" ht="84" x14ac:dyDescent="0.15">
      <c r="A211" s="4" t="s">
        <v>940</v>
      </c>
      <c r="B211" s="9" t="s">
        <v>941</v>
      </c>
      <c r="C211" s="1" t="s">
        <v>942</v>
      </c>
      <c r="D211" s="5" t="s">
        <v>943</v>
      </c>
      <c r="E211" s="1" t="s">
        <v>944</v>
      </c>
      <c r="F211" s="3" t="s">
        <v>945</v>
      </c>
      <c r="G211" s="30">
        <v>31353</v>
      </c>
      <c r="H211" s="1" t="s">
        <v>809</v>
      </c>
      <c r="I211" s="2" t="s">
        <v>26</v>
      </c>
      <c r="J211" s="1" t="s">
        <v>27</v>
      </c>
      <c r="K211" s="1" t="s">
        <v>28</v>
      </c>
      <c r="L211" s="1" t="s">
        <v>29</v>
      </c>
      <c r="N211" s="2"/>
      <c r="O211" s="2"/>
      <c r="P211" s="2"/>
      <c r="Q211" s="2" t="s">
        <v>32</v>
      </c>
      <c r="R211" s="1" t="s">
        <v>33</v>
      </c>
      <c r="S211" s="1" t="s">
        <v>34</v>
      </c>
      <c r="T211" s="5" t="s">
        <v>810</v>
      </c>
      <c r="U211" s="6" t="s">
        <v>811</v>
      </c>
    </row>
    <row r="212" spans="1:21" ht="42" x14ac:dyDescent="0.15">
      <c r="A212" s="4" t="s">
        <v>946</v>
      </c>
      <c r="B212" s="9" t="s">
        <v>947</v>
      </c>
      <c r="C212" s="1" t="s">
        <v>831</v>
      </c>
      <c r="D212" s="2" t="s">
        <v>948</v>
      </c>
      <c r="E212" s="1" t="s">
        <v>949</v>
      </c>
      <c r="F212" s="3" t="s">
        <v>950</v>
      </c>
      <c r="G212" s="30">
        <v>31352</v>
      </c>
      <c r="H212" s="1" t="s">
        <v>25</v>
      </c>
      <c r="I212" s="2" t="s">
        <v>26</v>
      </c>
      <c r="J212" s="1" t="s">
        <v>27</v>
      </c>
      <c r="K212" s="1" t="s">
        <v>28</v>
      </c>
      <c r="L212" s="1" t="s">
        <v>29</v>
      </c>
      <c r="M212" s="1" t="s">
        <v>30</v>
      </c>
      <c r="N212" s="2"/>
      <c r="O212" s="2"/>
      <c r="P212" s="2"/>
      <c r="Q212" s="2" t="s">
        <v>32</v>
      </c>
      <c r="R212" s="1" t="s">
        <v>33</v>
      </c>
      <c r="S212" s="1" t="s">
        <v>34</v>
      </c>
      <c r="T212" s="5" t="s">
        <v>35</v>
      </c>
      <c r="U212" s="7" t="s">
        <v>36</v>
      </c>
    </row>
    <row r="213" spans="1:21" ht="98" x14ac:dyDescent="0.15">
      <c r="A213" s="4" t="s">
        <v>951</v>
      </c>
      <c r="B213" s="9" t="s">
        <v>952</v>
      </c>
      <c r="C213" s="1" t="s">
        <v>953</v>
      </c>
      <c r="D213" s="5" t="s">
        <v>954</v>
      </c>
      <c r="E213" s="1" t="s">
        <v>955</v>
      </c>
      <c r="F213" s="3" t="s">
        <v>956</v>
      </c>
      <c r="G213" s="30">
        <v>31668</v>
      </c>
      <c r="H213" s="1" t="s">
        <v>809</v>
      </c>
      <c r="I213" s="2" t="s">
        <v>26</v>
      </c>
      <c r="J213" s="1" t="s">
        <v>27</v>
      </c>
      <c r="K213" s="1" t="s">
        <v>28</v>
      </c>
      <c r="L213" s="1" t="s">
        <v>29</v>
      </c>
      <c r="N213" s="2"/>
      <c r="O213" s="2"/>
      <c r="P213" s="2"/>
      <c r="Q213" s="2" t="s">
        <v>32</v>
      </c>
      <c r="R213" s="1" t="s">
        <v>33</v>
      </c>
      <c r="S213" s="1" t="s">
        <v>34</v>
      </c>
      <c r="T213" s="5" t="s">
        <v>810</v>
      </c>
      <c r="U213" s="6" t="s">
        <v>811</v>
      </c>
    </row>
    <row r="214" spans="1:21" ht="28" x14ac:dyDescent="0.15">
      <c r="A214" s="4" t="s">
        <v>957</v>
      </c>
      <c r="B214" s="9" t="s">
        <v>958</v>
      </c>
      <c r="C214" s="1" t="s">
        <v>959</v>
      </c>
      <c r="D214" s="2" t="s">
        <v>960</v>
      </c>
      <c r="E214" s="1" t="s">
        <v>961</v>
      </c>
      <c r="F214" s="3" t="s">
        <v>962</v>
      </c>
      <c r="G214" s="30">
        <v>31656</v>
      </c>
      <c r="H214" s="1" t="s">
        <v>25</v>
      </c>
      <c r="I214" s="2" t="s">
        <v>26</v>
      </c>
      <c r="J214" s="1" t="s">
        <v>27</v>
      </c>
      <c r="K214" s="1" t="s">
        <v>28</v>
      </c>
      <c r="L214" s="1" t="s">
        <v>29</v>
      </c>
      <c r="N214" s="2"/>
      <c r="O214" s="2"/>
      <c r="P214" s="2"/>
      <c r="Q214" s="2" t="s">
        <v>32</v>
      </c>
      <c r="R214" s="1" t="s">
        <v>33</v>
      </c>
      <c r="S214" s="1" t="s">
        <v>34</v>
      </c>
      <c r="T214" s="5" t="s">
        <v>35</v>
      </c>
      <c r="U214" s="7" t="s">
        <v>36</v>
      </c>
    </row>
    <row r="215" spans="1:21" ht="84" x14ac:dyDescent="0.15">
      <c r="A215" s="4" t="s">
        <v>963</v>
      </c>
      <c r="B215" s="9" t="s">
        <v>964</v>
      </c>
      <c r="C215" s="1" t="s">
        <v>965</v>
      </c>
      <c r="D215" s="5" t="s">
        <v>966</v>
      </c>
      <c r="E215" s="1" t="s">
        <v>967</v>
      </c>
      <c r="F215" s="3" t="s">
        <v>968</v>
      </c>
      <c r="G215" s="30">
        <v>31682</v>
      </c>
      <c r="H215" s="1" t="s">
        <v>809</v>
      </c>
      <c r="I215" s="2" t="s">
        <v>26</v>
      </c>
      <c r="J215" s="1" t="s">
        <v>27</v>
      </c>
      <c r="K215" s="1" t="s">
        <v>28</v>
      </c>
      <c r="L215" s="1" t="s">
        <v>29</v>
      </c>
      <c r="N215" s="2"/>
      <c r="O215" s="2"/>
      <c r="P215" s="2"/>
      <c r="Q215" s="2" t="s">
        <v>32</v>
      </c>
      <c r="R215" s="1" t="s">
        <v>33</v>
      </c>
      <c r="S215" s="1" t="s">
        <v>34</v>
      </c>
      <c r="T215" s="5" t="s">
        <v>810</v>
      </c>
      <c r="U215" s="6" t="s">
        <v>811</v>
      </c>
    </row>
    <row r="216" spans="1:21" ht="84" x14ac:dyDescent="0.15">
      <c r="A216" s="4" t="s">
        <v>969</v>
      </c>
      <c r="B216" s="9" t="s">
        <v>970</v>
      </c>
      <c r="C216" s="1" t="s">
        <v>971</v>
      </c>
      <c r="D216" s="5" t="s">
        <v>972</v>
      </c>
      <c r="E216" s="1" t="s">
        <v>973</v>
      </c>
      <c r="F216" s="3" t="s">
        <v>974</v>
      </c>
      <c r="G216" s="30">
        <v>31689</v>
      </c>
      <c r="H216" s="1" t="s">
        <v>809</v>
      </c>
      <c r="I216" s="2" t="s">
        <v>26</v>
      </c>
      <c r="J216" s="1" t="s">
        <v>27</v>
      </c>
      <c r="K216" s="1" t="s">
        <v>28</v>
      </c>
      <c r="L216" s="1" t="s">
        <v>29</v>
      </c>
      <c r="N216" s="2"/>
      <c r="O216" s="2"/>
      <c r="P216" s="2"/>
      <c r="Q216" s="2" t="s">
        <v>32</v>
      </c>
      <c r="R216" s="1" t="s">
        <v>33</v>
      </c>
      <c r="S216" s="1" t="s">
        <v>34</v>
      </c>
      <c r="T216" s="5" t="s">
        <v>810</v>
      </c>
      <c r="U216" s="6" t="s">
        <v>811</v>
      </c>
    </row>
    <row r="217" spans="1:21" ht="42" x14ac:dyDescent="0.15">
      <c r="A217" s="4" t="s">
        <v>975</v>
      </c>
      <c r="B217" s="9" t="s">
        <v>976</v>
      </c>
      <c r="C217" s="1" t="s">
        <v>977</v>
      </c>
      <c r="D217" s="2" t="s">
        <v>978</v>
      </c>
      <c r="E217" s="1" t="s">
        <v>979</v>
      </c>
      <c r="F217" s="3" t="s">
        <v>980</v>
      </c>
      <c r="G217" s="30">
        <v>31686</v>
      </c>
      <c r="H217" s="1" t="s">
        <v>25</v>
      </c>
      <c r="I217" s="2" t="s">
        <v>26</v>
      </c>
      <c r="J217" s="1" t="s">
        <v>27</v>
      </c>
      <c r="K217" s="1" t="s">
        <v>28</v>
      </c>
      <c r="L217" s="1" t="s">
        <v>29</v>
      </c>
      <c r="N217" s="2"/>
      <c r="O217" s="2"/>
      <c r="P217" s="2"/>
      <c r="Q217" s="2" t="s">
        <v>32</v>
      </c>
      <c r="R217" s="1" t="s">
        <v>33</v>
      </c>
      <c r="S217" s="1" t="s">
        <v>34</v>
      </c>
      <c r="T217" s="5" t="s">
        <v>35</v>
      </c>
      <c r="U217" s="7" t="s">
        <v>36</v>
      </c>
    </row>
    <row r="218" spans="1:21" ht="84" x14ac:dyDescent="0.15">
      <c r="A218" s="4" t="s">
        <v>981</v>
      </c>
      <c r="B218" s="9" t="s">
        <v>982</v>
      </c>
      <c r="C218" s="1" t="s">
        <v>983</v>
      </c>
      <c r="D218" s="5" t="s">
        <v>984</v>
      </c>
      <c r="E218" s="1" t="s">
        <v>985</v>
      </c>
      <c r="F218" s="3" t="s">
        <v>980</v>
      </c>
      <c r="G218" s="30">
        <v>31686</v>
      </c>
      <c r="H218" s="1" t="s">
        <v>809</v>
      </c>
      <c r="I218" s="2" t="s">
        <v>26</v>
      </c>
      <c r="J218" s="1" t="s">
        <v>27</v>
      </c>
      <c r="K218" s="1" t="s">
        <v>28</v>
      </c>
      <c r="L218" s="1" t="s">
        <v>29</v>
      </c>
      <c r="N218" s="2"/>
      <c r="O218" s="2"/>
      <c r="P218" s="2"/>
      <c r="Q218" s="2" t="s">
        <v>32</v>
      </c>
      <c r="R218" s="1" t="s">
        <v>33</v>
      </c>
      <c r="S218" s="1" t="s">
        <v>34</v>
      </c>
      <c r="T218" s="5" t="s">
        <v>810</v>
      </c>
      <c r="U218" s="6" t="s">
        <v>811</v>
      </c>
    </row>
    <row r="219" spans="1:21" ht="13" x14ac:dyDescent="0.15">
      <c r="D219" s="21"/>
      <c r="F219" s="29"/>
      <c r="I219" s="21"/>
      <c r="N219" s="21"/>
      <c r="O219" s="21"/>
      <c r="P219" s="21"/>
      <c r="Q219" s="21"/>
      <c r="T219" s="21"/>
    </row>
    <row r="220" spans="1:21" ht="13" x14ac:dyDescent="0.15">
      <c r="D220" s="21"/>
      <c r="F220" s="29"/>
      <c r="I220" s="21"/>
      <c r="N220" s="21"/>
      <c r="O220" s="21"/>
      <c r="P220" s="21"/>
      <c r="Q220" s="21"/>
      <c r="T220" s="21"/>
    </row>
    <row r="221" spans="1:21" ht="13" x14ac:dyDescent="0.15">
      <c r="D221" s="21"/>
      <c r="F221" s="29"/>
      <c r="I221" s="21"/>
      <c r="N221" s="21"/>
      <c r="O221" s="21"/>
      <c r="P221" s="21"/>
      <c r="Q221" s="21"/>
      <c r="T221" s="21"/>
    </row>
    <row r="222" spans="1:21" ht="13" x14ac:dyDescent="0.15">
      <c r="D222" s="21"/>
      <c r="F222" s="29"/>
      <c r="I222" s="21"/>
      <c r="N222" s="21"/>
      <c r="O222" s="21"/>
      <c r="P222" s="21"/>
      <c r="Q222" s="21"/>
      <c r="T222" s="21"/>
    </row>
    <row r="223" spans="1:21" ht="13" x14ac:dyDescent="0.15">
      <c r="D223" s="21"/>
      <c r="F223" s="29"/>
      <c r="I223" s="21"/>
      <c r="N223" s="21"/>
      <c r="O223" s="21"/>
      <c r="P223" s="21"/>
      <c r="Q223" s="21"/>
      <c r="T223" s="21"/>
    </row>
    <row r="224" spans="1:21" ht="13" x14ac:dyDescent="0.15">
      <c r="D224" s="21"/>
      <c r="F224" s="29"/>
      <c r="I224" s="21"/>
      <c r="N224" s="21"/>
      <c r="O224" s="21"/>
      <c r="P224" s="21"/>
      <c r="Q224" s="21"/>
      <c r="T224" s="21"/>
    </row>
    <row r="225" spans="4:20" ht="13" x14ac:dyDescent="0.15">
      <c r="D225" s="21"/>
      <c r="F225" s="29"/>
      <c r="I225" s="21"/>
      <c r="N225" s="21"/>
      <c r="O225" s="21"/>
      <c r="P225" s="21"/>
      <c r="Q225" s="21"/>
      <c r="T225" s="21"/>
    </row>
    <row r="226" spans="4:20" ht="13" x14ac:dyDescent="0.15">
      <c r="D226" s="21"/>
      <c r="F226" s="29"/>
      <c r="I226" s="21"/>
      <c r="N226" s="21"/>
      <c r="O226" s="21"/>
      <c r="P226" s="21"/>
      <c r="Q226" s="21"/>
      <c r="T226" s="21"/>
    </row>
    <row r="227" spans="4:20" ht="13" x14ac:dyDescent="0.15">
      <c r="D227" s="21"/>
      <c r="F227" s="29"/>
      <c r="I227" s="21"/>
      <c r="N227" s="21"/>
      <c r="O227" s="21"/>
      <c r="P227" s="21"/>
      <c r="Q227" s="21"/>
      <c r="T227" s="21"/>
    </row>
    <row r="228" spans="4:20" ht="13" x14ac:dyDescent="0.15">
      <c r="D228" s="21"/>
      <c r="F228" s="29"/>
      <c r="I228" s="21"/>
      <c r="N228" s="21"/>
      <c r="O228" s="21"/>
      <c r="P228" s="21"/>
      <c r="Q228" s="21"/>
      <c r="T228" s="21"/>
    </row>
    <row r="229" spans="4:20" ht="13" x14ac:dyDescent="0.15">
      <c r="D229" s="21"/>
      <c r="F229" s="29"/>
      <c r="I229" s="21"/>
      <c r="N229" s="21"/>
      <c r="O229" s="21"/>
      <c r="P229" s="21"/>
      <c r="Q229" s="21"/>
      <c r="T229" s="21"/>
    </row>
    <row r="230" spans="4:20" ht="13" x14ac:dyDescent="0.15">
      <c r="D230" s="21"/>
      <c r="F230" s="29"/>
      <c r="I230" s="21"/>
      <c r="N230" s="21"/>
      <c r="O230" s="21"/>
      <c r="P230" s="21"/>
      <c r="Q230" s="21"/>
      <c r="T230" s="21"/>
    </row>
    <row r="231" spans="4:20" ht="13" x14ac:dyDescent="0.15">
      <c r="D231" s="21"/>
      <c r="F231" s="29"/>
      <c r="I231" s="21"/>
      <c r="N231" s="21"/>
      <c r="O231" s="21"/>
      <c r="P231" s="21"/>
      <c r="Q231" s="21"/>
      <c r="T231" s="21"/>
    </row>
    <row r="232" spans="4:20" ht="13" x14ac:dyDescent="0.15">
      <c r="D232" s="21"/>
      <c r="F232" s="29"/>
      <c r="I232" s="21"/>
      <c r="N232" s="21"/>
      <c r="O232" s="21"/>
      <c r="P232" s="21"/>
      <c r="Q232" s="21"/>
      <c r="T232" s="21"/>
    </row>
    <row r="233" spans="4:20" ht="13" x14ac:dyDescent="0.15">
      <c r="D233" s="21"/>
      <c r="F233" s="29"/>
      <c r="I233" s="21"/>
      <c r="N233" s="21"/>
      <c r="O233" s="21"/>
      <c r="P233" s="21"/>
      <c r="Q233" s="21"/>
      <c r="T233" s="21"/>
    </row>
    <row r="234" spans="4:20" ht="13" x14ac:dyDescent="0.15">
      <c r="D234" s="21"/>
      <c r="F234" s="29"/>
      <c r="I234" s="21"/>
      <c r="N234" s="21"/>
      <c r="O234" s="21"/>
      <c r="P234" s="21"/>
      <c r="Q234" s="21"/>
      <c r="T234" s="21"/>
    </row>
    <row r="235" spans="4:20" ht="13" x14ac:dyDescent="0.15">
      <c r="D235" s="21"/>
      <c r="F235" s="29"/>
      <c r="I235" s="21"/>
      <c r="N235" s="21"/>
      <c r="O235" s="21"/>
      <c r="P235" s="21"/>
      <c r="Q235" s="21"/>
      <c r="T235" s="21"/>
    </row>
    <row r="236" spans="4:20" ht="13" x14ac:dyDescent="0.15">
      <c r="D236" s="21"/>
      <c r="F236" s="29"/>
      <c r="I236" s="21"/>
      <c r="N236" s="21"/>
      <c r="O236" s="21"/>
      <c r="P236" s="21"/>
      <c r="Q236" s="21"/>
      <c r="T236" s="21"/>
    </row>
    <row r="237" spans="4:20" ht="13" x14ac:dyDescent="0.15">
      <c r="D237" s="21"/>
      <c r="F237" s="29"/>
      <c r="I237" s="21"/>
      <c r="N237" s="21"/>
      <c r="O237" s="21"/>
      <c r="P237" s="21"/>
      <c r="Q237" s="21"/>
      <c r="T237" s="21"/>
    </row>
    <row r="238" spans="4:20" ht="13" x14ac:dyDescent="0.15">
      <c r="D238" s="21"/>
      <c r="F238" s="29"/>
      <c r="I238" s="21"/>
      <c r="N238" s="21"/>
      <c r="O238" s="21"/>
      <c r="P238" s="21"/>
      <c r="Q238" s="21"/>
      <c r="T238" s="21"/>
    </row>
    <row r="239" spans="4:20" ht="13" x14ac:dyDescent="0.15">
      <c r="D239" s="21"/>
      <c r="F239" s="29"/>
      <c r="I239" s="21"/>
      <c r="N239" s="21"/>
      <c r="O239" s="21"/>
      <c r="P239" s="21"/>
      <c r="Q239" s="21"/>
      <c r="T239" s="21"/>
    </row>
    <row r="240" spans="4:20" ht="13" x14ac:dyDescent="0.15">
      <c r="D240" s="21"/>
      <c r="F240" s="29"/>
      <c r="I240" s="21"/>
      <c r="N240" s="21"/>
      <c r="O240" s="21"/>
      <c r="P240" s="21"/>
      <c r="Q240" s="21"/>
      <c r="T240" s="21"/>
    </row>
    <row r="241" spans="4:20" ht="13" x14ac:dyDescent="0.15">
      <c r="D241" s="21"/>
      <c r="F241" s="29"/>
      <c r="I241" s="21"/>
      <c r="N241" s="21"/>
      <c r="O241" s="21"/>
      <c r="P241" s="21"/>
      <c r="Q241" s="21"/>
      <c r="T241" s="21"/>
    </row>
    <row r="242" spans="4:20" ht="13" x14ac:dyDescent="0.15">
      <c r="D242" s="21"/>
      <c r="F242" s="29"/>
      <c r="I242" s="21"/>
      <c r="N242" s="21"/>
      <c r="O242" s="21"/>
      <c r="P242" s="21"/>
      <c r="Q242" s="21"/>
      <c r="T242" s="21"/>
    </row>
    <row r="243" spans="4:20" ht="13" x14ac:dyDescent="0.15">
      <c r="D243" s="21"/>
      <c r="F243" s="29"/>
      <c r="I243" s="21"/>
      <c r="N243" s="21"/>
      <c r="O243" s="21"/>
      <c r="P243" s="21"/>
      <c r="Q243" s="21"/>
      <c r="T243" s="21"/>
    </row>
    <row r="244" spans="4:20" ht="13" x14ac:dyDescent="0.15">
      <c r="D244" s="21"/>
      <c r="F244" s="29"/>
      <c r="I244" s="21"/>
      <c r="N244" s="21"/>
      <c r="O244" s="21"/>
      <c r="P244" s="21"/>
      <c r="Q244" s="21"/>
      <c r="T244" s="21"/>
    </row>
    <row r="245" spans="4:20" ht="13" x14ac:dyDescent="0.15">
      <c r="D245" s="21"/>
      <c r="F245" s="29"/>
      <c r="I245" s="21"/>
      <c r="N245" s="21"/>
      <c r="O245" s="21"/>
      <c r="P245" s="21"/>
      <c r="Q245" s="21"/>
      <c r="T245" s="21"/>
    </row>
    <row r="246" spans="4:20" ht="13" x14ac:dyDescent="0.15">
      <c r="D246" s="21"/>
      <c r="F246" s="29"/>
      <c r="I246" s="21"/>
      <c r="N246" s="21"/>
      <c r="O246" s="21"/>
      <c r="P246" s="21"/>
      <c r="Q246" s="21"/>
      <c r="T246" s="21"/>
    </row>
    <row r="247" spans="4:20" ht="13" x14ac:dyDescent="0.15">
      <c r="D247" s="21"/>
      <c r="F247" s="29"/>
      <c r="I247" s="21"/>
      <c r="N247" s="21"/>
      <c r="O247" s="21"/>
      <c r="P247" s="21"/>
      <c r="Q247" s="21"/>
      <c r="T247" s="21"/>
    </row>
    <row r="248" spans="4:20" ht="13" x14ac:dyDescent="0.15">
      <c r="D248" s="21"/>
      <c r="F248" s="29"/>
      <c r="I248" s="21"/>
      <c r="N248" s="21"/>
      <c r="O248" s="21"/>
      <c r="P248" s="21"/>
      <c r="Q248" s="21"/>
      <c r="T248" s="21"/>
    </row>
    <row r="249" spans="4:20" ht="13" x14ac:dyDescent="0.15">
      <c r="D249" s="21"/>
      <c r="F249" s="29"/>
      <c r="I249" s="21"/>
      <c r="N249" s="21"/>
      <c r="O249" s="21"/>
      <c r="P249" s="21"/>
      <c r="Q249" s="21"/>
      <c r="T249" s="21"/>
    </row>
    <row r="250" spans="4:20" ht="13" x14ac:dyDescent="0.15">
      <c r="D250" s="21"/>
      <c r="F250" s="29"/>
      <c r="I250" s="21"/>
      <c r="N250" s="21"/>
      <c r="O250" s="21"/>
      <c r="P250" s="21"/>
      <c r="Q250" s="21"/>
      <c r="T250" s="21"/>
    </row>
    <row r="251" spans="4:20" ht="13" x14ac:dyDescent="0.15">
      <c r="D251" s="21"/>
      <c r="F251" s="29"/>
      <c r="I251" s="21"/>
      <c r="N251" s="21"/>
      <c r="O251" s="21"/>
      <c r="P251" s="21"/>
      <c r="Q251" s="21"/>
      <c r="T251" s="21"/>
    </row>
    <row r="252" spans="4:20" ht="13" x14ac:dyDescent="0.15">
      <c r="D252" s="21"/>
      <c r="F252" s="29"/>
      <c r="I252" s="21"/>
      <c r="N252" s="21"/>
      <c r="O252" s="21"/>
      <c r="P252" s="21"/>
      <c r="Q252" s="21"/>
      <c r="T252" s="21"/>
    </row>
    <row r="253" spans="4:20" ht="13" x14ac:dyDescent="0.15">
      <c r="D253" s="21"/>
      <c r="F253" s="29"/>
      <c r="I253" s="21"/>
      <c r="N253" s="21"/>
      <c r="O253" s="21"/>
      <c r="P253" s="21"/>
      <c r="Q253" s="21"/>
      <c r="T253" s="21"/>
    </row>
    <row r="254" spans="4:20" ht="13" x14ac:dyDescent="0.15">
      <c r="D254" s="21"/>
      <c r="F254" s="29"/>
      <c r="I254" s="21"/>
      <c r="N254" s="21"/>
      <c r="O254" s="21"/>
      <c r="P254" s="21"/>
      <c r="Q254" s="21"/>
      <c r="T254" s="21"/>
    </row>
    <row r="255" spans="4:20" ht="13" x14ac:dyDescent="0.15">
      <c r="D255" s="21"/>
      <c r="F255" s="29"/>
      <c r="I255" s="21"/>
      <c r="N255" s="21"/>
      <c r="O255" s="21"/>
      <c r="P255" s="21"/>
      <c r="Q255" s="21"/>
      <c r="T255" s="21"/>
    </row>
    <row r="256" spans="4:20" ht="13" x14ac:dyDescent="0.15">
      <c r="D256" s="21"/>
      <c r="F256" s="29"/>
      <c r="I256" s="21"/>
      <c r="N256" s="21"/>
      <c r="O256" s="21"/>
      <c r="P256" s="21"/>
      <c r="Q256" s="21"/>
      <c r="T256" s="21"/>
    </row>
    <row r="257" spans="4:20" ht="13" x14ac:dyDescent="0.15">
      <c r="D257" s="21"/>
      <c r="F257" s="29"/>
      <c r="I257" s="21"/>
      <c r="N257" s="21"/>
      <c r="O257" s="21"/>
      <c r="P257" s="21"/>
      <c r="Q257" s="21"/>
      <c r="T257" s="21"/>
    </row>
    <row r="258" spans="4:20" ht="13" x14ac:dyDescent="0.15">
      <c r="D258" s="21"/>
      <c r="F258" s="29"/>
      <c r="I258" s="21"/>
      <c r="N258" s="21"/>
      <c r="O258" s="21"/>
      <c r="P258" s="21"/>
      <c r="Q258" s="21"/>
      <c r="T258" s="21"/>
    </row>
    <row r="259" spans="4:20" ht="13" x14ac:dyDescent="0.15">
      <c r="D259" s="21"/>
      <c r="F259" s="29"/>
      <c r="I259" s="21"/>
      <c r="N259" s="21"/>
      <c r="O259" s="21"/>
      <c r="P259" s="21"/>
      <c r="Q259" s="21"/>
      <c r="T259" s="21"/>
    </row>
    <row r="260" spans="4:20" ht="13" x14ac:dyDescent="0.15">
      <c r="D260" s="21"/>
      <c r="F260" s="29"/>
      <c r="I260" s="21"/>
      <c r="N260" s="21"/>
      <c r="O260" s="21"/>
      <c r="P260" s="21"/>
      <c r="Q260" s="21"/>
      <c r="T260" s="21"/>
    </row>
    <row r="261" spans="4:20" ht="13" x14ac:dyDescent="0.15">
      <c r="D261" s="21"/>
      <c r="F261" s="29"/>
      <c r="I261" s="21"/>
      <c r="N261" s="21"/>
      <c r="O261" s="21"/>
      <c r="P261" s="21"/>
      <c r="Q261" s="21"/>
      <c r="T261" s="21"/>
    </row>
    <row r="262" spans="4:20" ht="13" x14ac:dyDescent="0.15">
      <c r="D262" s="21"/>
      <c r="F262" s="29"/>
      <c r="I262" s="21"/>
      <c r="N262" s="21"/>
      <c r="O262" s="21"/>
      <c r="P262" s="21"/>
      <c r="Q262" s="21"/>
      <c r="T262" s="21"/>
    </row>
    <row r="263" spans="4:20" ht="13" x14ac:dyDescent="0.15">
      <c r="D263" s="21"/>
      <c r="F263" s="29"/>
      <c r="I263" s="21"/>
      <c r="N263" s="21"/>
      <c r="O263" s="21"/>
      <c r="P263" s="21"/>
      <c r="Q263" s="21"/>
      <c r="T263" s="21"/>
    </row>
    <row r="264" spans="4:20" ht="13" x14ac:dyDescent="0.15">
      <c r="D264" s="21"/>
      <c r="F264" s="29"/>
      <c r="I264" s="21"/>
      <c r="N264" s="21"/>
      <c r="O264" s="21"/>
      <c r="P264" s="21"/>
      <c r="Q264" s="21"/>
      <c r="T264" s="21"/>
    </row>
    <row r="265" spans="4:20" ht="13" x14ac:dyDescent="0.15">
      <c r="D265" s="21"/>
      <c r="F265" s="29"/>
      <c r="I265" s="21"/>
      <c r="N265" s="21"/>
      <c r="O265" s="21"/>
      <c r="P265" s="21"/>
      <c r="Q265" s="21"/>
      <c r="T265" s="21"/>
    </row>
    <row r="266" spans="4:20" ht="13" x14ac:dyDescent="0.15">
      <c r="D266" s="21"/>
      <c r="F266" s="29"/>
      <c r="I266" s="21"/>
      <c r="N266" s="21"/>
      <c r="O266" s="21"/>
      <c r="P266" s="21"/>
      <c r="Q266" s="21"/>
      <c r="T266" s="21"/>
    </row>
    <row r="267" spans="4:20" ht="13" x14ac:dyDescent="0.15">
      <c r="D267" s="21"/>
      <c r="F267" s="29"/>
      <c r="I267" s="21"/>
      <c r="N267" s="21"/>
      <c r="O267" s="21"/>
      <c r="P267" s="21"/>
      <c r="Q267" s="21"/>
      <c r="T267" s="21"/>
    </row>
    <row r="268" spans="4:20" ht="13" x14ac:dyDescent="0.15">
      <c r="D268" s="21"/>
      <c r="F268" s="29"/>
      <c r="I268" s="21"/>
      <c r="N268" s="21"/>
      <c r="O268" s="21"/>
      <c r="P268" s="21"/>
      <c r="Q268" s="21"/>
      <c r="T268" s="21"/>
    </row>
    <row r="269" spans="4:20" ht="13" x14ac:dyDescent="0.15">
      <c r="D269" s="21"/>
      <c r="F269" s="29"/>
      <c r="I269" s="21"/>
      <c r="N269" s="21"/>
      <c r="O269" s="21"/>
      <c r="P269" s="21"/>
      <c r="Q269" s="21"/>
      <c r="T269" s="21"/>
    </row>
    <row r="270" spans="4:20" ht="13" x14ac:dyDescent="0.15">
      <c r="D270" s="21"/>
      <c r="F270" s="29"/>
      <c r="I270" s="21"/>
      <c r="N270" s="21"/>
      <c r="O270" s="21"/>
      <c r="P270" s="21"/>
      <c r="Q270" s="21"/>
      <c r="T270" s="21"/>
    </row>
    <row r="271" spans="4:20" ht="13" x14ac:dyDescent="0.15">
      <c r="D271" s="21"/>
      <c r="F271" s="29"/>
      <c r="I271" s="21"/>
      <c r="N271" s="21"/>
      <c r="O271" s="21"/>
      <c r="P271" s="21"/>
      <c r="Q271" s="21"/>
      <c r="T271" s="21"/>
    </row>
    <row r="272" spans="4:20" ht="13" x14ac:dyDescent="0.15">
      <c r="D272" s="21"/>
      <c r="F272" s="29"/>
      <c r="I272" s="21"/>
      <c r="N272" s="21"/>
      <c r="O272" s="21"/>
      <c r="P272" s="21"/>
      <c r="Q272" s="21"/>
      <c r="T272" s="21"/>
    </row>
    <row r="273" spans="4:20" ht="13" x14ac:dyDescent="0.15">
      <c r="D273" s="21"/>
      <c r="F273" s="29"/>
      <c r="I273" s="21"/>
      <c r="N273" s="21"/>
      <c r="O273" s="21"/>
      <c r="P273" s="21"/>
      <c r="Q273" s="21"/>
      <c r="T273" s="21"/>
    </row>
    <row r="274" spans="4:20" ht="13" x14ac:dyDescent="0.15">
      <c r="D274" s="21"/>
      <c r="F274" s="29"/>
      <c r="I274" s="21"/>
      <c r="N274" s="21"/>
      <c r="O274" s="21"/>
      <c r="P274" s="21"/>
      <c r="Q274" s="21"/>
      <c r="T274" s="21"/>
    </row>
    <row r="275" spans="4:20" ht="13" x14ac:dyDescent="0.15">
      <c r="D275" s="21"/>
      <c r="F275" s="29"/>
      <c r="I275" s="21"/>
      <c r="N275" s="21"/>
      <c r="O275" s="21"/>
      <c r="P275" s="21"/>
      <c r="Q275" s="21"/>
      <c r="T275" s="21"/>
    </row>
    <row r="276" spans="4:20" ht="13" x14ac:dyDescent="0.15">
      <c r="D276" s="21"/>
      <c r="F276" s="29"/>
      <c r="I276" s="21"/>
      <c r="N276" s="21"/>
      <c r="O276" s="21"/>
      <c r="P276" s="21"/>
      <c r="Q276" s="21"/>
      <c r="T276" s="21"/>
    </row>
    <row r="277" spans="4:20" ht="13" x14ac:dyDescent="0.15">
      <c r="D277" s="21"/>
      <c r="F277" s="29"/>
      <c r="I277" s="21"/>
      <c r="N277" s="21"/>
      <c r="O277" s="21"/>
      <c r="P277" s="21"/>
      <c r="Q277" s="21"/>
      <c r="T277" s="21"/>
    </row>
    <row r="278" spans="4:20" ht="13" x14ac:dyDescent="0.15">
      <c r="D278" s="21"/>
      <c r="F278" s="29"/>
      <c r="I278" s="21"/>
      <c r="N278" s="21"/>
      <c r="O278" s="21"/>
      <c r="P278" s="21"/>
      <c r="Q278" s="21"/>
      <c r="T278" s="21"/>
    </row>
    <row r="279" spans="4:20" ht="13" x14ac:dyDescent="0.15">
      <c r="D279" s="21"/>
      <c r="F279" s="29"/>
      <c r="I279" s="21"/>
      <c r="N279" s="21"/>
      <c r="O279" s="21"/>
      <c r="P279" s="21"/>
      <c r="Q279" s="21"/>
      <c r="T279" s="21"/>
    </row>
    <row r="280" spans="4:20" ht="13" x14ac:dyDescent="0.15">
      <c r="D280" s="21"/>
      <c r="F280" s="29"/>
      <c r="I280" s="21"/>
      <c r="N280" s="21"/>
      <c r="O280" s="21"/>
      <c r="P280" s="21"/>
      <c r="Q280" s="21"/>
      <c r="T280" s="21"/>
    </row>
    <row r="281" spans="4:20" ht="13" x14ac:dyDescent="0.15">
      <c r="D281" s="21"/>
      <c r="F281" s="29"/>
      <c r="I281" s="21"/>
      <c r="N281" s="21"/>
      <c r="O281" s="21"/>
      <c r="P281" s="21"/>
      <c r="Q281" s="21"/>
      <c r="T281" s="21"/>
    </row>
    <row r="282" spans="4:20" ht="13" x14ac:dyDescent="0.15">
      <c r="D282" s="21"/>
      <c r="F282" s="29"/>
      <c r="I282" s="21"/>
      <c r="N282" s="21"/>
      <c r="O282" s="21"/>
      <c r="P282" s="21"/>
      <c r="Q282" s="21"/>
      <c r="T282" s="21"/>
    </row>
    <row r="283" spans="4:20" ht="13" x14ac:dyDescent="0.15">
      <c r="D283" s="21"/>
      <c r="F283" s="29"/>
      <c r="I283" s="21"/>
      <c r="N283" s="21"/>
      <c r="O283" s="21"/>
      <c r="P283" s="21"/>
      <c r="Q283" s="21"/>
      <c r="T283" s="21"/>
    </row>
    <row r="284" spans="4:20" ht="13" x14ac:dyDescent="0.15">
      <c r="D284" s="21"/>
      <c r="F284" s="29"/>
      <c r="I284" s="21"/>
      <c r="N284" s="21"/>
      <c r="O284" s="21"/>
      <c r="P284" s="21"/>
      <c r="Q284" s="21"/>
      <c r="T284" s="21"/>
    </row>
    <row r="285" spans="4:20" ht="13" x14ac:dyDescent="0.15">
      <c r="D285" s="21"/>
      <c r="F285" s="29"/>
      <c r="I285" s="21"/>
      <c r="N285" s="21"/>
      <c r="O285" s="21"/>
      <c r="P285" s="21"/>
      <c r="Q285" s="21"/>
      <c r="T285" s="21"/>
    </row>
    <row r="286" spans="4:20" ht="13" x14ac:dyDescent="0.15">
      <c r="D286" s="21"/>
      <c r="F286" s="29"/>
      <c r="I286" s="21"/>
      <c r="N286" s="21"/>
      <c r="O286" s="21"/>
      <c r="P286" s="21"/>
      <c r="Q286" s="21"/>
      <c r="T286" s="21"/>
    </row>
    <row r="287" spans="4:20" ht="13" x14ac:dyDescent="0.15">
      <c r="D287" s="21"/>
      <c r="F287" s="29"/>
      <c r="I287" s="21"/>
      <c r="N287" s="21"/>
      <c r="O287" s="21"/>
      <c r="P287" s="21"/>
      <c r="Q287" s="21"/>
      <c r="T287" s="21"/>
    </row>
    <row r="288" spans="4:20" ht="13" x14ac:dyDescent="0.15">
      <c r="D288" s="21"/>
      <c r="F288" s="29"/>
      <c r="I288" s="21"/>
      <c r="N288" s="21"/>
      <c r="O288" s="21"/>
      <c r="P288" s="21"/>
      <c r="Q288" s="21"/>
      <c r="T288" s="21"/>
    </row>
    <row r="289" spans="4:20" ht="13" x14ac:dyDescent="0.15">
      <c r="D289" s="21"/>
      <c r="F289" s="29"/>
      <c r="I289" s="21"/>
      <c r="N289" s="21"/>
      <c r="O289" s="21"/>
      <c r="P289" s="21"/>
      <c r="Q289" s="21"/>
      <c r="T289" s="21"/>
    </row>
    <row r="290" spans="4:20" ht="13" x14ac:dyDescent="0.15">
      <c r="D290" s="21"/>
      <c r="F290" s="29"/>
      <c r="I290" s="21"/>
      <c r="N290" s="21"/>
      <c r="O290" s="21"/>
      <c r="P290" s="21"/>
      <c r="Q290" s="21"/>
      <c r="T290" s="21"/>
    </row>
    <row r="291" spans="4:20" ht="13" x14ac:dyDescent="0.15">
      <c r="D291" s="21"/>
      <c r="F291" s="29"/>
      <c r="I291" s="21"/>
      <c r="N291" s="21"/>
      <c r="O291" s="21"/>
      <c r="P291" s="21"/>
      <c r="Q291" s="21"/>
      <c r="T291" s="21"/>
    </row>
    <row r="292" spans="4:20" ht="13" x14ac:dyDescent="0.15">
      <c r="D292" s="21"/>
      <c r="F292" s="29"/>
      <c r="I292" s="21"/>
      <c r="N292" s="21"/>
      <c r="O292" s="21"/>
      <c r="P292" s="21"/>
      <c r="Q292" s="21"/>
      <c r="T292" s="21"/>
    </row>
    <row r="293" spans="4:20" ht="13" x14ac:dyDescent="0.15">
      <c r="D293" s="21"/>
      <c r="F293" s="29"/>
      <c r="I293" s="21"/>
      <c r="N293" s="21"/>
      <c r="O293" s="21"/>
      <c r="P293" s="21"/>
      <c r="Q293" s="21"/>
      <c r="T293" s="21"/>
    </row>
    <row r="294" spans="4:20" ht="13" x14ac:dyDescent="0.15">
      <c r="D294" s="21"/>
      <c r="F294" s="29"/>
      <c r="I294" s="21"/>
      <c r="N294" s="21"/>
      <c r="O294" s="21"/>
      <c r="P294" s="21"/>
      <c r="Q294" s="21"/>
      <c r="T294" s="21"/>
    </row>
    <row r="295" spans="4:20" ht="13" x14ac:dyDescent="0.15">
      <c r="D295" s="21"/>
      <c r="F295" s="29"/>
      <c r="I295" s="21"/>
      <c r="N295" s="21"/>
      <c r="O295" s="21"/>
      <c r="P295" s="21"/>
      <c r="Q295" s="21"/>
      <c r="T295" s="21"/>
    </row>
    <row r="296" spans="4:20" ht="13" x14ac:dyDescent="0.15">
      <c r="D296" s="21"/>
      <c r="F296" s="29"/>
      <c r="I296" s="21"/>
      <c r="N296" s="21"/>
      <c r="O296" s="21"/>
      <c r="P296" s="21"/>
      <c r="Q296" s="21"/>
      <c r="T296" s="21"/>
    </row>
    <row r="297" spans="4:20" ht="13" x14ac:dyDescent="0.15">
      <c r="D297" s="21"/>
      <c r="F297" s="29"/>
      <c r="I297" s="21"/>
      <c r="N297" s="21"/>
      <c r="O297" s="21"/>
      <c r="P297" s="21"/>
      <c r="Q297" s="21"/>
      <c r="T297" s="21"/>
    </row>
    <row r="298" spans="4:20" ht="13" x14ac:dyDescent="0.15">
      <c r="D298" s="21"/>
      <c r="F298" s="29"/>
      <c r="I298" s="21"/>
      <c r="N298" s="21"/>
      <c r="O298" s="21"/>
      <c r="P298" s="21"/>
      <c r="Q298" s="21"/>
      <c r="T298" s="21"/>
    </row>
    <row r="299" spans="4:20" ht="13" x14ac:dyDescent="0.15">
      <c r="D299" s="21"/>
      <c r="F299" s="29"/>
      <c r="I299" s="21"/>
      <c r="N299" s="21"/>
      <c r="O299" s="21"/>
      <c r="P299" s="21"/>
      <c r="Q299" s="21"/>
      <c r="T299" s="21"/>
    </row>
    <row r="300" spans="4:20" ht="13" x14ac:dyDescent="0.15">
      <c r="D300" s="21"/>
      <c r="F300" s="29"/>
      <c r="I300" s="21"/>
      <c r="N300" s="21"/>
      <c r="O300" s="21"/>
      <c r="P300" s="21"/>
      <c r="Q300" s="21"/>
      <c r="T300" s="21"/>
    </row>
    <row r="301" spans="4:20" ht="13" x14ac:dyDescent="0.15">
      <c r="D301" s="21"/>
      <c r="F301" s="29"/>
      <c r="I301" s="21"/>
      <c r="N301" s="21"/>
      <c r="O301" s="21"/>
      <c r="P301" s="21"/>
      <c r="Q301" s="21"/>
      <c r="T301" s="21"/>
    </row>
    <row r="302" spans="4:20" ht="13" x14ac:dyDescent="0.15">
      <c r="D302" s="21"/>
      <c r="F302" s="29"/>
      <c r="I302" s="21"/>
      <c r="N302" s="21"/>
      <c r="O302" s="21"/>
      <c r="P302" s="21"/>
      <c r="Q302" s="21"/>
      <c r="T302" s="21"/>
    </row>
    <row r="303" spans="4:20" ht="13" x14ac:dyDescent="0.15">
      <c r="D303" s="21"/>
      <c r="F303" s="29"/>
      <c r="I303" s="21"/>
      <c r="N303" s="21"/>
      <c r="O303" s="21"/>
      <c r="P303" s="21"/>
      <c r="Q303" s="21"/>
      <c r="T303" s="21"/>
    </row>
    <row r="304" spans="4:20" ht="13" x14ac:dyDescent="0.15">
      <c r="D304" s="21"/>
      <c r="F304" s="29"/>
      <c r="I304" s="21"/>
      <c r="N304" s="21"/>
      <c r="O304" s="21"/>
      <c r="P304" s="21"/>
      <c r="Q304" s="21"/>
      <c r="T304" s="21"/>
    </row>
    <row r="305" spans="4:20" ht="13" x14ac:dyDescent="0.15">
      <c r="D305" s="21"/>
      <c r="F305" s="29"/>
      <c r="I305" s="21"/>
      <c r="N305" s="21"/>
      <c r="O305" s="21"/>
      <c r="P305" s="21"/>
      <c r="Q305" s="21"/>
      <c r="T305" s="21"/>
    </row>
    <row r="306" spans="4:20" ht="13" x14ac:dyDescent="0.15">
      <c r="D306" s="21"/>
      <c r="F306" s="29"/>
      <c r="I306" s="21"/>
      <c r="N306" s="21"/>
      <c r="O306" s="21"/>
      <c r="P306" s="21"/>
      <c r="Q306" s="21"/>
      <c r="T306" s="21"/>
    </row>
    <row r="307" spans="4:20" ht="13" x14ac:dyDescent="0.15">
      <c r="D307" s="21"/>
      <c r="F307" s="29"/>
      <c r="I307" s="21"/>
      <c r="N307" s="21"/>
      <c r="O307" s="21"/>
      <c r="P307" s="21"/>
      <c r="Q307" s="21"/>
      <c r="T307" s="21"/>
    </row>
    <row r="308" spans="4:20" ht="13" x14ac:dyDescent="0.15">
      <c r="D308" s="21"/>
      <c r="F308" s="29"/>
      <c r="I308" s="21"/>
      <c r="N308" s="21"/>
      <c r="O308" s="21"/>
      <c r="P308" s="21"/>
      <c r="Q308" s="21"/>
      <c r="T308" s="21"/>
    </row>
    <row r="309" spans="4:20" ht="13" x14ac:dyDescent="0.15">
      <c r="D309" s="21"/>
      <c r="F309" s="29"/>
      <c r="I309" s="21"/>
      <c r="N309" s="21"/>
      <c r="O309" s="21"/>
      <c r="P309" s="21"/>
      <c r="Q309" s="21"/>
      <c r="T309" s="21"/>
    </row>
    <row r="310" spans="4:20" ht="13" x14ac:dyDescent="0.15">
      <c r="D310" s="21"/>
      <c r="F310" s="29"/>
      <c r="I310" s="21"/>
      <c r="N310" s="21"/>
      <c r="O310" s="21"/>
      <c r="P310" s="21"/>
      <c r="Q310" s="21"/>
      <c r="T310" s="21"/>
    </row>
    <row r="311" spans="4:20" ht="13" x14ac:dyDescent="0.15">
      <c r="D311" s="21"/>
      <c r="F311" s="29"/>
      <c r="I311" s="21"/>
      <c r="N311" s="21"/>
      <c r="O311" s="21"/>
      <c r="P311" s="21"/>
      <c r="Q311" s="21"/>
      <c r="T311" s="21"/>
    </row>
    <row r="312" spans="4:20" ht="13" x14ac:dyDescent="0.15">
      <c r="D312" s="21"/>
      <c r="F312" s="29"/>
      <c r="I312" s="21"/>
      <c r="N312" s="21"/>
      <c r="O312" s="21"/>
      <c r="P312" s="21"/>
      <c r="Q312" s="21"/>
      <c r="T312" s="21"/>
    </row>
    <row r="313" spans="4:20" ht="13" x14ac:dyDescent="0.15">
      <c r="D313" s="21"/>
      <c r="F313" s="29"/>
      <c r="I313" s="21"/>
      <c r="N313" s="21"/>
      <c r="O313" s="21"/>
      <c r="P313" s="21"/>
      <c r="Q313" s="21"/>
      <c r="T313" s="21"/>
    </row>
    <row r="314" spans="4:20" ht="13" x14ac:dyDescent="0.15">
      <c r="D314" s="21"/>
      <c r="F314" s="29"/>
      <c r="I314" s="21"/>
      <c r="N314" s="21"/>
      <c r="O314" s="21"/>
      <c r="P314" s="21"/>
      <c r="Q314" s="21"/>
      <c r="T314" s="21"/>
    </row>
    <row r="315" spans="4:20" ht="13" x14ac:dyDescent="0.15">
      <c r="D315" s="21"/>
      <c r="F315" s="29"/>
      <c r="I315" s="21"/>
      <c r="N315" s="21"/>
      <c r="O315" s="21"/>
      <c r="P315" s="21"/>
      <c r="Q315" s="21"/>
      <c r="T315" s="21"/>
    </row>
    <row r="316" spans="4:20" ht="13" x14ac:dyDescent="0.15">
      <c r="D316" s="21"/>
      <c r="F316" s="29"/>
      <c r="I316" s="21"/>
      <c r="N316" s="21"/>
      <c r="O316" s="21"/>
      <c r="P316" s="21"/>
      <c r="Q316" s="21"/>
      <c r="T316" s="21"/>
    </row>
    <row r="317" spans="4:20" ht="13" x14ac:dyDescent="0.15">
      <c r="D317" s="21"/>
      <c r="F317" s="29"/>
      <c r="I317" s="21"/>
      <c r="N317" s="21"/>
      <c r="O317" s="21"/>
      <c r="P317" s="21"/>
      <c r="Q317" s="21"/>
      <c r="T317" s="21"/>
    </row>
    <row r="318" spans="4:20" ht="13" x14ac:dyDescent="0.15">
      <c r="D318" s="21"/>
      <c r="F318" s="29"/>
      <c r="I318" s="21"/>
      <c r="N318" s="21"/>
      <c r="O318" s="21"/>
      <c r="P318" s="21"/>
      <c r="Q318" s="21"/>
      <c r="T318" s="21"/>
    </row>
    <row r="319" spans="4:20" ht="13" x14ac:dyDescent="0.15">
      <c r="D319" s="21"/>
      <c r="F319" s="29"/>
      <c r="I319" s="21"/>
      <c r="N319" s="21"/>
      <c r="O319" s="21"/>
      <c r="P319" s="21"/>
      <c r="Q319" s="21"/>
      <c r="T319" s="21"/>
    </row>
    <row r="320" spans="4:20" ht="13" x14ac:dyDescent="0.15">
      <c r="D320" s="21"/>
      <c r="F320" s="29"/>
      <c r="I320" s="21"/>
      <c r="N320" s="21"/>
      <c r="O320" s="21"/>
      <c r="P320" s="21"/>
      <c r="Q320" s="21"/>
      <c r="T320" s="21"/>
    </row>
    <row r="321" spans="4:20" ht="13" x14ac:dyDescent="0.15">
      <c r="D321" s="21"/>
      <c r="F321" s="29"/>
      <c r="I321" s="21"/>
      <c r="N321" s="21"/>
      <c r="O321" s="21"/>
      <c r="P321" s="21"/>
      <c r="Q321" s="21"/>
      <c r="T321" s="21"/>
    </row>
    <row r="322" spans="4:20" ht="13" x14ac:dyDescent="0.15">
      <c r="D322" s="21"/>
      <c r="F322" s="29"/>
      <c r="I322" s="21"/>
      <c r="N322" s="21"/>
      <c r="O322" s="21"/>
      <c r="P322" s="21"/>
      <c r="Q322" s="21"/>
      <c r="T322" s="21"/>
    </row>
    <row r="323" spans="4:20" ht="13" x14ac:dyDescent="0.15">
      <c r="D323" s="21"/>
      <c r="F323" s="29"/>
      <c r="I323" s="21"/>
      <c r="N323" s="21"/>
      <c r="O323" s="21"/>
      <c r="P323" s="21"/>
      <c r="Q323" s="21"/>
      <c r="T323" s="21"/>
    </row>
    <row r="324" spans="4:20" ht="13" x14ac:dyDescent="0.15">
      <c r="D324" s="21"/>
      <c r="F324" s="29"/>
      <c r="I324" s="21"/>
      <c r="N324" s="21"/>
      <c r="O324" s="21"/>
      <c r="P324" s="21"/>
      <c r="Q324" s="21"/>
      <c r="T324" s="21"/>
    </row>
    <row r="325" spans="4:20" ht="13" x14ac:dyDescent="0.15">
      <c r="D325" s="21"/>
      <c r="F325" s="29"/>
      <c r="I325" s="21"/>
      <c r="N325" s="21"/>
      <c r="O325" s="21"/>
      <c r="P325" s="21"/>
      <c r="Q325" s="21"/>
      <c r="T325" s="21"/>
    </row>
    <row r="326" spans="4:20" ht="13" x14ac:dyDescent="0.15">
      <c r="D326" s="21"/>
      <c r="F326" s="29"/>
      <c r="I326" s="21"/>
      <c r="N326" s="21"/>
      <c r="O326" s="21"/>
      <c r="P326" s="21"/>
      <c r="Q326" s="21"/>
      <c r="T326" s="21"/>
    </row>
    <row r="327" spans="4:20" ht="13" x14ac:dyDescent="0.15">
      <c r="D327" s="21"/>
      <c r="F327" s="29"/>
      <c r="I327" s="21"/>
      <c r="N327" s="21"/>
      <c r="O327" s="21"/>
      <c r="P327" s="21"/>
      <c r="Q327" s="21"/>
      <c r="T327" s="21"/>
    </row>
    <row r="328" spans="4:20" ht="13" x14ac:dyDescent="0.15">
      <c r="D328" s="21"/>
      <c r="F328" s="29"/>
      <c r="I328" s="21"/>
      <c r="N328" s="21"/>
      <c r="O328" s="21"/>
      <c r="P328" s="21"/>
      <c r="Q328" s="21"/>
      <c r="T328" s="21"/>
    </row>
    <row r="329" spans="4:20" ht="13" x14ac:dyDescent="0.15">
      <c r="D329" s="21"/>
      <c r="F329" s="29"/>
      <c r="I329" s="21"/>
      <c r="N329" s="21"/>
      <c r="O329" s="21"/>
      <c r="P329" s="21"/>
      <c r="Q329" s="21"/>
      <c r="T329" s="21"/>
    </row>
    <row r="330" spans="4:20" ht="13" x14ac:dyDescent="0.15">
      <c r="D330" s="21"/>
      <c r="F330" s="29"/>
      <c r="I330" s="21"/>
      <c r="N330" s="21"/>
      <c r="O330" s="21"/>
      <c r="P330" s="21"/>
      <c r="Q330" s="21"/>
      <c r="T330" s="21"/>
    </row>
    <row r="331" spans="4:20" ht="13" x14ac:dyDescent="0.15">
      <c r="D331" s="21"/>
      <c r="F331" s="29"/>
      <c r="I331" s="21"/>
      <c r="N331" s="21"/>
      <c r="O331" s="21"/>
      <c r="P331" s="21"/>
      <c r="Q331" s="21"/>
      <c r="T331" s="21"/>
    </row>
    <row r="332" spans="4:20" ht="13" x14ac:dyDescent="0.15">
      <c r="D332" s="21"/>
      <c r="F332" s="29"/>
      <c r="I332" s="21"/>
      <c r="N332" s="21"/>
      <c r="O332" s="21"/>
      <c r="P332" s="21"/>
      <c r="Q332" s="21"/>
      <c r="T332" s="21"/>
    </row>
    <row r="333" spans="4:20" ht="13" x14ac:dyDescent="0.15">
      <c r="D333" s="21"/>
      <c r="F333" s="29"/>
      <c r="I333" s="21"/>
      <c r="N333" s="21"/>
      <c r="O333" s="21"/>
      <c r="P333" s="21"/>
      <c r="Q333" s="21"/>
      <c r="T333" s="21"/>
    </row>
    <row r="334" spans="4:20" ht="13" x14ac:dyDescent="0.15">
      <c r="D334" s="21"/>
      <c r="F334" s="29"/>
      <c r="I334" s="21"/>
      <c r="N334" s="21"/>
      <c r="O334" s="21"/>
      <c r="P334" s="21"/>
      <c r="Q334" s="21"/>
      <c r="T334" s="21"/>
    </row>
    <row r="335" spans="4:20" ht="13" x14ac:dyDescent="0.15">
      <c r="D335" s="21"/>
      <c r="F335" s="29"/>
      <c r="I335" s="21"/>
      <c r="N335" s="21"/>
      <c r="O335" s="21"/>
      <c r="P335" s="21"/>
      <c r="Q335" s="21"/>
      <c r="T335" s="21"/>
    </row>
    <row r="336" spans="4:20" ht="13" x14ac:dyDescent="0.15">
      <c r="D336" s="21"/>
      <c r="F336" s="29"/>
      <c r="I336" s="21"/>
      <c r="N336" s="21"/>
      <c r="O336" s="21"/>
      <c r="P336" s="21"/>
      <c r="Q336" s="21"/>
      <c r="T336" s="21"/>
    </row>
    <row r="337" spans="4:20" ht="13" x14ac:dyDescent="0.15">
      <c r="D337" s="21"/>
      <c r="F337" s="29"/>
      <c r="I337" s="21"/>
      <c r="N337" s="21"/>
      <c r="O337" s="21"/>
      <c r="P337" s="21"/>
      <c r="Q337" s="21"/>
      <c r="T337" s="21"/>
    </row>
    <row r="338" spans="4:20" ht="13" x14ac:dyDescent="0.15">
      <c r="D338" s="21"/>
      <c r="F338" s="29"/>
      <c r="I338" s="21"/>
      <c r="N338" s="21"/>
      <c r="O338" s="21"/>
      <c r="P338" s="21"/>
      <c r="Q338" s="21"/>
      <c r="T338" s="21"/>
    </row>
    <row r="339" spans="4:20" ht="13" x14ac:dyDescent="0.15">
      <c r="D339" s="21"/>
      <c r="F339" s="29"/>
      <c r="I339" s="21"/>
      <c r="N339" s="21"/>
      <c r="O339" s="21"/>
      <c r="P339" s="21"/>
      <c r="Q339" s="21"/>
      <c r="T339" s="21"/>
    </row>
    <row r="340" spans="4:20" ht="13" x14ac:dyDescent="0.15">
      <c r="D340" s="21"/>
      <c r="F340" s="29"/>
      <c r="I340" s="21"/>
      <c r="N340" s="21"/>
      <c r="O340" s="21"/>
      <c r="P340" s="21"/>
      <c r="Q340" s="21"/>
      <c r="T340" s="21"/>
    </row>
    <row r="341" spans="4:20" ht="13" x14ac:dyDescent="0.15">
      <c r="D341" s="21"/>
      <c r="F341" s="29"/>
      <c r="I341" s="21"/>
      <c r="N341" s="21"/>
      <c r="O341" s="21"/>
      <c r="P341" s="21"/>
      <c r="Q341" s="21"/>
      <c r="T341" s="21"/>
    </row>
    <row r="342" spans="4:20" ht="13" x14ac:dyDescent="0.15">
      <c r="D342" s="21"/>
      <c r="F342" s="29"/>
      <c r="I342" s="21"/>
      <c r="N342" s="21"/>
      <c r="O342" s="21"/>
      <c r="P342" s="21"/>
      <c r="Q342" s="21"/>
      <c r="T342" s="21"/>
    </row>
    <row r="343" spans="4:20" ht="13" x14ac:dyDescent="0.15">
      <c r="D343" s="21"/>
      <c r="F343" s="29"/>
      <c r="I343" s="21"/>
      <c r="N343" s="21"/>
      <c r="O343" s="21"/>
      <c r="P343" s="21"/>
      <c r="Q343" s="21"/>
      <c r="T343" s="21"/>
    </row>
    <row r="344" spans="4:20" ht="13" x14ac:dyDescent="0.15">
      <c r="D344" s="21"/>
      <c r="F344" s="29"/>
      <c r="I344" s="21"/>
      <c r="N344" s="21"/>
      <c r="O344" s="21"/>
      <c r="P344" s="21"/>
      <c r="Q344" s="21"/>
      <c r="T344" s="21"/>
    </row>
    <row r="345" spans="4:20" ht="13" x14ac:dyDescent="0.15">
      <c r="D345" s="21"/>
      <c r="F345" s="29"/>
      <c r="I345" s="21"/>
      <c r="N345" s="21"/>
      <c r="O345" s="21"/>
      <c r="P345" s="21"/>
      <c r="Q345" s="21"/>
      <c r="T345" s="21"/>
    </row>
    <row r="346" spans="4:20" ht="13" x14ac:dyDescent="0.15">
      <c r="D346" s="21"/>
      <c r="F346" s="29"/>
      <c r="I346" s="21"/>
      <c r="N346" s="21"/>
      <c r="O346" s="21"/>
      <c r="P346" s="21"/>
      <c r="Q346" s="21"/>
      <c r="T346" s="21"/>
    </row>
    <row r="347" spans="4:20" ht="13" x14ac:dyDescent="0.15">
      <c r="D347" s="21"/>
      <c r="F347" s="29"/>
      <c r="I347" s="21"/>
      <c r="N347" s="21"/>
      <c r="O347" s="21"/>
      <c r="P347" s="21"/>
      <c r="Q347" s="21"/>
      <c r="T347" s="21"/>
    </row>
    <row r="348" spans="4:20" ht="13" x14ac:dyDescent="0.15">
      <c r="D348" s="21"/>
      <c r="F348" s="29"/>
      <c r="I348" s="21"/>
      <c r="N348" s="21"/>
      <c r="O348" s="21"/>
      <c r="P348" s="21"/>
      <c r="Q348" s="21"/>
      <c r="T348" s="21"/>
    </row>
    <row r="349" spans="4:20" ht="13" x14ac:dyDescent="0.15">
      <c r="D349" s="21"/>
      <c r="F349" s="29"/>
      <c r="I349" s="21"/>
      <c r="N349" s="21"/>
      <c r="O349" s="21"/>
      <c r="P349" s="21"/>
      <c r="Q349" s="21"/>
      <c r="T349" s="21"/>
    </row>
    <row r="350" spans="4:20" ht="13" x14ac:dyDescent="0.15">
      <c r="D350" s="21"/>
      <c r="F350" s="29"/>
      <c r="I350" s="21"/>
      <c r="N350" s="21"/>
      <c r="O350" s="21"/>
      <c r="P350" s="21"/>
      <c r="Q350" s="21"/>
      <c r="T350" s="21"/>
    </row>
    <row r="351" spans="4:20" ht="13" x14ac:dyDescent="0.15">
      <c r="D351" s="21"/>
      <c r="F351" s="29"/>
      <c r="I351" s="21"/>
      <c r="N351" s="21"/>
      <c r="O351" s="21"/>
      <c r="P351" s="21"/>
      <c r="Q351" s="21"/>
      <c r="T351" s="21"/>
    </row>
    <row r="352" spans="4:20" ht="13" x14ac:dyDescent="0.15">
      <c r="D352" s="21"/>
      <c r="F352" s="29"/>
      <c r="I352" s="21"/>
      <c r="N352" s="21"/>
      <c r="O352" s="21"/>
      <c r="P352" s="21"/>
      <c r="Q352" s="21"/>
      <c r="T352" s="21"/>
    </row>
    <row r="353" spans="4:20" ht="13" x14ac:dyDescent="0.15">
      <c r="D353" s="21"/>
      <c r="F353" s="29"/>
      <c r="I353" s="21"/>
      <c r="N353" s="21"/>
      <c r="O353" s="21"/>
      <c r="P353" s="21"/>
      <c r="Q353" s="21"/>
      <c r="T353" s="21"/>
    </row>
    <row r="354" spans="4:20" ht="13" x14ac:dyDescent="0.15">
      <c r="D354" s="21"/>
      <c r="F354" s="29"/>
      <c r="I354" s="21"/>
      <c r="N354" s="21"/>
      <c r="O354" s="21"/>
      <c r="P354" s="21"/>
      <c r="Q354" s="21"/>
      <c r="T354" s="21"/>
    </row>
    <row r="355" spans="4:20" ht="13" x14ac:dyDescent="0.15">
      <c r="D355" s="21"/>
      <c r="F355" s="29"/>
      <c r="I355" s="21"/>
      <c r="N355" s="21"/>
      <c r="O355" s="21"/>
      <c r="P355" s="21"/>
      <c r="Q355" s="21"/>
      <c r="T355" s="21"/>
    </row>
    <row r="356" spans="4:20" ht="13" x14ac:dyDescent="0.15">
      <c r="D356" s="21"/>
      <c r="F356" s="29"/>
      <c r="I356" s="21"/>
      <c r="N356" s="21"/>
      <c r="O356" s="21"/>
      <c r="P356" s="21"/>
      <c r="Q356" s="21"/>
      <c r="T356" s="21"/>
    </row>
    <row r="357" spans="4:20" ht="13" x14ac:dyDescent="0.15">
      <c r="D357" s="21"/>
      <c r="F357" s="29"/>
      <c r="I357" s="21"/>
      <c r="N357" s="21"/>
      <c r="O357" s="21"/>
      <c r="P357" s="21"/>
      <c r="Q357" s="21"/>
      <c r="T357" s="21"/>
    </row>
    <row r="358" spans="4:20" ht="13" x14ac:dyDescent="0.15">
      <c r="D358" s="21"/>
      <c r="F358" s="29"/>
      <c r="I358" s="21"/>
      <c r="N358" s="21"/>
      <c r="O358" s="21"/>
      <c r="P358" s="21"/>
      <c r="Q358" s="21"/>
      <c r="T358" s="21"/>
    </row>
    <row r="359" spans="4:20" ht="13" x14ac:dyDescent="0.15">
      <c r="D359" s="21"/>
      <c r="F359" s="29"/>
      <c r="I359" s="21"/>
      <c r="N359" s="21"/>
      <c r="O359" s="21"/>
      <c r="P359" s="21"/>
      <c r="Q359" s="21"/>
      <c r="T359" s="21"/>
    </row>
    <row r="360" spans="4:20" ht="13" x14ac:dyDescent="0.15">
      <c r="D360" s="21"/>
      <c r="F360" s="29"/>
      <c r="I360" s="21"/>
      <c r="N360" s="21"/>
      <c r="O360" s="21"/>
      <c r="P360" s="21"/>
      <c r="Q360" s="21"/>
      <c r="T360" s="21"/>
    </row>
    <row r="361" spans="4:20" ht="13" x14ac:dyDescent="0.15">
      <c r="D361" s="21"/>
      <c r="F361" s="29"/>
      <c r="I361" s="21"/>
      <c r="N361" s="21"/>
      <c r="O361" s="21"/>
      <c r="P361" s="21"/>
      <c r="Q361" s="21"/>
      <c r="T361" s="21"/>
    </row>
    <row r="362" spans="4:20" ht="13" x14ac:dyDescent="0.15">
      <c r="D362" s="21"/>
      <c r="F362" s="29"/>
      <c r="I362" s="21"/>
      <c r="N362" s="21"/>
      <c r="O362" s="21"/>
      <c r="P362" s="21"/>
      <c r="Q362" s="21"/>
      <c r="T362" s="21"/>
    </row>
    <row r="363" spans="4:20" ht="13" x14ac:dyDescent="0.15">
      <c r="D363" s="21"/>
      <c r="F363" s="29"/>
      <c r="I363" s="21"/>
      <c r="N363" s="21"/>
      <c r="O363" s="21"/>
      <c r="P363" s="21"/>
      <c r="Q363" s="21"/>
      <c r="T363" s="21"/>
    </row>
    <row r="364" spans="4:20" ht="13" x14ac:dyDescent="0.15">
      <c r="D364" s="21"/>
      <c r="F364" s="29"/>
      <c r="I364" s="21"/>
      <c r="N364" s="21"/>
      <c r="O364" s="21"/>
      <c r="P364" s="21"/>
      <c r="Q364" s="21"/>
      <c r="T364" s="21"/>
    </row>
    <row r="365" spans="4:20" ht="13" x14ac:dyDescent="0.15">
      <c r="D365" s="21"/>
      <c r="F365" s="29"/>
      <c r="I365" s="21"/>
      <c r="N365" s="21"/>
      <c r="O365" s="21"/>
      <c r="P365" s="21"/>
      <c r="Q365" s="21"/>
      <c r="T365" s="21"/>
    </row>
    <row r="366" spans="4:20" ht="13" x14ac:dyDescent="0.15">
      <c r="D366" s="21"/>
      <c r="F366" s="29"/>
      <c r="I366" s="21"/>
      <c r="N366" s="21"/>
      <c r="O366" s="21"/>
      <c r="P366" s="21"/>
      <c r="Q366" s="21"/>
      <c r="T366" s="21"/>
    </row>
    <row r="367" spans="4:20" ht="13" x14ac:dyDescent="0.15">
      <c r="D367" s="21"/>
      <c r="F367" s="29"/>
      <c r="I367" s="21"/>
      <c r="N367" s="21"/>
      <c r="O367" s="21"/>
      <c r="P367" s="21"/>
      <c r="Q367" s="21"/>
      <c r="T367" s="21"/>
    </row>
    <row r="368" spans="4:20" ht="13" x14ac:dyDescent="0.15">
      <c r="D368" s="21"/>
      <c r="F368" s="29"/>
      <c r="I368" s="21"/>
      <c r="N368" s="21"/>
      <c r="O368" s="21"/>
      <c r="P368" s="21"/>
      <c r="Q368" s="21"/>
      <c r="T368" s="21"/>
    </row>
    <row r="369" spans="4:20" ht="13" x14ac:dyDescent="0.15">
      <c r="D369" s="21"/>
      <c r="F369" s="29"/>
      <c r="I369" s="21"/>
      <c r="N369" s="21"/>
      <c r="O369" s="21"/>
      <c r="P369" s="21"/>
      <c r="Q369" s="21"/>
      <c r="T369" s="21"/>
    </row>
    <row r="370" spans="4:20" ht="13" x14ac:dyDescent="0.15">
      <c r="D370" s="21"/>
      <c r="F370" s="29"/>
      <c r="I370" s="21"/>
      <c r="N370" s="21"/>
      <c r="O370" s="21"/>
      <c r="P370" s="21"/>
      <c r="Q370" s="21"/>
      <c r="T370" s="21"/>
    </row>
    <row r="371" spans="4:20" ht="13" x14ac:dyDescent="0.15">
      <c r="D371" s="21"/>
      <c r="F371" s="29"/>
      <c r="I371" s="21"/>
      <c r="N371" s="21"/>
      <c r="O371" s="21"/>
      <c r="P371" s="21"/>
      <c r="Q371" s="21"/>
      <c r="T371" s="21"/>
    </row>
    <row r="372" spans="4:20" ht="13" x14ac:dyDescent="0.15">
      <c r="D372" s="21"/>
      <c r="F372" s="29"/>
      <c r="I372" s="21"/>
      <c r="N372" s="21"/>
      <c r="O372" s="21"/>
      <c r="P372" s="21"/>
      <c r="Q372" s="21"/>
      <c r="T372" s="21"/>
    </row>
    <row r="373" spans="4:20" ht="13" x14ac:dyDescent="0.15">
      <c r="D373" s="21"/>
      <c r="F373" s="29"/>
      <c r="I373" s="21"/>
      <c r="N373" s="21"/>
      <c r="O373" s="21"/>
      <c r="P373" s="21"/>
      <c r="Q373" s="21"/>
      <c r="T373" s="21"/>
    </row>
    <row r="374" spans="4:20" ht="13" x14ac:dyDescent="0.15">
      <c r="D374" s="21"/>
      <c r="F374" s="29"/>
      <c r="I374" s="21"/>
      <c r="N374" s="21"/>
      <c r="O374" s="21"/>
      <c r="P374" s="21"/>
      <c r="Q374" s="21"/>
      <c r="T374" s="21"/>
    </row>
    <row r="375" spans="4:20" ht="13" x14ac:dyDescent="0.15">
      <c r="D375" s="21"/>
      <c r="F375" s="29"/>
      <c r="I375" s="21"/>
      <c r="N375" s="21"/>
      <c r="O375" s="21"/>
      <c r="P375" s="21"/>
      <c r="Q375" s="21"/>
      <c r="T375" s="21"/>
    </row>
    <row r="376" spans="4:20" ht="13" x14ac:dyDescent="0.15">
      <c r="D376" s="21"/>
      <c r="F376" s="29"/>
      <c r="I376" s="21"/>
      <c r="N376" s="21"/>
      <c r="O376" s="21"/>
      <c r="P376" s="21"/>
      <c r="Q376" s="21"/>
      <c r="T376" s="21"/>
    </row>
    <row r="377" spans="4:20" ht="13" x14ac:dyDescent="0.15">
      <c r="D377" s="21"/>
      <c r="F377" s="29"/>
      <c r="I377" s="21"/>
      <c r="N377" s="21"/>
      <c r="O377" s="21"/>
      <c r="P377" s="21"/>
      <c r="Q377" s="21"/>
      <c r="T377" s="21"/>
    </row>
    <row r="378" spans="4:20" ht="13" x14ac:dyDescent="0.15">
      <c r="D378" s="21"/>
      <c r="F378" s="29"/>
      <c r="I378" s="21"/>
      <c r="N378" s="21"/>
      <c r="O378" s="21"/>
      <c r="P378" s="21"/>
      <c r="Q378" s="21"/>
      <c r="T378" s="21"/>
    </row>
    <row r="379" spans="4:20" ht="13" x14ac:dyDescent="0.15">
      <c r="D379" s="21"/>
      <c r="F379" s="29"/>
      <c r="I379" s="21"/>
      <c r="N379" s="21"/>
      <c r="O379" s="21"/>
      <c r="P379" s="21"/>
      <c r="Q379" s="21"/>
      <c r="T379" s="21"/>
    </row>
    <row r="380" spans="4:20" ht="13" x14ac:dyDescent="0.15">
      <c r="D380" s="21"/>
      <c r="F380" s="29"/>
      <c r="I380" s="21"/>
      <c r="N380" s="21"/>
      <c r="O380" s="21"/>
      <c r="P380" s="21"/>
      <c r="Q380" s="21"/>
      <c r="T380" s="21"/>
    </row>
    <row r="381" spans="4:20" ht="13" x14ac:dyDescent="0.15">
      <c r="D381" s="21"/>
      <c r="F381" s="29"/>
      <c r="I381" s="21"/>
      <c r="N381" s="21"/>
      <c r="O381" s="21"/>
      <c r="P381" s="21"/>
      <c r="Q381" s="21"/>
      <c r="T381" s="21"/>
    </row>
    <row r="382" spans="4:20" ht="13" x14ac:dyDescent="0.15">
      <c r="D382" s="21"/>
      <c r="F382" s="29"/>
      <c r="I382" s="21"/>
      <c r="N382" s="21"/>
      <c r="O382" s="21"/>
      <c r="P382" s="21"/>
      <c r="Q382" s="21"/>
      <c r="T382" s="21"/>
    </row>
    <row r="383" spans="4:20" ht="13" x14ac:dyDescent="0.15">
      <c r="D383" s="21"/>
      <c r="F383" s="29"/>
      <c r="I383" s="21"/>
      <c r="N383" s="21"/>
      <c r="O383" s="21"/>
      <c r="P383" s="21"/>
      <c r="Q383" s="21"/>
      <c r="T383" s="21"/>
    </row>
    <row r="384" spans="4:20" ht="13" x14ac:dyDescent="0.15">
      <c r="D384" s="21"/>
      <c r="F384" s="29"/>
      <c r="I384" s="21"/>
      <c r="N384" s="21"/>
      <c r="O384" s="21"/>
      <c r="P384" s="21"/>
      <c r="Q384" s="21"/>
      <c r="T384" s="21"/>
    </row>
    <row r="385" spans="4:20" ht="13" x14ac:dyDescent="0.15">
      <c r="D385" s="21"/>
      <c r="F385" s="29"/>
      <c r="I385" s="21"/>
      <c r="N385" s="21"/>
      <c r="O385" s="21"/>
      <c r="P385" s="21"/>
      <c r="Q385" s="21"/>
      <c r="T385" s="21"/>
    </row>
    <row r="386" spans="4:20" ht="13" x14ac:dyDescent="0.15">
      <c r="D386" s="21"/>
      <c r="F386" s="29"/>
      <c r="I386" s="21"/>
      <c r="N386" s="21"/>
      <c r="O386" s="21"/>
      <c r="P386" s="21"/>
      <c r="Q386" s="21"/>
      <c r="T386" s="21"/>
    </row>
    <row r="387" spans="4:20" ht="13" x14ac:dyDescent="0.15">
      <c r="D387" s="21"/>
      <c r="F387" s="29"/>
      <c r="I387" s="21"/>
      <c r="N387" s="21"/>
      <c r="O387" s="21"/>
      <c r="P387" s="21"/>
      <c r="Q387" s="21"/>
      <c r="T387" s="21"/>
    </row>
    <row r="388" spans="4:20" ht="13" x14ac:dyDescent="0.15">
      <c r="D388" s="21"/>
      <c r="F388" s="29"/>
      <c r="I388" s="21"/>
      <c r="N388" s="21"/>
      <c r="O388" s="21"/>
      <c r="P388" s="21"/>
      <c r="Q388" s="21"/>
      <c r="T388" s="21"/>
    </row>
    <row r="389" spans="4:20" ht="13" x14ac:dyDescent="0.15">
      <c r="D389" s="21"/>
      <c r="F389" s="29"/>
      <c r="I389" s="21"/>
      <c r="N389" s="21"/>
      <c r="O389" s="21"/>
      <c r="P389" s="21"/>
      <c r="Q389" s="21"/>
      <c r="T389" s="21"/>
    </row>
    <row r="390" spans="4:20" ht="13" x14ac:dyDescent="0.15">
      <c r="D390" s="21"/>
      <c r="F390" s="29"/>
      <c r="I390" s="21"/>
      <c r="N390" s="21"/>
      <c r="O390" s="21"/>
      <c r="P390" s="21"/>
      <c r="Q390" s="21"/>
      <c r="T390" s="21"/>
    </row>
    <row r="391" spans="4:20" ht="13" x14ac:dyDescent="0.15">
      <c r="D391" s="21"/>
      <c r="F391" s="29"/>
      <c r="I391" s="21"/>
      <c r="N391" s="21"/>
      <c r="O391" s="21"/>
      <c r="P391" s="21"/>
      <c r="Q391" s="21"/>
      <c r="T391" s="21"/>
    </row>
    <row r="392" spans="4:20" ht="13" x14ac:dyDescent="0.15">
      <c r="D392" s="21"/>
      <c r="F392" s="29"/>
      <c r="I392" s="21"/>
      <c r="N392" s="21"/>
      <c r="O392" s="21"/>
      <c r="P392" s="21"/>
      <c r="Q392" s="21"/>
      <c r="T392" s="21"/>
    </row>
    <row r="393" spans="4:20" ht="13" x14ac:dyDescent="0.15">
      <c r="D393" s="21"/>
      <c r="F393" s="29"/>
      <c r="I393" s="21"/>
      <c r="N393" s="21"/>
      <c r="O393" s="21"/>
      <c r="P393" s="21"/>
      <c r="Q393" s="21"/>
      <c r="T393" s="21"/>
    </row>
    <row r="394" spans="4:20" ht="13" x14ac:dyDescent="0.15">
      <c r="D394" s="21"/>
      <c r="F394" s="29"/>
      <c r="I394" s="21"/>
      <c r="N394" s="21"/>
      <c r="O394" s="21"/>
      <c r="P394" s="21"/>
      <c r="Q394" s="21"/>
      <c r="T394" s="21"/>
    </row>
    <row r="395" spans="4:20" ht="13" x14ac:dyDescent="0.15">
      <c r="D395" s="21"/>
      <c r="F395" s="29"/>
      <c r="I395" s="21"/>
      <c r="N395" s="21"/>
      <c r="O395" s="21"/>
      <c r="P395" s="21"/>
      <c r="Q395" s="21"/>
      <c r="T395" s="21"/>
    </row>
    <row r="396" spans="4:20" ht="13" x14ac:dyDescent="0.15">
      <c r="D396" s="21"/>
      <c r="F396" s="29"/>
      <c r="I396" s="21"/>
      <c r="N396" s="21"/>
      <c r="O396" s="21"/>
      <c r="P396" s="21"/>
      <c r="Q396" s="21"/>
      <c r="T396" s="21"/>
    </row>
    <row r="397" spans="4:20" ht="13" x14ac:dyDescent="0.15">
      <c r="D397" s="21"/>
      <c r="F397" s="29"/>
      <c r="I397" s="21"/>
      <c r="N397" s="21"/>
      <c r="O397" s="21"/>
      <c r="P397" s="21"/>
      <c r="Q397" s="21"/>
      <c r="T397" s="21"/>
    </row>
    <row r="398" spans="4:20" ht="13" x14ac:dyDescent="0.15">
      <c r="D398" s="21"/>
      <c r="F398" s="29"/>
      <c r="I398" s="21"/>
      <c r="N398" s="21"/>
      <c r="O398" s="21"/>
      <c r="P398" s="21"/>
      <c r="Q398" s="21"/>
      <c r="T398" s="21"/>
    </row>
    <row r="399" spans="4:20" ht="13" x14ac:dyDescent="0.15">
      <c r="D399" s="21"/>
      <c r="F399" s="29"/>
      <c r="I399" s="21"/>
      <c r="N399" s="21"/>
      <c r="O399" s="21"/>
      <c r="P399" s="21"/>
      <c r="Q399" s="21"/>
      <c r="T399" s="21"/>
    </row>
    <row r="400" spans="4:20" ht="13" x14ac:dyDescent="0.15">
      <c r="D400" s="21"/>
      <c r="F400" s="29"/>
      <c r="I400" s="21"/>
      <c r="N400" s="21"/>
      <c r="O400" s="21"/>
      <c r="P400" s="21"/>
      <c r="Q400" s="21"/>
      <c r="T400" s="21"/>
    </row>
    <row r="401" spans="4:20" ht="13" x14ac:dyDescent="0.15">
      <c r="D401" s="21"/>
      <c r="F401" s="29"/>
      <c r="I401" s="21"/>
      <c r="N401" s="21"/>
      <c r="O401" s="21"/>
      <c r="P401" s="21"/>
      <c r="Q401" s="21"/>
      <c r="T401" s="21"/>
    </row>
    <row r="402" spans="4:20" ht="13" x14ac:dyDescent="0.15">
      <c r="D402" s="21"/>
      <c r="F402" s="29"/>
      <c r="I402" s="21"/>
      <c r="N402" s="21"/>
      <c r="O402" s="21"/>
      <c r="P402" s="21"/>
      <c r="Q402" s="21"/>
      <c r="T402" s="21"/>
    </row>
    <row r="403" spans="4:20" ht="13" x14ac:dyDescent="0.15">
      <c r="D403" s="21"/>
      <c r="F403" s="29"/>
      <c r="I403" s="21"/>
      <c r="N403" s="21"/>
      <c r="O403" s="21"/>
      <c r="P403" s="21"/>
      <c r="Q403" s="21"/>
      <c r="T403" s="21"/>
    </row>
    <row r="404" spans="4:20" ht="13" x14ac:dyDescent="0.15">
      <c r="D404" s="21"/>
      <c r="F404" s="29"/>
      <c r="I404" s="21"/>
      <c r="N404" s="21"/>
      <c r="O404" s="21"/>
      <c r="P404" s="21"/>
      <c r="Q404" s="21"/>
      <c r="T404" s="21"/>
    </row>
    <row r="405" spans="4:20" ht="13" x14ac:dyDescent="0.15">
      <c r="D405" s="21"/>
      <c r="F405" s="29"/>
      <c r="I405" s="21"/>
      <c r="N405" s="21"/>
      <c r="O405" s="21"/>
      <c r="P405" s="21"/>
      <c r="Q405" s="21"/>
      <c r="T405" s="21"/>
    </row>
    <row r="406" spans="4:20" ht="13" x14ac:dyDescent="0.15">
      <c r="D406" s="21"/>
      <c r="F406" s="29"/>
      <c r="I406" s="21"/>
      <c r="N406" s="21"/>
      <c r="O406" s="21"/>
      <c r="P406" s="21"/>
      <c r="Q406" s="21"/>
      <c r="T406" s="21"/>
    </row>
    <row r="407" spans="4:20" ht="13" x14ac:dyDescent="0.15">
      <c r="D407" s="21"/>
      <c r="F407" s="29"/>
      <c r="I407" s="21"/>
      <c r="N407" s="21"/>
      <c r="O407" s="21"/>
      <c r="P407" s="21"/>
      <c r="Q407" s="21"/>
      <c r="T407" s="21"/>
    </row>
    <row r="408" spans="4:20" ht="13" x14ac:dyDescent="0.15">
      <c r="D408" s="21"/>
      <c r="F408" s="29"/>
      <c r="I408" s="21"/>
      <c r="N408" s="21"/>
      <c r="O408" s="21"/>
      <c r="P408" s="21"/>
      <c r="Q408" s="21"/>
      <c r="T408" s="21"/>
    </row>
    <row r="409" spans="4:20" ht="13" x14ac:dyDescent="0.15">
      <c r="D409" s="21"/>
      <c r="F409" s="29"/>
      <c r="I409" s="21"/>
      <c r="N409" s="21"/>
      <c r="O409" s="21"/>
      <c r="P409" s="21"/>
      <c r="Q409" s="21"/>
      <c r="T409" s="21"/>
    </row>
    <row r="410" spans="4:20" ht="13" x14ac:dyDescent="0.15">
      <c r="D410" s="21"/>
      <c r="F410" s="29"/>
      <c r="I410" s="21"/>
      <c r="N410" s="21"/>
      <c r="O410" s="21"/>
      <c r="P410" s="21"/>
      <c r="Q410" s="21"/>
      <c r="T410" s="21"/>
    </row>
    <row r="411" spans="4:20" ht="13" x14ac:dyDescent="0.15">
      <c r="D411" s="21"/>
      <c r="F411" s="29"/>
      <c r="I411" s="21"/>
      <c r="N411" s="21"/>
      <c r="O411" s="21"/>
      <c r="P411" s="21"/>
      <c r="Q411" s="21"/>
      <c r="T411" s="21"/>
    </row>
    <row r="412" spans="4:20" ht="13" x14ac:dyDescent="0.15">
      <c r="D412" s="21"/>
      <c r="F412" s="29"/>
      <c r="I412" s="21"/>
      <c r="N412" s="21"/>
      <c r="O412" s="21"/>
      <c r="P412" s="21"/>
      <c r="Q412" s="21"/>
      <c r="T412" s="21"/>
    </row>
    <row r="413" spans="4:20" ht="13" x14ac:dyDescent="0.15">
      <c r="D413" s="21"/>
      <c r="F413" s="29"/>
      <c r="I413" s="21"/>
      <c r="N413" s="21"/>
      <c r="O413" s="21"/>
      <c r="P413" s="21"/>
      <c r="Q413" s="21"/>
      <c r="T413" s="21"/>
    </row>
    <row r="414" spans="4:20" ht="13" x14ac:dyDescent="0.15">
      <c r="D414" s="21"/>
      <c r="F414" s="29"/>
      <c r="I414" s="21"/>
      <c r="N414" s="21"/>
      <c r="O414" s="21"/>
      <c r="P414" s="21"/>
      <c r="Q414" s="21"/>
      <c r="T414" s="21"/>
    </row>
    <row r="415" spans="4:20" ht="13" x14ac:dyDescent="0.15">
      <c r="D415" s="21"/>
      <c r="F415" s="29"/>
      <c r="I415" s="21"/>
      <c r="N415" s="21"/>
      <c r="O415" s="21"/>
      <c r="P415" s="21"/>
      <c r="Q415" s="21"/>
      <c r="T415" s="21"/>
    </row>
    <row r="416" spans="4:20" ht="13" x14ac:dyDescent="0.15">
      <c r="D416" s="21"/>
      <c r="F416" s="29"/>
      <c r="I416" s="21"/>
      <c r="N416" s="21"/>
      <c r="O416" s="21"/>
      <c r="P416" s="21"/>
      <c r="Q416" s="21"/>
      <c r="T416" s="21"/>
    </row>
    <row r="417" spans="4:20" ht="13" x14ac:dyDescent="0.15">
      <c r="D417" s="21"/>
      <c r="F417" s="29"/>
      <c r="I417" s="21"/>
      <c r="N417" s="21"/>
      <c r="O417" s="21"/>
      <c r="P417" s="21"/>
      <c r="Q417" s="21"/>
      <c r="T417" s="21"/>
    </row>
    <row r="418" spans="4:20" ht="13" x14ac:dyDescent="0.15">
      <c r="D418" s="21"/>
      <c r="F418" s="29"/>
      <c r="I418" s="21"/>
      <c r="N418" s="21"/>
      <c r="O418" s="21"/>
      <c r="P418" s="21"/>
      <c r="Q418" s="21"/>
      <c r="T418" s="21"/>
    </row>
    <row r="419" spans="4:20" ht="13" x14ac:dyDescent="0.15">
      <c r="D419" s="21"/>
      <c r="F419" s="29"/>
      <c r="I419" s="21"/>
      <c r="N419" s="21"/>
      <c r="O419" s="21"/>
      <c r="P419" s="21"/>
      <c r="Q419" s="21"/>
      <c r="T419" s="21"/>
    </row>
    <row r="420" spans="4:20" ht="13" x14ac:dyDescent="0.15">
      <c r="D420" s="21"/>
      <c r="F420" s="29"/>
      <c r="I420" s="21"/>
      <c r="N420" s="21"/>
      <c r="O420" s="21"/>
      <c r="P420" s="21"/>
      <c r="Q420" s="21"/>
      <c r="T420" s="21"/>
    </row>
    <row r="421" spans="4:20" ht="13" x14ac:dyDescent="0.15">
      <c r="D421" s="21"/>
      <c r="F421" s="29"/>
      <c r="I421" s="21"/>
      <c r="N421" s="21"/>
      <c r="O421" s="21"/>
      <c r="P421" s="21"/>
      <c r="Q421" s="21"/>
      <c r="T421" s="21"/>
    </row>
    <row r="422" spans="4:20" ht="13" x14ac:dyDescent="0.15">
      <c r="D422" s="21"/>
      <c r="F422" s="29"/>
      <c r="I422" s="21"/>
      <c r="N422" s="21"/>
      <c r="O422" s="21"/>
      <c r="P422" s="21"/>
      <c r="Q422" s="21"/>
      <c r="T422" s="21"/>
    </row>
    <row r="423" spans="4:20" ht="13" x14ac:dyDescent="0.15">
      <c r="D423" s="21"/>
      <c r="F423" s="29"/>
      <c r="I423" s="21"/>
      <c r="N423" s="21"/>
      <c r="O423" s="21"/>
      <c r="P423" s="21"/>
      <c r="Q423" s="21"/>
      <c r="T423" s="21"/>
    </row>
    <row r="424" spans="4:20" ht="13" x14ac:dyDescent="0.15">
      <c r="D424" s="21"/>
      <c r="F424" s="29"/>
      <c r="I424" s="21"/>
      <c r="N424" s="21"/>
      <c r="O424" s="21"/>
      <c r="P424" s="21"/>
      <c r="Q424" s="21"/>
      <c r="T424" s="21"/>
    </row>
    <row r="425" spans="4:20" ht="13" x14ac:dyDescent="0.15">
      <c r="D425" s="21"/>
      <c r="F425" s="29"/>
      <c r="I425" s="21"/>
      <c r="N425" s="21"/>
      <c r="O425" s="21"/>
      <c r="P425" s="21"/>
      <c r="Q425" s="21"/>
      <c r="T425" s="21"/>
    </row>
    <row r="426" spans="4:20" ht="13" x14ac:dyDescent="0.15">
      <c r="D426" s="21"/>
      <c r="F426" s="29"/>
      <c r="I426" s="21"/>
      <c r="N426" s="21"/>
      <c r="O426" s="21"/>
      <c r="P426" s="21"/>
      <c r="Q426" s="21"/>
      <c r="T426" s="21"/>
    </row>
    <row r="427" spans="4:20" ht="13" x14ac:dyDescent="0.15">
      <c r="D427" s="21"/>
      <c r="F427" s="29"/>
      <c r="I427" s="21"/>
      <c r="N427" s="21"/>
      <c r="O427" s="21"/>
      <c r="P427" s="21"/>
      <c r="Q427" s="21"/>
      <c r="T427" s="21"/>
    </row>
    <row r="428" spans="4:20" ht="13" x14ac:dyDescent="0.15">
      <c r="D428" s="21"/>
      <c r="F428" s="29"/>
      <c r="I428" s="21"/>
      <c r="N428" s="21"/>
      <c r="O428" s="21"/>
      <c r="P428" s="21"/>
      <c r="Q428" s="21"/>
      <c r="T428" s="21"/>
    </row>
    <row r="429" spans="4:20" ht="13" x14ac:dyDescent="0.15">
      <c r="D429" s="21"/>
      <c r="F429" s="29"/>
      <c r="I429" s="21"/>
      <c r="N429" s="21"/>
      <c r="O429" s="21"/>
      <c r="P429" s="21"/>
      <c r="Q429" s="21"/>
      <c r="T429" s="21"/>
    </row>
    <row r="430" spans="4:20" ht="13" x14ac:dyDescent="0.15">
      <c r="D430" s="21"/>
      <c r="F430" s="29"/>
      <c r="I430" s="21"/>
      <c r="N430" s="21"/>
      <c r="O430" s="21"/>
      <c r="P430" s="21"/>
      <c r="Q430" s="21"/>
      <c r="T430" s="21"/>
    </row>
    <row r="431" spans="4:20" ht="13" x14ac:dyDescent="0.15">
      <c r="D431" s="21"/>
      <c r="F431" s="29"/>
      <c r="I431" s="21"/>
      <c r="N431" s="21"/>
      <c r="O431" s="21"/>
      <c r="P431" s="21"/>
      <c r="Q431" s="21"/>
      <c r="T431" s="21"/>
    </row>
    <row r="432" spans="4:20" ht="13" x14ac:dyDescent="0.15">
      <c r="D432" s="21"/>
      <c r="F432" s="29"/>
      <c r="I432" s="21"/>
      <c r="N432" s="21"/>
      <c r="O432" s="21"/>
      <c r="P432" s="21"/>
      <c r="Q432" s="21"/>
      <c r="T432" s="21"/>
    </row>
    <row r="433" spans="4:20" ht="13" x14ac:dyDescent="0.15">
      <c r="D433" s="21"/>
      <c r="F433" s="29"/>
      <c r="I433" s="21"/>
      <c r="N433" s="21"/>
      <c r="O433" s="21"/>
      <c r="P433" s="21"/>
      <c r="Q433" s="21"/>
      <c r="T433" s="21"/>
    </row>
    <row r="434" spans="4:20" ht="13" x14ac:dyDescent="0.15">
      <c r="D434" s="21"/>
      <c r="F434" s="29"/>
      <c r="I434" s="21"/>
      <c r="N434" s="21"/>
      <c r="O434" s="21"/>
      <c r="P434" s="21"/>
      <c r="Q434" s="21"/>
      <c r="T434" s="21"/>
    </row>
    <row r="435" spans="4:20" ht="13" x14ac:dyDescent="0.15">
      <c r="D435" s="21"/>
      <c r="F435" s="29"/>
      <c r="I435" s="21"/>
      <c r="N435" s="21"/>
      <c r="O435" s="21"/>
      <c r="P435" s="21"/>
      <c r="Q435" s="21"/>
      <c r="T435" s="21"/>
    </row>
    <row r="436" spans="4:20" ht="13" x14ac:dyDescent="0.15">
      <c r="D436" s="21"/>
      <c r="F436" s="29"/>
      <c r="I436" s="21"/>
      <c r="N436" s="21"/>
      <c r="O436" s="21"/>
      <c r="P436" s="21"/>
      <c r="Q436" s="21"/>
      <c r="T436" s="21"/>
    </row>
    <row r="437" spans="4:20" ht="13" x14ac:dyDescent="0.15">
      <c r="D437" s="21"/>
      <c r="F437" s="29"/>
      <c r="I437" s="21"/>
      <c r="N437" s="21"/>
      <c r="O437" s="21"/>
      <c r="P437" s="21"/>
      <c r="Q437" s="21"/>
      <c r="T437" s="21"/>
    </row>
    <row r="438" spans="4:20" ht="13" x14ac:dyDescent="0.15">
      <c r="D438" s="21"/>
      <c r="F438" s="29"/>
      <c r="I438" s="21"/>
      <c r="N438" s="21"/>
      <c r="O438" s="21"/>
      <c r="P438" s="21"/>
      <c r="Q438" s="21"/>
      <c r="T438" s="21"/>
    </row>
    <row r="439" spans="4:20" ht="13" x14ac:dyDescent="0.15">
      <c r="D439" s="21"/>
      <c r="F439" s="29"/>
      <c r="I439" s="21"/>
      <c r="N439" s="21"/>
      <c r="O439" s="21"/>
      <c r="P439" s="21"/>
      <c r="Q439" s="21"/>
      <c r="T439" s="21"/>
    </row>
    <row r="440" spans="4:20" ht="13" x14ac:dyDescent="0.15">
      <c r="D440" s="21"/>
      <c r="F440" s="29"/>
      <c r="I440" s="21"/>
      <c r="N440" s="21"/>
      <c r="O440" s="21"/>
      <c r="P440" s="21"/>
      <c r="Q440" s="21"/>
      <c r="T440" s="21"/>
    </row>
    <row r="441" spans="4:20" ht="13" x14ac:dyDescent="0.15">
      <c r="D441" s="21"/>
      <c r="F441" s="29"/>
      <c r="I441" s="21"/>
      <c r="N441" s="21"/>
      <c r="O441" s="21"/>
      <c r="P441" s="21"/>
      <c r="Q441" s="21"/>
      <c r="T441" s="21"/>
    </row>
    <row r="442" spans="4:20" ht="13" x14ac:dyDescent="0.15">
      <c r="D442" s="21"/>
      <c r="F442" s="29"/>
      <c r="I442" s="21"/>
      <c r="N442" s="21"/>
      <c r="O442" s="21"/>
      <c r="P442" s="21"/>
      <c r="Q442" s="21"/>
      <c r="T442" s="21"/>
    </row>
    <row r="443" spans="4:20" ht="13" x14ac:dyDescent="0.15">
      <c r="D443" s="21"/>
      <c r="F443" s="29"/>
      <c r="I443" s="21"/>
      <c r="N443" s="21"/>
      <c r="O443" s="21"/>
      <c r="P443" s="21"/>
      <c r="Q443" s="21"/>
      <c r="T443" s="21"/>
    </row>
    <row r="444" spans="4:20" ht="13" x14ac:dyDescent="0.15">
      <c r="D444" s="21"/>
      <c r="F444" s="29"/>
      <c r="I444" s="21"/>
      <c r="N444" s="21"/>
      <c r="O444" s="21"/>
      <c r="P444" s="21"/>
      <c r="Q444" s="21"/>
      <c r="T444" s="21"/>
    </row>
    <row r="445" spans="4:20" ht="13" x14ac:dyDescent="0.15">
      <c r="D445" s="21"/>
      <c r="F445" s="29"/>
      <c r="I445" s="21"/>
      <c r="N445" s="21"/>
      <c r="O445" s="21"/>
      <c r="P445" s="21"/>
      <c r="Q445" s="21"/>
      <c r="T445" s="21"/>
    </row>
    <row r="446" spans="4:20" ht="13" x14ac:dyDescent="0.15">
      <c r="D446" s="21"/>
      <c r="F446" s="29"/>
      <c r="I446" s="21"/>
      <c r="N446" s="21"/>
      <c r="O446" s="21"/>
      <c r="P446" s="21"/>
      <c r="Q446" s="21"/>
      <c r="T446" s="21"/>
    </row>
    <row r="447" spans="4:20" ht="13" x14ac:dyDescent="0.15">
      <c r="D447" s="21"/>
      <c r="F447" s="29"/>
      <c r="I447" s="21"/>
      <c r="N447" s="21"/>
      <c r="O447" s="21"/>
      <c r="P447" s="21"/>
      <c r="Q447" s="21"/>
      <c r="T447" s="21"/>
    </row>
    <row r="448" spans="4:20" ht="13" x14ac:dyDescent="0.15">
      <c r="D448" s="21"/>
      <c r="F448" s="29"/>
      <c r="I448" s="21"/>
      <c r="N448" s="21"/>
      <c r="O448" s="21"/>
      <c r="P448" s="21"/>
      <c r="Q448" s="21"/>
      <c r="T448" s="21"/>
    </row>
    <row r="449" spans="4:20" ht="13" x14ac:dyDescent="0.15">
      <c r="D449" s="21"/>
      <c r="F449" s="29"/>
      <c r="I449" s="21"/>
      <c r="N449" s="21"/>
      <c r="O449" s="21"/>
      <c r="P449" s="21"/>
      <c r="Q449" s="21"/>
      <c r="T449" s="21"/>
    </row>
    <row r="450" spans="4:20" ht="13" x14ac:dyDescent="0.15">
      <c r="D450" s="21"/>
      <c r="F450" s="29"/>
      <c r="I450" s="21"/>
      <c r="N450" s="21"/>
      <c r="O450" s="21"/>
      <c r="P450" s="21"/>
      <c r="Q450" s="21"/>
      <c r="T450" s="21"/>
    </row>
    <row r="451" spans="4:20" ht="13" x14ac:dyDescent="0.15">
      <c r="D451" s="21"/>
      <c r="F451" s="29"/>
      <c r="I451" s="21"/>
      <c r="N451" s="21"/>
      <c r="O451" s="21"/>
      <c r="P451" s="21"/>
      <c r="Q451" s="21"/>
      <c r="T451" s="21"/>
    </row>
    <row r="452" spans="4:20" ht="13" x14ac:dyDescent="0.15">
      <c r="D452" s="21"/>
      <c r="F452" s="29"/>
      <c r="I452" s="21"/>
      <c r="N452" s="21"/>
      <c r="O452" s="21"/>
      <c r="P452" s="21"/>
      <c r="Q452" s="21"/>
      <c r="T452" s="21"/>
    </row>
    <row r="453" spans="4:20" ht="13" x14ac:dyDescent="0.15">
      <c r="D453" s="21"/>
      <c r="F453" s="29"/>
      <c r="I453" s="21"/>
      <c r="N453" s="21"/>
      <c r="O453" s="21"/>
      <c r="P453" s="21"/>
      <c r="Q453" s="21"/>
      <c r="T453" s="21"/>
    </row>
    <row r="454" spans="4:20" ht="13" x14ac:dyDescent="0.15">
      <c r="D454" s="21"/>
      <c r="F454" s="29"/>
      <c r="I454" s="21"/>
      <c r="N454" s="21"/>
      <c r="O454" s="21"/>
      <c r="P454" s="21"/>
      <c r="Q454" s="21"/>
      <c r="T454" s="21"/>
    </row>
    <row r="455" spans="4:20" ht="13" x14ac:dyDescent="0.15">
      <c r="D455" s="21"/>
      <c r="F455" s="29"/>
      <c r="I455" s="21"/>
      <c r="N455" s="21"/>
      <c r="O455" s="21"/>
      <c r="P455" s="21"/>
      <c r="Q455" s="21"/>
      <c r="T455" s="21"/>
    </row>
    <row r="456" spans="4:20" ht="13" x14ac:dyDescent="0.15">
      <c r="D456" s="21"/>
      <c r="F456" s="29"/>
      <c r="I456" s="21"/>
      <c r="N456" s="21"/>
      <c r="O456" s="21"/>
      <c r="P456" s="21"/>
      <c r="Q456" s="21"/>
      <c r="T456" s="21"/>
    </row>
    <row r="457" spans="4:20" ht="13" x14ac:dyDescent="0.15">
      <c r="D457" s="21"/>
      <c r="F457" s="29"/>
      <c r="I457" s="21"/>
      <c r="N457" s="21"/>
      <c r="O457" s="21"/>
      <c r="P457" s="21"/>
      <c r="Q457" s="21"/>
      <c r="T457" s="21"/>
    </row>
    <row r="458" spans="4:20" ht="13" x14ac:dyDescent="0.15">
      <c r="D458" s="21"/>
      <c r="F458" s="29"/>
      <c r="I458" s="21"/>
      <c r="N458" s="21"/>
      <c r="O458" s="21"/>
      <c r="P458" s="21"/>
      <c r="Q458" s="21"/>
      <c r="T458" s="21"/>
    </row>
    <row r="459" spans="4:20" ht="13" x14ac:dyDescent="0.15">
      <c r="D459" s="21"/>
      <c r="F459" s="29"/>
      <c r="I459" s="21"/>
      <c r="N459" s="21"/>
      <c r="O459" s="21"/>
      <c r="P459" s="21"/>
      <c r="Q459" s="21"/>
      <c r="T459" s="21"/>
    </row>
    <row r="460" spans="4:20" ht="13" x14ac:dyDescent="0.15">
      <c r="D460" s="21"/>
      <c r="F460" s="29"/>
      <c r="I460" s="21"/>
      <c r="N460" s="21"/>
      <c r="O460" s="21"/>
      <c r="P460" s="21"/>
      <c r="Q460" s="21"/>
      <c r="T460" s="21"/>
    </row>
    <row r="461" spans="4:20" ht="13" x14ac:dyDescent="0.15">
      <c r="D461" s="21"/>
      <c r="F461" s="29"/>
      <c r="I461" s="21"/>
      <c r="N461" s="21"/>
      <c r="O461" s="21"/>
      <c r="P461" s="21"/>
      <c r="Q461" s="21"/>
      <c r="T461" s="21"/>
    </row>
    <row r="462" spans="4:20" ht="13" x14ac:dyDescent="0.15">
      <c r="D462" s="21"/>
      <c r="F462" s="29"/>
      <c r="I462" s="21"/>
      <c r="N462" s="21"/>
      <c r="O462" s="21"/>
      <c r="P462" s="21"/>
      <c r="Q462" s="21"/>
      <c r="T462" s="21"/>
    </row>
    <row r="463" spans="4:20" ht="13" x14ac:dyDescent="0.15">
      <c r="D463" s="21"/>
      <c r="F463" s="29"/>
      <c r="I463" s="21"/>
      <c r="N463" s="21"/>
      <c r="O463" s="21"/>
      <c r="P463" s="21"/>
      <c r="Q463" s="21"/>
      <c r="T463" s="21"/>
    </row>
    <row r="464" spans="4:20" ht="13" x14ac:dyDescent="0.15">
      <c r="D464" s="21"/>
      <c r="F464" s="29"/>
      <c r="I464" s="21"/>
      <c r="N464" s="21"/>
      <c r="O464" s="21"/>
      <c r="P464" s="21"/>
      <c r="Q464" s="21"/>
      <c r="T464" s="21"/>
    </row>
    <row r="465" spans="4:20" ht="13" x14ac:dyDescent="0.15">
      <c r="D465" s="21"/>
      <c r="F465" s="29"/>
      <c r="I465" s="21"/>
      <c r="N465" s="21"/>
      <c r="O465" s="21"/>
      <c r="P465" s="21"/>
      <c r="Q465" s="21"/>
      <c r="T465" s="21"/>
    </row>
    <row r="466" spans="4:20" ht="13" x14ac:dyDescent="0.15">
      <c r="D466" s="21"/>
      <c r="F466" s="29"/>
      <c r="I466" s="21"/>
      <c r="N466" s="21"/>
      <c r="O466" s="21"/>
      <c r="P466" s="21"/>
      <c r="Q466" s="21"/>
      <c r="T466" s="21"/>
    </row>
    <row r="467" spans="4:20" ht="13" x14ac:dyDescent="0.15">
      <c r="D467" s="21"/>
      <c r="F467" s="29"/>
      <c r="I467" s="21"/>
      <c r="N467" s="21"/>
      <c r="O467" s="21"/>
      <c r="P467" s="21"/>
      <c r="Q467" s="21"/>
      <c r="T467" s="21"/>
    </row>
    <row r="468" spans="4:20" ht="13" x14ac:dyDescent="0.15">
      <c r="D468" s="21"/>
      <c r="F468" s="29"/>
      <c r="I468" s="21"/>
      <c r="N468" s="21"/>
      <c r="O468" s="21"/>
      <c r="P468" s="21"/>
      <c r="Q468" s="21"/>
      <c r="T468" s="21"/>
    </row>
    <row r="469" spans="4:20" ht="13" x14ac:dyDescent="0.15">
      <c r="D469" s="21"/>
      <c r="F469" s="29"/>
      <c r="I469" s="21"/>
      <c r="N469" s="21"/>
      <c r="O469" s="21"/>
      <c r="P469" s="21"/>
      <c r="Q469" s="21"/>
      <c r="T469" s="21"/>
    </row>
    <row r="470" spans="4:20" ht="13" x14ac:dyDescent="0.15">
      <c r="D470" s="21"/>
      <c r="F470" s="29"/>
      <c r="I470" s="21"/>
      <c r="N470" s="21"/>
      <c r="O470" s="21"/>
      <c r="P470" s="21"/>
      <c r="Q470" s="21"/>
      <c r="T470" s="21"/>
    </row>
    <row r="471" spans="4:20" ht="13" x14ac:dyDescent="0.15">
      <c r="D471" s="21"/>
      <c r="F471" s="29"/>
      <c r="I471" s="21"/>
      <c r="N471" s="21"/>
      <c r="O471" s="21"/>
      <c r="P471" s="21"/>
      <c r="Q471" s="21"/>
      <c r="T471" s="21"/>
    </row>
    <row r="472" spans="4:20" ht="13" x14ac:dyDescent="0.15">
      <c r="D472" s="21"/>
      <c r="F472" s="29"/>
      <c r="I472" s="21"/>
      <c r="N472" s="21"/>
      <c r="O472" s="21"/>
      <c r="P472" s="21"/>
      <c r="Q472" s="21"/>
      <c r="T472" s="21"/>
    </row>
    <row r="473" spans="4:20" ht="13" x14ac:dyDescent="0.15">
      <c r="D473" s="21"/>
      <c r="F473" s="29"/>
      <c r="I473" s="21"/>
      <c r="N473" s="21"/>
      <c r="O473" s="21"/>
      <c r="P473" s="21"/>
      <c r="Q473" s="21"/>
      <c r="T473" s="21"/>
    </row>
    <row r="474" spans="4:20" ht="13" x14ac:dyDescent="0.15">
      <c r="D474" s="21"/>
      <c r="F474" s="29"/>
      <c r="I474" s="21"/>
      <c r="N474" s="21"/>
      <c r="O474" s="21"/>
      <c r="P474" s="21"/>
      <c r="Q474" s="21"/>
      <c r="T474" s="21"/>
    </row>
    <row r="475" spans="4:20" ht="13" x14ac:dyDescent="0.15">
      <c r="D475" s="21"/>
      <c r="F475" s="29"/>
      <c r="I475" s="21"/>
      <c r="N475" s="21"/>
      <c r="O475" s="21"/>
      <c r="P475" s="21"/>
      <c r="Q475" s="21"/>
      <c r="T475" s="21"/>
    </row>
    <row r="476" spans="4:20" ht="13" x14ac:dyDescent="0.15">
      <c r="D476" s="21"/>
      <c r="F476" s="29"/>
      <c r="I476" s="21"/>
      <c r="N476" s="21"/>
      <c r="O476" s="21"/>
      <c r="P476" s="21"/>
      <c r="Q476" s="21"/>
      <c r="T476" s="21"/>
    </row>
    <row r="477" spans="4:20" ht="13" x14ac:dyDescent="0.15">
      <c r="D477" s="21"/>
      <c r="F477" s="29"/>
      <c r="I477" s="21"/>
      <c r="N477" s="21"/>
      <c r="O477" s="21"/>
      <c r="P477" s="21"/>
      <c r="Q477" s="21"/>
      <c r="T477" s="21"/>
    </row>
    <row r="478" spans="4:20" ht="13" x14ac:dyDescent="0.15">
      <c r="D478" s="21"/>
      <c r="F478" s="29"/>
      <c r="I478" s="21"/>
      <c r="N478" s="21"/>
      <c r="O478" s="21"/>
      <c r="P478" s="21"/>
      <c r="Q478" s="21"/>
      <c r="T478" s="21"/>
    </row>
    <row r="479" spans="4:20" ht="13" x14ac:dyDescent="0.15">
      <c r="D479" s="21"/>
      <c r="F479" s="29"/>
      <c r="I479" s="21"/>
      <c r="N479" s="21"/>
      <c r="O479" s="21"/>
      <c r="P479" s="21"/>
      <c r="Q479" s="21"/>
      <c r="T479" s="21"/>
    </row>
    <row r="480" spans="4:20" ht="13" x14ac:dyDescent="0.15">
      <c r="D480" s="21"/>
      <c r="F480" s="29"/>
      <c r="I480" s="21"/>
      <c r="N480" s="21"/>
      <c r="O480" s="21"/>
      <c r="P480" s="21"/>
      <c r="Q480" s="21"/>
      <c r="T480" s="21"/>
    </row>
    <row r="481" spans="4:20" ht="13" x14ac:dyDescent="0.15">
      <c r="D481" s="21"/>
      <c r="F481" s="29"/>
      <c r="I481" s="21"/>
      <c r="N481" s="21"/>
      <c r="O481" s="21"/>
      <c r="P481" s="21"/>
      <c r="Q481" s="21"/>
      <c r="T481" s="21"/>
    </row>
    <row r="482" spans="4:20" ht="13" x14ac:dyDescent="0.15">
      <c r="D482" s="21"/>
      <c r="F482" s="29"/>
      <c r="I482" s="21"/>
      <c r="N482" s="21"/>
      <c r="O482" s="21"/>
      <c r="P482" s="21"/>
      <c r="Q482" s="21"/>
      <c r="T482" s="21"/>
    </row>
    <row r="483" spans="4:20" ht="13" x14ac:dyDescent="0.15">
      <c r="D483" s="21"/>
      <c r="F483" s="29"/>
      <c r="I483" s="21"/>
      <c r="N483" s="21"/>
      <c r="O483" s="21"/>
      <c r="P483" s="21"/>
      <c r="Q483" s="21"/>
      <c r="T483" s="21"/>
    </row>
    <row r="484" spans="4:20" ht="13" x14ac:dyDescent="0.15">
      <c r="D484" s="21"/>
      <c r="F484" s="29"/>
      <c r="I484" s="21"/>
      <c r="N484" s="21"/>
      <c r="O484" s="21"/>
      <c r="P484" s="21"/>
      <c r="Q484" s="21"/>
      <c r="T484" s="21"/>
    </row>
    <row r="485" spans="4:20" ht="13" x14ac:dyDescent="0.15">
      <c r="D485" s="21"/>
      <c r="F485" s="29"/>
      <c r="I485" s="21"/>
      <c r="N485" s="21"/>
      <c r="O485" s="21"/>
      <c r="P485" s="21"/>
      <c r="Q485" s="21"/>
      <c r="T485" s="21"/>
    </row>
    <row r="486" spans="4:20" ht="13" x14ac:dyDescent="0.15">
      <c r="D486" s="21"/>
      <c r="F486" s="29"/>
      <c r="I486" s="21"/>
      <c r="N486" s="21"/>
      <c r="O486" s="21"/>
      <c r="P486" s="21"/>
      <c r="Q486" s="21"/>
      <c r="T486" s="21"/>
    </row>
    <row r="487" spans="4:20" ht="13" x14ac:dyDescent="0.15">
      <c r="D487" s="21"/>
      <c r="F487" s="29"/>
      <c r="I487" s="21"/>
      <c r="N487" s="21"/>
      <c r="O487" s="21"/>
      <c r="P487" s="21"/>
      <c r="Q487" s="21"/>
      <c r="T487" s="21"/>
    </row>
    <row r="488" spans="4:20" ht="13" x14ac:dyDescent="0.15">
      <c r="D488" s="21"/>
      <c r="F488" s="29"/>
      <c r="I488" s="21"/>
      <c r="N488" s="21"/>
      <c r="O488" s="21"/>
      <c r="P488" s="21"/>
      <c r="Q488" s="21"/>
      <c r="T488" s="21"/>
    </row>
    <row r="489" spans="4:20" ht="13" x14ac:dyDescent="0.15">
      <c r="D489" s="21"/>
      <c r="F489" s="29"/>
      <c r="I489" s="21"/>
      <c r="N489" s="21"/>
      <c r="O489" s="21"/>
      <c r="P489" s="21"/>
      <c r="Q489" s="21"/>
      <c r="T489" s="21"/>
    </row>
    <row r="490" spans="4:20" ht="13" x14ac:dyDescent="0.15">
      <c r="D490" s="21"/>
      <c r="F490" s="29"/>
      <c r="I490" s="21"/>
      <c r="N490" s="21"/>
      <c r="O490" s="21"/>
      <c r="P490" s="21"/>
      <c r="Q490" s="21"/>
      <c r="T490" s="21"/>
    </row>
    <row r="491" spans="4:20" ht="13" x14ac:dyDescent="0.15">
      <c r="D491" s="21"/>
      <c r="F491" s="29"/>
      <c r="I491" s="21"/>
      <c r="N491" s="21"/>
      <c r="O491" s="21"/>
      <c r="P491" s="21"/>
      <c r="Q491" s="21"/>
      <c r="T491" s="21"/>
    </row>
    <row r="492" spans="4:20" ht="13" x14ac:dyDescent="0.15">
      <c r="D492" s="21"/>
      <c r="F492" s="29"/>
      <c r="I492" s="21"/>
      <c r="N492" s="21"/>
      <c r="O492" s="21"/>
      <c r="P492" s="21"/>
      <c r="Q492" s="21"/>
      <c r="T492" s="21"/>
    </row>
    <row r="493" spans="4:20" ht="13" x14ac:dyDescent="0.15">
      <c r="D493" s="21"/>
      <c r="F493" s="29"/>
      <c r="I493" s="21"/>
      <c r="N493" s="21"/>
      <c r="O493" s="21"/>
      <c r="P493" s="21"/>
      <c r="Q493" s="21"/>
      <c r="T493" s="21"/>
    </row>
    <row r="494" spans="4:20" ht="13" x14ac:dyDescent="0.15">
      <c r="D494" s="21"/>
      <c r="F494" s="29"/>
      <c r="I494" s="21"/>
      <c r="N494" s="21"/>
      <c r="O494" s="21"/>
      <c r="P494" s="21"/>
      <c r="Q494" s="21"/>
      <c r="T494" s="21"/>
    </row>
    <row r="495" spans="4:20" ht="13" x14ac:dyDescent="0.15">
      <c r="D495" s="21"/>
      <c r="F495" s="29"/>
      <c r="I495" s="21"/>
      <c r="N495" s="21"/>
      <c r="O495" s="21"/>
      <c r="P495" s="21"/>
      <c r="Q495" s="21"/>
      <c r="T495" s="21"/>
    </row>
    <row r="496" spans="4:20" ht="13" x14ac:dyDescent="0.15">
      <c r="D496" s="21"/>
      <c r="F496" s="29"/>
      <c r="I496" s="21"/>
      <c r="N496" s="21"/>
      <c r="O496" s="21"/>
      <c r="P496" s="21"/>
      <c r="Q496" s="21"/>
      <c r="T496" s="21"/>
    </row>
    <row r="497" spans="4:20" ht="13" x14ac:dyDescent="0.15">
      <c r="D497" s="21"/>
      <c r="F497" s="29"/>
      <c r="I497" s="21"/>
      <c r="N497" s="21"/>
      <c r="O497" s="21"/>
      <c r="P497" s="21"/>
      <c r="Q497" s="21"/>
      <c r="T497" s="21"/>
    </row>
    <row r="498" spans="4:20" ht="13" x14ac:dyDescent="0.15">
      <c r="D498" s="21"/>
      <c r="F498" s="29"/>
      <c r="I498" s="21"/>
      <c r="N498" s="21"/>
      <c r="O498" s="21"/>
      <c r="P498" s="21"/>
      <c r="Q498" s="21"/>
      <c r="T498" s="21"/>
    </row>
    <row r="499" spans="4:20" ht="13" x14ac:dyDescent="0.15">
      <c r="D499" s="21"/>
      <c r="F499" s="29"/>
      <c r="I499" s="21"/>
      <c r="N499" s="21"/>
      <c r="O499" s="21"/>
      <c r="P499" s="21"/>
      <c r="Q499" s="21"/>
      <c r="T499" s="21"/>
    </row>
    <row r="500" spans="4:20" ht="13" x14ac:dyDescent="0.15">
      <c r="D500" s="21"/>
      <c r="F500" s="29"/>
      <c r="I500" s="21"/>
      <c r="N500" s="21"/>
      <c r="O500" s="21"/>
      <c r="P500" s="21"/>
      <c r="Q500" s="21"/>
      <c r="T500" s="21"/>
    </row>
    <row r="501" spans="4:20" ht="13" x14ac:dyDescent="0.15">
      <c r="D501" s="21"/>
      <c r="F501" s="29"/>
      <c r="I501" s="21"/>
      <c r="N501" s="21"/>
      <c r="O501" s="21"/>
      <c r="P501" s="21"/>
      <c r="Q501" s="21"/>
      <c r="T501" s="21"/>
    </row>
    <row r="502" spans="4:20" ht="13" x14ac:dyDescent="0.15">
      <c r="D502" s="21"/>
      <c r="F502" s="29"/>
      <c r="I502" s="21"/>
      <c r="N502" s="21"/>
      <c r="O502" s="21"/>
      <c r="P502" s="21"/>
      <c r="Q502" s="21"/>
      <c r="T502" s="21"/>
    </row>
    <row r="503" spans="4:20" ht="13" x14ac:dyDescent="0.15">
      <c r="D503" s="21"/>
      <c r="F503" s="29"/>
      <c r="I503" s="21"/>
      <c r="N503" s="21"/>
      <c r="O503" s="21"/>
      <c r="P503" s="21"/>
      <c r="Q503" s="21"/>
      <c r="T503" s="21"/>
    </row>
    <row r="504" spans="4:20" ht="13" x14ac:dyDescent="0.15">
      <c r="D504" s="21"/>
      <c r="F504" s="29"/>
      <c r="I504" s="21"/>
      <c r="N504" s="21"/>
      <c r="O504" s="21"/>
      <c r="P504" s="21"/>
      <c r="Q504" s="21"/>
      <c r="T504" s="21"/>
    </row>
    <row r="505" spans="4:20" ht="13" x14ac:dyDescent="0.15">
      <c r="D505" s="21"/>
      <c r="F505" s="29"/>
      <c r="I505" s="21"/>
      <c r="N505" s="21"/>
      <c r="O505" s="21"/>
      <c r="P505" s="21"/>
      <c r="Q505" s="21"/>
      <c r="T505" s="21"/>
    </row>
    <row r="506" spans="4:20" ht="13" x14ac:dyDescent="0.15">
      <c r="D506" s="21"/>
      <c r="F506" s="29"/>
      <c r="I506" s="21"/>
      <c r="N506" s="21"/>
      <c r="O506" s="21"/>
      <c r="P506" s="21"/>
      <c r="Q506" s="21"/>
      <c r="T506" s="21"/>
    </row>
    <row r="507" spans="4:20" ht="13" x14ac:dyDescent="0.15">
      <c r="D507" s="21"/>
      <c r="F507" s="29"/>
      <c r="I507" s="21"/>
      <c r="N507" s="21"/>
      <c r="O507" s="21"/>
      <c r="P507" s="21"/>
      <c r="Q507" s="21"/>
      <c r="T507" s="21"/>
    </row>
    <row r="508" spans="4:20" ht="13" x14ac:dyDescent="0.15">
      <c r="D508" s="21"/>
      <c r="F508" s="29"/>
      <c r="I508" s="21"/>
      <c r="N508" s="21"/>
      <c r="O508" s="21"/>
      <c r="P508" s="21"/>
      <c r="Q508" s="21"/>
      <c r="T508" s="21"/>
    </row>
    <row r="509" spans="4:20" ht="13" x14ac:dyDescent="0.15">
      <c r="D509" s="21"/>
      <c r="F509" s="29"/>
      <c r="I509" s="21"/>
      <c r="N509" s="21"/>
      <c r="O509" s="21"/>
      <c r="P509" s="21"/>
      <c r="Q509" s="21"/>
      <c r="T509" s="21"/>
    </row>
    <row r="510" spans="4:20" ht="13" x14ac:dyDescent="0.15">
      <c r="D510" s="21"/>
      <c r="F510" s="29"/>
      <c r="I510" s="21"/>
      <c r="N510" s="21"/>
      <c r="O510" s="21"/>
      <c r="P510" s="21"/>
      <c r="Q510" s="21"/>
      <c r="T510" s="21"/>
    </row>
    <row r="511" spans="4:20" ht="13" x14ac:dyDescent="0.15">
      <c r="D511" s="21"/>
      <c r="F511" s="29"/>
      <c r="I511" s="21"/>
      <c r="N511" s="21"/>
      <c r="O511" s="21"/>
      <c r="P511" s="21"/>
      <c r="Q511" s="21"/>
      <c r="T511" s="21"/>
    </row>
    <row r="512" spans="4:20" ht="13" x14ac:dyDescent="0.15">
      <c r="D512" s="21"/>
      <c r="F512" s="29"/>
      <c r="I512" s="21"/>
      <c r="N512" s="21"/>
      <c r="O512" s="21"/>
      <c r="P512" s="21"/>
      <c r="Q512" s="21"/>
      <c r="T512" s="21"/>
    </row>
    <row r="513" spans="4:20" ht="13" x14ac:dyDescent="0.15">
      <c r="D513" s="21"/>
      <c r="F513" s="29"/>
      <c r="I513" s="21"/>
      <c r="N513" s="21"/>
      <c r="O513" s="21"/>
      <c r="P513" s="21"/>
      <c r="Q513" s="21"/>
      <c r="T513" s="21"/>
    </row>
    <row r="514" spans="4:20" ht="13" x14ac:dyDescent="0.15">
      <c r="D514" s="21"/>
      <c r="F514" s="29"/>
      <c r="I514" s="21"/>
      <c r="N514" s="21"/>
      <c r="O514" s="21"/>
      <c r="P514" s="21"/>
      <c r="Q514" s="21"/>
      <c r="T514" s="21"/>
    </row>
    <row r="515" spans="4:20" ht="13" x14ac:dyDescent="0.15">
      <c r="D515" s="21"/>
      <c r="F515" s="29"/>
      <c r="I515" s="21"/>
      <c r="N515" s="21"/>
      <c r="O515" s="21"/>
      <c r="P515" s="21"/>
      <c r="Q515" s="21"/>
      <c r="T515" s="21"/>
    </row>
    <row r="516" spans="4:20" ht="13" x14ac:dyDescent="0.15">
      <c r="D516" s="21"/>
      <c r="F516" s="29"/>
      <c r="I516" s="21"/>
      <c r="N516" s="21"/>
      <c r="O516" s="21"/>
      <c r="P516" s="21"/>
      <c r="Q516" s="21"/>
      <c r="T516" s="21"/>
    </row>
    <row r="517" spans="4:20" ht="13" x14ac:dyDescent="0.15">
      <c r="D517" s="21"/>
      <c r="F517" s="29"/>
      <c r="I517" s="21"/>
      <c r="N517" s="21"/>
      <c r="O517" s="21"/>
      <c r="P517" s="21"/>
      <c r="Q517" s="21"/>
      <c r="T517" s="21"/>
    </row>
    <row r="518" spans="4:20" ht="13" x14ac:dyDescent="0.15">
      <c r="D518" s="21"/>
      <c r="F518" s="29"/>
      <c r="I518" s="21"/>
      <c r="N518" s="21"/>
      <c r="O518" s="21"/>
      <c r="P518" s="21"/>
      <c r="Q518" s="21"/>
      <c r="T518" s="21"/>
    </row>
    <row r="519" spans="4:20" ht="13" x14ac:dyDescent="0.15">
      <c r="D519" s="21"/>
      <c r="F519" s="29"/>
      <c r="I519" s="21"/>
      <c r="N519" s="21"/>
      <c r="O519" s="21"/>
      <c r="P519" s="21"/>
      <c r="Q519" s="21"/>
      <c r="T519" s="21"/>
    </row>
    <row r="520" spans="4:20" ht="13" x14ac:dyDescent="0.15">
      <c r="D520" s="21"/>
      <c r="F520" s="29"/>
      <c r="I520" s="21"/>
      <c r="N520" s="21"/>
      <c r="O520" s="21"/>
      <c r="P520" s="21"/>
      <c r="Q520" s="21"/>
      <c r="T520" s="21"/>
    </row>
    <row r="521" spans="4:20" ht="13" x14ac:dyDescent="0.15">
      <c r="D521" s="21"/>
      <c r="F521" s="29"/>
      <c r="I521" s="21"/>
      <c r="N521" s="21"/>
      <c r="O521" s="21"/>
      <c r="P521" s="21"/>
      <c r="Q521" s="21"/>
      <c r="T521" s="21"/>
    </row>
    <row r="522" spans="4:20" ht="13" x14ac:dyDescent="0.15">
      <c r="D522" s="21"/>
      <c r="F522" s="29"/>
      <c r="I522" s="21"/>
      <c r="N522" s="21"/>
      <c r="O522" s="21"/>
      <c r="P522" s="21"/>
      <c r="Q522" s="21"/>
      <c r="T522" s="21"/>
    </row>
    <row r="523" spans="4:20" ht="13" x14ac:dyDescent="0.15">
      <c r="D523" s="21"/>
      <c r="F523" s="29"/>
      <c r="I523" s="21"/>
      <c r="N523" s="21"/>
      <c r="O523" s="21"/>
      <c r="P523" s="21"/>
      <c r="Q523" s="21"/>
      <c r="T523" s="21"/>
    </row>
    <row r="524" spans="4:20" ht="13" x14ac:dyDescent="0.15">
      <c r="D524" s="21"/>
      <c r="F524" s="29"/>
      <c r="I524" s="21"/>
      <c r="N524" s="21"/>
      <c r="O524" s="21"/>
      <c r="P524" s="21"/>
      <c r="Q524" s="21"/>
      <c r="T524" s="21"/>
    </row>
    <row r="525" spans="4:20" ht="13" x14ac:dyDescent="0.15">
      <c r="D525" s="21"/>
      <c r="F525" s="29"/>
      <c r="I525" s="21"/>
      <c r="N525" s="21"/>
      <c r="O525" s="21"/>
      <c r="P525" s="21"/>
      <c r="Q525" s="21"/>
      <c r="T525" s="21"/>
    </row>
    <row r="526" spans="4:20" ht="13" x14ac:dyDescent="0.15">
      <c r="D526" s="21"/>
      <c r="F526" s="29"/>
      <c r="I526" s="21"/>
      <c r="N526" s="21"/>
      <c r="O526" s="21"/>
      <c r="P526" s="21"/>
      <c r="Q526" s="21"/>
      <c r="T526" s="21"/>
    </row>
    <row r="527" spans="4:20" ht="13" x14ac:dyDescent="0.15">
      <c r="D527" s="21"/>
      <c r="F527" s="29"/>
      <c r="I527" s="21"/>
      <c r="N527" s="21"/>
      <c r="O527" s="21"/>
      <c r="P527" s="21"/>
      <c r="Q527" s="21"/>
      <c r="T527" s="21"/>
    </row>
    <row r="528" spans="4:20" ht="13" x14ac:dyDescent="0.15">
      <c r="D528" s="21"/>
      <c r="F528" s="29"/>
      <c r="I528" s="21"/>
      <c r="N528" s="21"/>
      <c r="O528" s="21"/>
      <c r="P528" s="21"/>
      <c r="Q528" s="21"/>
      <c r="T528" s="21"/>
    </row>
    <row r="529" spans="4:20" ht="13" x14ac:dyDescent="0.15">
      <c r="D529" s="21"/>
      <c r="F529" s="29"/>
      <c r="I529" s="21"/>
      <c r="N529" s="21"/>
      <c r="O529" s="21"/>
      <c r="P529" s="21"/>
      <c r="Q529" s="21"/>
      <c r="T529" s="21"/>
    </row>
    <row r="530" spans="4:20" ht="13" x14ac:dyDescent="0.15">
      <c r="D530" s="21"/>
      <c r="F530" s="29"/>
      <c r="I530" s="21"/>
      <c r="N530" s="21"/>
      <c r="O530" s="21"/>
      <c r="P530" s="21"/>
      <c r="Q530" s="21"/>
      <c r="T530" s="21"/>
    </row>
    <row r="531" spans="4:20" ht="13" x14ac:dyDescent="0.15">
      <c r="D531" s="21"/>
      <c r="F531" s="29"/>
      <c r="I531" s="21"/>
      <c r="N531" s="21"/>
      <c r="O531" s="21"/>
      <c r="P531" s="21"/>
      <c r="Q531" s="21"/>
      <c r="T531" s="21"/>
    </row>
    <row r="532" spans="4:20" ht="13" x14ac:dyDescent="0.15">
      <c r="D532" s="21"/>
      <c r="F532" s="29"/>
      <c r="I532" s="21"/>
      <c r="N532" s="21"/>
      <c r="O532" s="21"/>
      <c r="P532" s="21"/>
      <c r="Q532" s="21"/>
      <c r="T532" s="21"/>
    </row>
    <row r="533" spans="4:20" ht="13" x14ac:dyDescent="0.15">
      <c r="D533" s="21"/>
      <c r="F533" s="29"/>
      <c r="I533" s="21"/>
      <c r="N533" s="21"/>
      <c r="O533" s="21"/>
      <c r="P533" s="21"/>
      <c r="Q533" s="21"/>
      <c r="T533" s="21"/>
    </row>
    <row r="534" spans="4:20" ht="13" x14ac:dyDescent="0.15">
      <c r="D534" s="21"/>
      <c r="F534" s="29"/>
      <c r="I534" s="21"/>
      <c r="N534" s="21"/>
      <c r="O534" s="21"/>
      <c r="P534" s="21"/>
      <c r="Q534" s="21"/>
      <c r="T534" s="21"/>
    </row>
    <row r="535" spans="4:20" ht="13" x14ac:dyDescent="0.15">
      <c r="D535" s="21"/>
      <c r="F535" s="29"/>
      <c r="I535" s="21"/>
      <c r="N535" s="21"/>
      <c r="O535" s="21"/>
      <c r="P535" s="21"/>
      <c r="Q535" s="21"/>
      <c r="T535" s="21"/>
    </row>
    <row r="536" spans="4:20" ht="13" x14ac:dyDescent="0.15">
      <c r="D536" s="21"/>
      <c r="F536" s="29"/>
      <c r="I536" s="21"/>
      <c r="N536" s="21"/>
      <c r="O536" s="21"/>
      <c r="P536" s="21"/>
      <c r="Q536" s="21"/>
      <c r="T536" s="21"/>
    </row>
    <row r="537" spans="4:20" ht="13" x14ac:dyDescent="0.15">
      <c r="D537" s="21"/>
      <c r="F537" s="29"/>
      <c r="I537" s="21"/>
      <c r="N537" s="21"/>
      <c r="O537" s="21"/>
      <c r="P537" s="21"/>
      <c r="Q537" s="21"/>
      <c r="T537" s="21"/>
    </row>
    <row r="538" spans="4:20" ht="13" x14ac:dyDescent="0.15">
      <c r="D538" s="21"/>
      <c r="F538" s="29"/>
      <c r="I538" s="21"/>
      <c r="N538" s="21"/>
      <c r="O538" s="21"/>
      <c r="P538" s="21"/>
      <c r="Q538" s="21"/>
      <c r="T538" s="21"/>
    </row>
    <row r="539" spans="4:20" ht="13" x14ac:dyDescent="0.15">
      <c r="D539" s="21"/>
      <c r="F539" s="29"/>
      <c r="I539" s="21"/>
      <c r="N539" s="21"/>
      <c r="O539" s="21"/>
      <c r="P539" s="21"/>
      <c r="Q539" s="21"/>
      <c r="T539" s="21"/>
    </row>
    <row r="540" spans="4:20" ht="13" x14ac:dyDescent="0.15">
      <c r="D540" s="21"/>
      <c r="F540" s="29"/>
      <c r="I540" s="21"/>
      <c r="N540" s="21"/>
      <c r="O540" s="21"/>
      <c r="P540" s="21"/>
      <c r="Q540" s="21"/>
      <c r="T540" s="21"/>
    </row>
    <row r="541" spans="4:20" ht="13" x14ac:dyDescent="0.15">
      <c r="D541" s="21"/>
      <c r="F541" s="29"/>
      <c r="I541" s="21"/>
      <c r="N541" s="21"/>
      <c r="O541" s="21"/>
      <c r="P541" s="21"/>
      <c r="Q541" s="21"/>
      <c r="T541" s="21"/>
    </row>
    <row r="542" spans="4:20" ht="13" x14ac:dyDescent="0.15">
      <c r="D542" s="21"/>
      <c r="F542" s="29"/>
      <c r="I542" s="21"/>
      <c r="N542" s="21"/>
      <c r="O542" s="21"/>
      <c r="P542" s="21"/>
      <c r="Q542" s="21"/>
      <c r="T542" s="21"/>
    </row>
    <row r="543" spans="4:20" ht="13" x14ac:dyDescent="0.15">
      <c r="D543" s="21"/>
      <c r="F543" s="29"/>
      <c r="I543" s="21"/>
      <c r="N543" s="21"/>
      <c r="O543" s="21"/>
      <c r="P543" s="21"/>
      <c r="Q543" s="21"/>
      <c r="T543" s="21"/>
    </row>
    <row r="544" spans="4:20" ht="13" x14ac:dyDescent="0.15">
      <c r="D544" s="21"/>
      <c r="F544" s="29"/>
      <c r="I544" s="21"/>
      <c r="N544" s="21"/>
      <c r="O544" s="21"/>
      <c r="P544" s="21"/>
      <c r="Q544" s="21"/>
      <c r="T544" s="21"/>
    </row>
    <row r="545" spans="4:20" ht="13" x14ac:dyDescent="0.15">
      <c r="D545" s="21"/>
      <c r="F545" s="29"/>
      <c r="I545" s="21"/>
      <c r="N545" s="21"/>
      <c r="O545" s="21"/>
      <c r="P545" s="21"/>
      <c r="Q545" s="21"/>
      <c r="T545" s="21"/>
    </row>
    <row r="546" spans="4:20" ht="13" x14ac:dyDescent="0.15">
      <c r="D546" s="21"/>
      <c r="F546" s="29"/>
      <c r="I546" s="21"/>
      <c r="N546" s="21"/>
      <c r="O546" s="21"/>
      <c r="P546" s="21"/>
      <c r="Q546" s="21"/>
      <c r="T546" s="21"/>
    </row>
    <row r="547" spans="4:20" ht="13" x14ac:dyDescent="0.15">
      <c r="D547" s="21"/>
      <c r="F547" s="29"/>
      <c r="I547" s="21"/>
      <c r="N547" s="21"/>
      <c r="O547" s="21"/>
      <c r="P547" s="21"/>
      <c r="Q547" s="21"/>
      <c r="T547" s="21"/>
    </row>
    <row r="548" spans="4:20" ht="13" x14ac:dyDescent="0.15">
      <c r="D548" s="21"/>
      <c r="F548" s="29"/>
      <c r="I548" s="21"/>
      <c r="N548" s="21"/>
      <c r="O548" s="21"/>
      <c r="P548" s="21"/>
      <c r="Q548" s="21"/>
      <c r="T548" s="21"/>
    </row>
    <row r="549" spans="4:20" ht="13" x14ac:dyDescent="0.15">
      <c r="D549" s="21"/>
      <c r="F549" s="29"/>
      <c r="I549" s="21"/>
      <c r="N549" s="21"/>
      <c r="O549" s="21"/>
      <c r="P549" s="21"/>
      <c r="Q549" s="21"/>
      <c r="T549" s="21"/>
    </row>
    <row r="550" spans="4:20" ht="13" x14ac:dyDescent="0.15">
      <c r="D550" s="21"/>
      <c r="F550" s="29"/>
      <c r="I550" s="21"/>
      <c r="N550" s="21"/>
      <c r="O550" s="21"/>
      <c r="P550" s="21"/>
      <c r="Q550" s="21"/>
      <c r="T550" s="21"/>
    </row>
    <row r="551" spans="4:20" ht="13" x14ac:dyDescent="0.15">
      <c r="D551" s="21"/>
      <c r="F551" s="29"/>
      <c r="I551" s="21"/>
      <c r="N551" s="21"/>
      <c r="O551" s="21"/>
      <c r="P551" s="21"/>
      <c r="Q551" s="21"/>
      <c r="T551" s="21"/>
    </row>
    <row r="552" spans="4:20" ht="13" x14ac:dyDescent="0.15">
      <c r="D552" s="21"/>
      <c r="F552" s="29"/>
      <c r="I552" s="21"/>
      <c r="N552" s="21"/>
      <c r="O552" s="21"/>
      <c r="P552" s="21"/>
      <c r="Q552" s="21"/>
      <c r="T552" s="21"/>
    </row>
    <row r="553" spans="4:20" ht="13" x14ac:dyDescent="0.15">
      <c r="D553" s="21"/>
      <c r="F553" s="29"/>
      <c r="I553" s="21"/>
      <c r="N553" s="21"/>
      <c r="O553" s="21"/>
      <c r="P553" s="21"/>
      <c r="Q553" s="21"/>
      <c r="T553" s="21"/>
    </row>
    <row r="554" spans="4:20" ht="13" x14ac:dyDescent="0.15">
      <c r="D554" s="21"/>
      <c r="F554" s="29"/>
      <c r="I554" s="21"/>
      <c r="N554" s="21"/>
      <c r="O554" s="21"/>
      <c r="P554" s="21"/>
      <c r="Q554" s="21"/>
      <c r="T554" s="21"/>
    </row>
    <row r="555" spans="4:20" ht="13" x14ac:dyDescent="0.15">
      <c r="D555" s="21"/>
      <c r="F555" s="29"/>
      <c r="I555" s="21"/>
      <c r="N555" s="21"/>
      <c r="O555" s="21"/>
      <c r="P555" s="21"/>
      <c r="Q555" s="21"/>
      <c r="T555" s="21"/>
    </row>
    <row r="556" spans="4:20" ht="13" x14ac:dyDescent="0.15">
      <c r="D556" s="21"/>
      <c r="F556" s="29"/>
      <c r="I556" s="21"/>
      <c r="N556" s="21"/>
      <c r="O556" s="21"/>
      <c r="P556" s="21"/>
      <c r="Q556" s="21"/>
      <c r="T556" s="21"/>
    </row>
    <row r="557" spans="4:20" ht="13" x14ac:dyDescent="0.15">
      <c r="D557" s="21"/>
      <c r="F557" s="29"/>
      <c r="I557" s="21"/>
      <c r="N557" s="21"/>
      <c r="O557" s="21"/>
      <c r="P557" s="21"/>
      <c r="Q557" s="21"/>
      <c r="T557" s="21"/>
    </row>
    <row r="558" spans="4:20" ht="13" x14ac:dyDescent="0.15">
      <c r="D558" s="21"/>
      <c r="F558" s="29"/>
      <c r="I558" s="21"/>
      <c r="N558" s="21"/>
      <c r="O558" s="21"/>
      <c r="P558" s="21"/>
      <c r="Q558" s="21"/>
      <c r="T558" s="21"/>
    </row>
    <row r="559" spans="4:20" ht="13" x14ac:dyDescent="0.15">
      <c r="D559" s="21"/>
      <c r="F559" s="29"/>
      <c r="I559" s="21"/>
      <c r="N559" s="21"/>
      <c r="O559" s="21"/>
      <c r="P559" s="21"/>
      <c r="Q559" s="21"/>
      <c r="T559" s="21"/>
    </row>
    <row r="560" spans="4:20" ht="13" x14ac:dyDescent="0.15">
      <c r="D560" s="21"/>
      <c r="F560" s="29"/>
      <c r="I560" s="21"/>
      <c r="N560" s="21"/>
      <c r="O560" s="21"/>
      <c r="P560" s="21"/>
      <c r="Q560" s="21"/>
      <c r="T560" s="21"/>
    </row>
    <row r="561" spans="4:20" ht="13" x14ac:dyDescent="0.15">
      <c r="D561" s="21"/>
      <c r="F561" s="29"/>
      <c r="I561" s="21"/>
      <c r="N561" s="21"/>
      <c r="O561" s="21"/>
      <c r="P561" s="21"/>
      <c r="Q561" s="21"/>
      <c r="T561" s="21"/>
    </row>
    <row r="562" spans="4:20" ht="13" x14ac:dyDescent="0.15">
      <c r="D562" s="21"/>
      <c r="F562" s="29"/>
      <c r="I562" s="21"/>
      <c r="N562" s="21"/>
      <c r="O562" s="21"/>
      <c r="P562" s="21"/>
      <c r="Q562" s="21"/>
      <c r="T562" s="21"/>
    </row>
    <row r="563" spans="4:20" ht="13" x14ac:dyDescent="0.15">
      <c r="D563" s="21"/>
      <c r="F563" s="29"/>
      <c r="I563" s="21"/>
      <c r="N563" s="21"/>
      <c r="O563" s="21"/>
      <c r="P563" s="21"/>
      <c r="Q563" s="21"/>
      <c r="T563" s="21"/>
    </row>
    <row r="564" spans="4:20" ht="13" x14ac:dyDescent="0.15">
      <c r="D564" s="21"/>
      <c r="F564" s="29"/>
      <c r="I564" s="21"/>
      <c r="N564" s="21"/>
      <c r="O564" s="21"/>
      <c r="P564" s="21"/>
      <c r="Q564" s="21"/>
      <c r="T564" s="21"/>
    </row>
    <row r="565" spans="4:20" ht="13" x14ac:dyDescent="0.15">
      <c r="D565" s="21"/>
      <c r="F565" s="29"/>
      <c r="I565" s="21"/>
      <c r="N565" s="21"/>
      <c r="O565" s="21"/>
      <c r="P565" s="21"/>
      <c r="Q565" s="21"/>
      <c r="T565" s="21"/>
    </row>
    <row r="566" spans="4:20" ht="13" x14ac:dyDescent="0.15">
      <c r="D566" s="21"/>
      <c r="F566" s="29"/>
      <c r="I566" s="21"/>
      <c r="N566" s="21"/>
      <c r="O566" s="21"/>
      <c r="P566" s="21"/>
      <c r="Q566" s="21"/>
      <c r="T566" s="21"/>
    </row>
    <row r="567" spans="4:20" ht="13" x14ac:dyDescent="0.15">
      <c r="D567" s="21"/>
      <c r="F567" s="29"/>
      <c r="I567" s="21"/>
      <c r="N567" s="21"/>
      <c r="O567" s="21"/>
      <c r="P567" s="21"/>
      <c r="Q567" s="21"/>
      <c r="T567" s="21"/>
    </row>
    <row r="568" spans="4:20" ht="13" x14ac:dyDescent="0.15">
      <c r="D568" s="21"/>
      <c r="F568" s="29"/>
      <c r="I568" s="21"/>
      <c r="N568" s="21"/>
      <c r="O568" s="21"/>
      <c r="P568" s="21"/>
      <c r="Q568" s="21"/>
      <c r="T568" s="21"/>
    </row>
    <row r="569" spans="4:20" ht="13" x14ac:dyDescent="0.15">
      <c r="D569" s="21"/>
      <c r="F569" s="29"/>
      <c r="I569" s="21"/>
      <c r="N569" s="21"/>
      <c r="O569" s="21"/>
      <c r="P569" s="21"/>
      <c r="Q569" s="21"/>
      <c r="T569" s="21"/>
    </row>
    <row r="570" spans="4:20" ht="13" x14ac:dyDescent="0.15">
      <c r="D570" s="21"/>
      <c r="F570" s="29"/>
      <c r="I570" s="21"/>
      <c r="N570" s="21"/>
      <c r="O570" s="21"/>
      <c r="P570" s="21"/>
      <c r="Q570" s="21"/>
      <c r="T570" s="21"/>
    </row>
    <row r="571" spans="4:20" ht="13" x14ac:dyDescent="0.15">
      <c r="D571" s="21"/>
      <c r="F571" s="29"/>
      <c r="I571" s="21"/>
      <c r="N571" s="21"/>
      <c r="O571" s="21"/>
      <c r="P571" s="21"/>
      <c r="Q571" s="21"/>
      <c r="T571" s="21"/>
    </row>
    <row r="572" spans="4:20" ht="13" x14ac:dyDescent="0.15">
      <c r="D572" s="21"/>
      <c r="F572" s="29"/>
      <c r="I572" s="21"/>
      <c r="N572" s="21"/>
      <c r="O572" s="21"/>
      <c r="P572" s="21"/>
      <c r="Q572" s="21"/>
      <c r="T572" s="21"/>
    </row>
    <row r="573" spans="4:20" ht="13" x14ac:dyDescent="0.15">
      <c r="D573" s="21"/>
      <c r="F573" s="29"/>
      <c r="I573" s="21"/>
      <c r="N573" s="21"/>
      <c r="O573" s="21"/>
      <c r="P573" s="21"/>
      <c r="Q573" s="21"/>
      <c r="T573" s="21"/>
    </row>
    <row r="574" spans="4:20" ht="13" x14ac:dyDescent="0.15">
      <c r="D574" s="21"/>
      <c r="F574" s="29"/>
      <c r="I574" s="21"/>
      <c r="N574" s="21"/>
      <c r="O574" s="21"/>
      <c r="P574" s="21"/>
      <c r="Q574" s="21"/>
      <c r="T574" s="21"/>
    </row>
    <row r="575" spans="4:20" ht="13" x14ac:dyDescent="0.15">
      <c r="D575" s="21"/>
      <c r="F575" s="29"/>
      <c r="I575" s="21"/>
      <c r="N575" s="21"/>
      <c r="O575" s="21"/>
      <c r="P575" s="21"/>
      <c r="Q575" s="21"/>
      <c r="T575" s="21"/>
    </row>
    <row r="576" spans="4:20" ht="13" x14ac:dyDescent="0.15">
      <c r="D576" s="21"/>
      <c r="F576" s="29"/>
      <c r="I576" s="21"/>
      <c r="N576" s="21"/>
      <c r="O576" s="21"/>
      <c r="P576" s="21"/>
      <c r="Q576" s="21"/>
      <c r="T576" s="21"/>
    </row>
    <row r="577" spans="4:20" ht="13" x14ac:dyDescent="0.15">
      <c r="D577" s="21"/>
      <c r="F577" s="29"/>
      <c r="I577" s="21"/>
      <c r="N577" s="21"/>
      <c r="O577" s="21"/>
      <c r="P577" s="21"/>
      <c r="Q577" s="21"/>
      <c r="T577" s="21"/>
    </row>
    <row r="578" spans="4:20" ht="13" x14ac:dyDescent="0.15">
      <c r="D578" s="21"/>
      <c r="F578" s="29"/>
      <c r="I578" s="21"/>
      <c r="N578" s="21"/>
      <c r="O578" s="21"/>
      <c r="P578" s="21"/>
      <c r="Q578" s="21"/>
      <c r="T578" s="21"/>
    </row>
    <row r="579" spans="4:20" ht="13" x14ac:dyDescent="0.15">
      <c r="D579" s="21"/>
      <c r="F579" s="29"/>
      <c r="I579" s="21"/>
      <c r="N579" s="21"/>
      <c r="O579" s="21"/>
      <c r="P579" s="21"/>
      <c r="Q579" s="21"/>
      <c r="T579" s="21"/>
    </row>
    <row r="580" spans="4:20" ht="13" x14ac:dyDescent="0.15">
      <c r="D580" s="21"/>
      <c r="F580" s="29"/>
      <c r="I580" s="21"/>
      <c r="N580" s="21"/>
      <c r="O580" s="21"/>
      <c r="P580" s="21"/>
      <c r="Q580" s="21"/>
      <c r="T580" s="21"/>
    </row>
    <row r="581" spans="4:20" ht="13" x14ac:dyDescent="0.15">
      <c r="D581" s="21"/>
      <c r="F581" s="29"/>
      <c r="I581" s="21"/>
      <c r="N581" s="21"/>
      <c r="O581" s="21"/>
      <c r="P581" s="21"/>
      <c r="Q581" s="21"/>
      <c r="T581" s="21"/>
    </row>
    <row r="582" spans="4:20" ht="13" x14ac:dyDescent="0.15">
      <c r="D582" s="21"/>
      <c r="F582" s="29"/>
      <c r="I582" s="21"/>
      <c r="N582" s="21"/>
      <c r="O582" s="21"/>
      <c r="P582" s="21"/>
      <c r="Q582" s="21"/>
      <c r="T582" s="21"/>
    </row>
    <row r="583" spans="4:20" ht="13" x14ac:dyDescent="0.15">
      <c r="D583" s="21"/>
      <c r="F583" s="29"/>
      <c r="I583" s="21"/>
      <c r="N583" s="21"/>
      <c r="O583" s="21"/>
      <c r="P583" s="21"/>
      <c r="Q583" s="21"/>
      <c r="T583" s="21"/>
    </row>
    <row r="584" spans="4:20" ht="13" x14ac:dyDescent="0.15">
      <c r="D584" s="21"/>
      <c r="F584" s="29"/>
      <c r="I584" s="21"/>
      <c r="N584" s="21"/>
      <c r="O584" s="21"/>
      <c r="P584" s="21"/>
      <c r="Q584" s="21"/>
      <c r="T584" s="21"/>
    </row>
    <row r="585" spans="4:20" ht="13" x14ac:dyDescent="0.15">
      <c r="D585" s="21"/>
      <c r="F585" s="29"/>
      <c r="I585" s="21"/>
      <c r="N585" s="21"/>
      <c r="O585" s="21"/>
      <c r="P585" s="21"/>
      <c r="Q585" s="21"/>
      <c r="T585" s="21"/>
    </row>
    <row r="586" spans="4:20" ht="13" x14ac:dyDescent="0.15">
      <c r="D586" s="21"/>
      <c r="F586" s="29"/>
      <c r="I586" s="21"/>
      <c r="N586" s="21"/>
      <c r="O586" s="21"/>
      <c r="P586" s="21"/>
      <c r="Q586" s="21"/>
      <c r="T586" s="21"/>
    </row>
    <row r="587" spans="4:20" ht="13" x14ac:dyDescent="0.15">
      <c r="D587" s="21"/>
      <c r="F587" s="29"/>
      <c r="I587" s="21"/>
      <c r="N587" s="21"/>
      <c r="O587" s="21"/>
      <c r="P587" s="21"/>
      <c r="Q587" s="21"/>
      <c r="T587" s="21"/>
    </row>
    <row r="588" spans="4:20" ht="13" x14ac:dyDescent="0.15">
      <c r="D588" s="21"/>
      <c r="F588" s="29"/>
      <c r="I588" s="21"/>
      <c r="N588" s="21"/>
      <c r="O588" s="21"/>
      <c r="P588" s="21"/>
      <c r="Q588" s="21"/>
      <c r="T588" s="21"/>
    </row>
    <row r="589" spans="4:20" ht="13" x14ac:dyDescent="0.15">
      <c r="D589" s="21"/>
      <c r="F589" s="29"/>
      <c r="I589" s="21"/>
      <c r="N589" s="21"/>
      <c r="O589" s="21"/>
      <c r="P589" s="21"/>
      <c r="Q589" s="21"/>
      <c r="T589" s="21"/>
    </row>
    <row r="590" spans="4:20" ht="13" x14ac:dyDescent="0.15">
      <c r="D590" s="21"/>
      <c r="F590" s="29"/>
      <c r="I590" s="21"/>
      <c r="N590" s="21"/>
      <c r="O590" s="21"/>
      <c r="P590" s="21"/>
      <c r="Q590" s="21"/>
      <c r="T590" s="21"/>
    </row>
    <row r="591" spans="4:20" ht="13" x14ac:dyDescent="0.15">
      <c r="D591" s="21"/>
      <c r="F591" s="29"/>
      <c r="I591" s="21"/>
      <c r="N591" s="21"/>
      <c r="O591" s="21"/>
      <c r="P591" s="21"/>
      <c r="Q591" s="21"/>
      <c r="T591" s="21"/>
    </row>
    <row r="592" spans="4:20" ht="13" x14ac:dyDescent="0.15">
      <c r="D592" s="21"/>
      <c r="F592" s="29"/>
      <c r="I592" s="21"/>
      <c r="N592" s="21"/>
      <c r="O592" s="21"/>
      <c r="P592" s="21"/>
      <c r="Q592" s="21"/>
      <c r="T592" s="21"/>
    </row>
    <row r="593" spans="4:20" ht="13" x14ac:dyDescent="0.15">
      <c r="D593" s="21"/>
      <c r="F593" s="29"/>
      <c r="I593" s="21"/>
      <c r="N593" s="21"/>
      <c r="O593" s="21"/>
      <c r="P593" s="21"/>
      <c r="Q593" s="21"/>
      <c r="T593" s="21"/>
    </row>
    <row r="594" spans="4:20" ht="13" x14ac:dyDescent="0.15">
      <c r="D594" s="21"/>
      <c r="F594" s="29"/>
      <c r="I594" s="21"/>
      <c r="N594" s="21"/>
      <c r="O594" s="21"/>
      <c r="P594" s="21"/>
      <c r="Q594" s="21"/>
      <c r="T594" s="21"/>
    </row>
    <row r="595" spans="4:20" ht="13" x14ac:dyDescent="0.15">
      <c r="D595" s="21"/>
      <c r="F595" s="29"/>
      <c r="I595" s="21"/>
      <c r="N595" s="21"/>
      <c r="O595" s="21"/>
      <c r="P595" s="21"/>
      <c r="Q595" s="21"/>
      <c r="T595" s="21"/>
    </row>
    <row r="596" spans="4:20" ht="13" x14ac:dyDescent="0.15">
      <c r="D596" s="21"/>
      <c r="F596" s="29"/>
      <c r="I596" s="21"/>
      <c r="N596" s="21"/>
      <c r="O596" s="21"/>
      <c r="P596" s="21"/>
      <c r="Q596" s="21"/>
      <c r="T596" s="21"/>
    </row>
    <row r="597" spans="4:20" ht="13" x14ac:dyDescent="0.15">
      <c r="D597" s="21"/>
      <c r="F597" s="29"/>
      <c r="I597" s="21"/>
      <c r="N597" s="21"/>
      <c r="O597" s="21"/>
      <c r="P597" s="21"/>
      <c r="Q597" s="21"/>
      <c r="T597" s="21"/>
    </row>
    <row r="598" spans="4:20" ht="13" x14ac:dyDescent="0.15">
      <c r="D598" s="21"/>
      <c r="F598" s="29"/>
      <c r="I598" s="21"/>
      <c r="N598" s="21"/>
      <c r="O598" s="21"/>
      <c r="P598" s="21"/>
      <c r="Q598" s="21"/>
      <c r="T598" s="21"/>
    </row>
    <row r="599" spans="4:20" ht="13" x14ac:dyDescent="0.15">
      <c r="D599" s="21"/>
      <c r="F599" s="29"/>
      <c r="I599" s="21"/>
      <c r="N599" s="21"/>
      <c r="O599" s="21"/>
      <c r="P599" s="21"/>
      <c r="Q599" s="21"/>
      <c r="T599" s="21"/>
    </row>
    <row r="600" spans="4:20" ht="13" x14ac:dyDescent="0.15">
      <c r="D600" s="21"/>
      <c r="F600" s="29"/>
      <c r="I600" s="21"/>
      <c r="N600" s="21"/>
      <c r="O600" s="21"/>
      <c r="P600" s="21"/>
      <c r="Q600" s="21"/>
      <c r="T600" s="21"/>
    </row>
    <row r="601" spans="4:20" ht="13" x14ac:dyDescent="0.15">
      <c r="D601" s="21"/>
      <c r="F601" s="29"/>
      <c r="I601" s="21"/>
      <c r="N601" s="21"/>
      <c r="O601" s="21"/>
      <c r="P601" s="21"/>
      <c r="Q601" s="21"/>
      <c r="T601" s="21"/>
    </row>
    <row r="602" spans="4:20" ht="13" x14ac:dyDescent="0.15">
      <c r="D602" s="21"/>
      <c r="F602" s="29"/>
      <c r="I602" s="21"/>
      <c r="N602" s="21"/>
      <c r="O602" s="21"/>
      <c r="P602" s="21"/>
      <c r="Q602" s="21"/>
      <c r="T602" s="21"/>
    </row>
    <row r="603" spans="4:20" ht="13" x14ac:dyDescent="0.15">
      <c r="D603" s="21"/>
      <c r="F603" s="29"/>
      <c r="I603" s="21"/>
      <c r="N603" s="21"/>
      <c r="O603" s="21"/>
      <c r="P603" s="21"/>
      <c r="Q603" s="21"/>
      <c r="T603" s="21"/>
    </row>
    <row r="604" spans="4:20" ht="13" x14ac:dyDescent="0.15">
      <c r="D604" s="21"/>
      <c r="F604" s="29"/>
      <c r="I604" s="21"/>
      <c r="N604" s="21"/>
      <c r="O604" s="21"/>
      <c r="P604" s="21"/>
      <c r="Q604" s="21"/>
      <c r="T604" s="21"/>
    </row>
    <row r="605" spans="4:20" ht="13" x14ac:dyDescent="0.15">
      <c r="D605" s="21"/>
      <c r="F605" s="29"/>
      <c r="I605" s="21"/>
      <c r="N605" s="21"/>
      <c r="O605" s="21"/>
      <c r="P605" s="21"/>
      <c r="Q605" s="21"/>
      <c r="T605" s="21"/>
    </row>
    <row r="606" spans="4:20" ht="13" x14ac:dyDescent="0.15">
      <c r="D606" s="21"/>
      <c r="F606" s="29"/>
      <c r="I606" s="21"/>
      <c r="N606" s="21"/>
      <c r="O606" s="21"/>
      <c r="P606" s="21"/>
      <c r="Q606" s="21"/>
      <c r="T606" s="21"/>
    </row>
    <row r="607" spans="4:20" ht="13" x14ac:dyDescent="0.15">
      <c r="D607" s="21"/>
      <c r="F607" s="29"/>
      <c r="I607" s="21"/>
      <c r="N607" s="21"/>
      <c r="O607" s="21"/>
      <c r="P607" s="21"/>
      <c r="Q607" s="21"/>
      <c r="T607" s="21"/>
    </row>
    <row r="608" spans="4:20" ht="13" x14ac:dyDescent="0.15">
      <c r="D608" s="21"/>
      <c r="F608" s="29"/>
      <c r="I608" s="21"/>
      <c r="N608" s="21"/>
      <c r="O608" s="21"/>
      <c r="P608" s="21"/>
      <c r="Q608" s="21"/>
      <c r="T608" s="21"/>
    </row>
    <row r="609" spans="4:20" ht="13" x14ac:dyDescent="0.15">
      <c r="D609" s="21"/>
      <c r="F609" s="29"/>
      <c r="I609" s="21"/>
      <c r="N609" s="21"/>
      <c r="O609" s="21"/>
      <c r="P609" s="21"/>
      <c r="Q609" s="21"/>
      <c r="T609" s="21"/>
    </row>
    <row r="610" spans="4:20" ht="13" x14ac:dyDescent="0.15">
      <c r="D610" s="21"/>
      <c r="F610" s="29"/>
      <c r="I610" s="21"/>
      <c r="N610" s="21"/>
      <c r="O610" s="21"/>
      <c r="P610" s="21"/>
      <c r="Q610" s="21"/>
      <c r="T610" s="21"/>
    </row>
    <row r="611" spans="4:20" ht="13" x14ac:dyDescent="0.15">
      <c r="D611" s="21"/>
      <c r="F611" s="29"/>
      <c r="I611" s="21"/>
      <c r="N611" s="21"/>
      <c r="O611" s="21"/>
      <c r="P611" s="21"/>
      <c r="Q611" s="21"/>
      <c r="T611" s="21"/>
    </row>
    <row r="612" spans="4:20" ht="13" x14ac:dyDescent="0.15">
      <c r="D612" s="21"/>
      <c r="F612" s="29"/>
      <c r="I612" s="21"/>
      <c r="N612" s="21"/>
      <c r="O612" s="21"/>
      <c r="P612" s="21"/>
      <c r="Q612" s="21"/>
      <c r="T612" s="21"/>
    </row>
    <row r="613" spans="4:20" ht="13" x14ac:dyDescent="0.15">
      <c r="D613" s="21"/>
      <c r="F613" s="29"/>
      <c r="I613" s="21"/>
      <c r="N613" s="21"/>
      <c r="O613" s="21"/>
      <c r="P613" s="21"/>
      <c r="Q613" s="21"/>
      <c r="T613" s="21"/>
    </row>
    <row r="614" spans="4:20" ht="13" x14ac:dyDescent="0.15">
      <c r="D614" s="21"/>
      <c r="F614" s="29"/>
      <c r="I614" s="21"/>
      <c r="N614" s="21"/>
      <c r="O614" s="21"/>
      <c r="P614" s="21"/>
      <c r="Q614" s="21"/>
      <c r="T614" s="21"/>
    </row>
    <row r="615" spans="4:20" ht="13" x14ac:dyDescent="0.15">
      <c r="D615" s="21"/>
      <c r="F615" s="29"/>
      <c r="I615" s="21"/>
      <c r="N615" s="21"/>
      <c r="O615" s="21"/>
      <c r="P615" s="21"/>
      <c r="Q615" s="21"/>
      <c r="T615" s="21"/>
    </row>
    <row r="616" spans="4:20" ht="13" x14ac:dyDescent="0.15">
      <c r="D616" s="21"/>
      <c r="F616" s="29"/>
      <c r="I616" s="21"/>
      <c r="N616" s="21"/>
      <c r="O616" s="21"/>
      <c r="P616" s="21"/>
      <c r="Q616" s="21"/>
      <c r="T616" s="21"/>
    </row>
    <row r="617" spans="4:20" ht="13" x14ac:dyDescent="0.15">
      <c r="D617" s="21"/>
      <c r="F617" s="29"/>
      <c r="I617" s="21"/>
      <c r="N617" s="21"/>
      <c r="O617" s="21"/>
      <c r="P617" s="21"/>
      <c r="Q617" s="21"/>
      <c r="T617" s="21"/>
    </row>
    <row r="618" spans="4:20" ht="13" x14ac:dyDescent="0.15">
      <c r="D618" s="21"/>
      <c r="F618" s="29"/>
      <c r="I618" s="21"/>
      <c r="N618" s="21"/>
      <c r="O618" s="21"/>
      <c r="P618" s="21"/>
      <c r="Q618" s="21"/>
      <c r="T618" s="21"/>
    </row>
    <row r="619" spans="4:20" ht="13" x14ac:dyDescent="0.15">
      <c r="D619" s="21"/>
      <c r="F619" s="29"/>
      <c r="I619" s="21"/>
      <c r="N619" s="21"/>
      <c r="O619" s="21"/>
      <c r="P619" s="21"/>
      <c r="Q619" s="21"/>
      <c r="T619" s="21"/>
    </row>
    <row r="620" spans="4:20" ht="13" x14ac:dyDescent="0.15">
      <c r="D620" s="21"/>
      <c r="F620" s="29"/>
      <c r="I620" s="21"/>
      <c r="N620" s="21"/>
      <c r="O620" s="21"/>
      <c r="P620" s="21"/>
      <c r="Q620" s="21"/>
      <c r="T620" s="21"/>
    </row>
    <row r="621" spans="4:20" ht="13" x14ac:dyDescent="0.15">
      <c r="D621" s="21"/>
      <c r="F621" s="29"/>
      <c r="I621" s="21"/>
      <c r="N621" s="21"/>
      <c r="O621" s="21"/>
      <c r="P621" s="21"/>
      <c r="Q621" s="21"/>
      <c r="T621" s="21"/>
    </row>
    <row r="622" spans="4:20" ht="13" x14ac:dyDescent="0.15">
      <c r="D622" s="21"/>
      <c r="F622" s="29"/>
      <c r="I622" s="21"/>
      <c r="N622" s="21"/>
      <c r="O622" s="21"/>
      <c r="P622" s="21"/>
      <c r="Q622" s="21"/>
      <c r="T622" s="21"/>
    </row>
    <row r="623" spans="4:20" ht="13" x14ac:dyDescent="0.15">
      <c r="D623" s="21"/>
      <c r="F623" s="29"/>
      <c r="I623" s="21"/>
      <c r="N623" s="21"/>
      <c r="O623" s="21"/>
      <c r="P623" s="21"/>
      <c r="Q623" s="21"/>
      <c r="T623" s="21"/>
    </row>
    <row r="624" spans="4:20" ht="13" x14ac:dyDescent="0.15">
      <c r="D624" s="21"/>
      <c r="F624" s="29"/>
      <c r="I624" s="21"/>
      <c r="N624" s="21"/>
      <c r="O624" s="21"/>
      <c r="P624" s="21"/>
      <c r="Q624" s="21"/>
      <c r="T624" s="21"/>
    </row>
    <row r="625" spans="4:20" ht="13" x14ac:dyDescent="0.15">
      <c r="D625" s="21"/>
      <c r="F625" s="29"/>
      <c r="I625" s="21"/>
      <c r="N625" s="21"/>
      <c r="O625" s="21"/>
      <c r="P625" s="21"/>
      <c r="Q625" s="21"/>
      <c r="T625" s="21"/>
    </row>
    <row r="626" spans="4:20" ht="13" x14ac:dyDescent="0.15">
      <c r="D626" s="21"/>
      <c r="F626" s="29"/>
      <c r="I626" s="21"/>
      <c r="N626" s="21"/>
      <c r="O626" s="21"/>
      <c r="P626" s="21"/>
      <c r="Q626" s="21"/>
      <c r="T626" s="21"/>
    </row>
    <row r="627" spans="4:20" ht="13" x14ac:dyDescent="0.15">
      <c r="D627" s="21"/>
      <c r="F627" s="29"/>
      <c r="I627" s="21"/>
      <c r="N627" s="21"/>
      <c r="O627" s="21"/>
      <c r="P627" s="21"/>
      <c r="Q627" s="21"/>
      <c r="T627" s="21"/>
    </row>
    <row r="628" spans="4:20" ht="13" x14ac:dyDescent="0.15">
      <c r="D628" s="21"/>
      <c r="F628" s="29"/>
      <c r="I628" s="21"/>
      <c r="N628" s="21"/>
      <c r="O628" s="21"/>
      <c r="P628" s="21"/>
      <c r="Q628" s="21"/>
      <c r="T628" s="21"/>
    </row>
    <row r="629" spans="4:20" ht="13" x14ac:dyDescent="0.15">
      <c r="D629" s="21"/>
      <c r="F629" s="29"/>
      <c r="I629" s="21"/>
      <c r="N629" s="21"/>
      <c r="O629" s="21"/>
      <c r="P629" s="21"/>
      <c r="Q629" s="21"/>
      <c r="T629" s="21"/>
    </row>
    <row r="630" spans="4:20" ht="13" x14ac:dyDescent="0.15">
      <c r="D630" s="21"/>
      <c r="F630" s="29"/>
      <c r="I630" s="21"/>
      <c r="N630" s="21"/>
      <c r="O630" s="21"/>
      <c r="P630" s="21"/>
      <c r="Q630" s="21"/>
      <c r="T630" s="21"/>
    </row>
    <row r="631" spans="4:20" ht="13" x14ac:dyDescent="0.15">
      <c r="D631" s="21"/>
      <c r="F631" s="29"/>
      <c r="I631" s="21"/>
      <c r="N631" s="21"/>
      <c r="O631" s="21"/>
      <c r="P631" s="21"/>
      <c r="Q631" s="21"/>
      <c r="T631" s="21"/>
    </row>
    <row r="632" spans="4:20" ht="13" x14ac:dyDescent="0.15">
      <c r="D632" s="21"/>
      <c r="F632" s="29"/>
      <c r="I632" s="21"/>
      <c r="N632" s="21"/>
      <c r="O632" s="21"/>
      <c r="P632" s="21"/>
      <c r="Q632" s="21"/>
      <c r="T632" s="21"/>
    </row>
    <row r="633" spans="4:20" ht="13" x14ac:dyDescent="0.15">
      <c r="D633" s="21"/>
      <c r="F633" s="29"/>
      <c r="I633" s="21"/>
      <c r="N633" s="21"/>
      <c r="O633" s="21"/>
      <c r="P633" s="21"/>
      <c r="Q633" s="21"/>
      <c r="T633" s="21"/>
    </row>
    <row r="634" spans="4:20" ht="13" x14ac:dyDescent="0.15">
      <c r="D634" s="21"/>
      <c r="F634" s="29"/>
      <c r="I634" s="21"/>
      <c r="N634" s="21"/>
      <c r="O634" s="21"/>
      <c r="P634" s="21"/>
      <c r="Q634" s="21"/>
      <c r="T634" s="21"/>
    </row>
    <row r="635" spans="4:20" ht="13" x14ac:dyDescent="0.15">
      <c r="D635" s="21"/>
      <c r="F635" s="29"/>
      <c r="I635" s="21"/>
      <c r="N635" s="21"/>
      <c r="O635" s="21"/>
      <c r="P635" s="21"/>
      <c r="Q635" s="21"/>
      <c r="T635" s="21"/>
    </row>
    <row r="636" spans="4:20" ht="13" x14ac:dyDescent="0.15">
      <c r="D636" s="21"/>
      <c r="F636" s="29"/>
      <c r="I636" s="21"/>
      <c r="N636" s="21"/>
      <c r="O636" s="21"/>
      <c r="P636" s="21"/>
      <c r="Q636" s="21"/>
      <c r="T636" s="21"/>
    </row>
    <row r="637" spans="4:20" ht="13" x14ac:dyDescent="0.15">
      <c r="D637" s="21"/>
      <c r="F637" s="29"/>
      <c r="I637" s="21"/>
      <c r="N637" s="21"/>
      <c r="O637" s="21"/>
      <c r="P637" s="21"/>
      <c r="Q637" s="21"/>
      <c r="T637" s="21"/>
    </row>
    <row r="638" spans="4:20" ht="13" x14ac:dyDescent="0.15">
      <c r="D638" s="21"/>
      <c r="F638" s="29"/>
      <c r="I638" s="21"/>
      <c r="N638" s="21"/>
      <c r="O638" s="21"/>
      <c r="P638" s="21"/>
      <c r="Q638" s="21"/>
      <c r="T638" s="21"/>
    </row>
    <row r="639" spans="4:20" ht="13" x14ac:dyDescent="0.15">
      <c r="D639" s="21"/>
      <c r="F639" s="29"/>
      <c r="I639" s="21"/>
      <c r="N639" s="21"/>
      <c r="O639" s="21"/>
      <c r="P639" s="21"/>
      <c r="Q639" s="21"/>
      <c r="T639" s="21"/>
    </row>
    <row r="640" spans="4:20" ht="13" x14ac:dyDescent="0.15">
      <c r="D640" s="21"/>
      <c r="F640" s="29"/>
      <c r="I640" s="21"/>
      <c r="N640" s="21"/>
      <c r="O640" s="21"/>
      <c r="P640" s="21"/>
      <c r="Q640" s="21"/>
      <c r="T640" s="21"/>
    </row>
    <row r="641" spans="4:20" ht="13" x14ac:dyDescent="0.15">
      <c r="D641" s="21"/>
      <c r="F641" s="29"/>
      <c r="I641" s="21"/>
      <c r="N641" s="21"/>
      <c r="O641" s="21"/>
      <c r="P641" s="21"/>
      <c r="Q641" s="21"/>
      <c r="T641" s="21"/>
    </row>
    <row r="642" spans="4:20" ht="13" x14ac:dyDescent="0.15">
      <c r="D642" s="21"/>
      <c r="F642" s="29"/>
      <c r="I642" s="21"/>
      <c r="N642" s="21"/>
      <c r="O642" s="21"/>
      <c r="P642" s="21"/>
      <c r="Q642" s="21"/>
      <c r="T642" s="21"/>
    </row>
    <row r="643" spans="4:20" ht="13" x14ac:dyDescent="0.15">
      <c r="D643" s="21"/>
      <c r="F643" s="29"/>
      <c r="I643" s="21"/>
      <c r="N643" s="21"/>
      <c r="O643" s="21"/>
      <c r="P643" s="21"/>
      <c r="Q643" s="21"/>
      <c r="T643" s="21"/>
    </row>
    <row r="644" spans="4:20" ht="13" x14ac:dyDescent="0.15">
      <c r="D644" s="21"/>
      <c r="F644" s="29"/>
      <c r="I644" s="21"/>
      <c r="N644" s="21"/>
      <c r="O644" s="21"/>
      <c r="P644" s="21"/>
      <c r="Q644" s="21"/>
      <c r="T644" s="21"/>
    </row>
    <row r="645" spans="4:20" ht="13" x14ac:dyDescent="0.15">
      <c r="D645" s="21"/>
      <c r="F645" s="29"/>
      <c r="I645" s="21"/>
      <c r="N645" s="21"/>
      <c r="O645" s="21"/>
      <c r="P645" s="21"/>
      <c r="Q645" s="21"/>
      <c r="T645" s="21"/>
    </row>
    <row r="646" spans="4:20" ht="13" x14ac:dyDescent="0.15">
      <c r="D646" s="21"/>
      <c r="F646" s="29"/>
      <c r="I646" s="21"/>
      <c r="N646" s="21"/>
      <c r="O646" s="21"/>
      <c r="P646" s="21"/>
      <c r="Q646" s="21"/>
      <c r="T646" s="21"/>
    </row>
    <row r="647" spans="4:20" ht="13" x14ac:dyDescent="0.15">
      <c r="D647" s="21"/>
      <c r="F647" s="29"/>
      <c r="I647" s="21"/>
      <c r="N647" s="21"/>
      <c r="O647" s="21"/>
      <c r="P647" s="21"/>
      <c r="Q647" s="21"/>
      <c r="T647" s="21"/>
    </row>
    <row r="648" spans="4:20" ht="13" x14ac:dyDescent="0.15">
      <c r="D648" s="21"/>
      <c r="F648" s="29"/>
      <c r="I648" s="21"/>
      <c r="N648" s="21"/>
      <c r="O648" s="21"/>
      <c r="P648" s="21"/>
      <c r="Q648" s="21"/>
      <c r="T648" s="21"/>
    </row>
    <row r="649" spans="4:20" ht="13" x14ac:dyDescent="0.15">
      <c r="D649" s="21"/>
      <c r="F649" s="29"/>
      <c r="I649" s="21"/>
      <c r="N649" s="21"/>
      <c r="O649" s="21"/>
      <c r="P649" s="21"/>
      <c r="Q649" s="21"/>
      <c r="T649" s="21"/>
    </row>
    <row r="650" spans="4:20" ht="13" x14ac:dyDescent="0.15">
      <c r="D650" s="21"/>
      <c r="F650" s="29"/>
      <c r="I650" s="21"/>
      <c r="N650" s="21"/>
      <c r="O650" s="21"/>
      <c r="P650" s="21"/>
      <c r="Q650" s="21"/>
      <c r="T650" s="21"/>
    </row>
    <row r="651" spans="4:20" ht="13" x14ac:dyDescent="0.15">
      <c r="D651" s="21"/>
      <c r="F651" s="29"/>
      <c r="I651" s="21"/>
      <c r="N651" s="21"/>
      <c r="O651" s="21"/>
      <c r="P651" s="21"/>
      <c r="Q651" s="21"/>
      <c r="T651" s="21"/>
    </row>
    <row r="652" spans="4:20" ht="13" x14ac:dyDescent="0.15">
      <c r="D652" s="21"/>
      <c r="F652" s="29"/>
      <c r="I652" s="21"/>
      <c r="N652" s="21"/>
      <c r="O652" s="21"/>
      <c r="P652" s="21"/>
      <c r="Q652" s="21"/>
      <c r="T652" s="21"/>
    </row>
  </sheetData>
  <hyperlinks>
    <hyperlink ref="U2" r:id="rId1" xr:uid="{00000000-0004-0000-0000-000000000000}"/>
    <hyperlink ref="U3" r:id="rId2" xr:uid="{00000000-0004-0000-0000-000001000000}"/>
    <hyperlink ref="U4" r:id="rId3" xr:uid="{00000000-0004-0000-0000-000002000000}"/>
    <hyperlink ref="U5" r:id="rId4" xr:uid="{00000000-0004-0000-0000-000003000000}"/>
    <hyperlink ref="U6" r:id="rId5" xr:uid="{00000000-0004-0000-0000-000004000000}"/>
    <hyperlink ref="U7" r:id="rId6" xr:uid="{00000000-0004-0000-0000-000005000000}"/>
    <hyperlink ref="U8" r:id="rId7" xr:uid="{00000000-0004-0000-0000-000006000000}"/>
    <hyperlink ref="U9" r:id="rId8" xr:uid="{00000000-0004-0000-0000-000007000000}"/>
    <hyperlink ref="U10" r:id="rId9" xr:uid="{00000000-0004-0000-0000-000008000000}"/>
    <hyperlink ref="U11" r:id="rId10" xr:uid="{00000000-0004-0000-0000-000009000000}"/>
    <hyperlink ref="U12" r:id="rId11" xr:uid="{00000000-0004-0000-0000-00000A000000}"/>
    <hyperlink ref="U13" r:id="rId12" xr:uid="{00000000-0004-0000-0000-00000B000000}"/>
    <hyperlink ref="U14" r:id="rId13" xr:uid="{00000000-0004-0000-0000-00000C000000}"/>
    <hyperlink ref="U15" r:id="rId14" xr:uid="{00000000-0004-0000-0000-00000D000000}"/>
    <hyperlink ref="U16" r:id="rId15" xr:uid="{00000000-0004-0000-0000-00000E000000}"/>
    <hyperlink ref="U17" r:id="rId16" xr:uid="{00000000-0004-0000-0000-00000F000000}"/>
    <hyperlink ref="U18" r:id="rId17" xr:uid="{00000000-0004-0000-0000-000010000000}"/>
    <hyperlink ref="U19" r:id="rId18" xr:uid="{00000000-0004-0000-0000-000011000000}"/>
    <hyperlink ref="U20" r:id="rId19" xr:uid="{00000000-0004-0000-0000-000012000000}"/>
    <hyperlink ref="U21" r:id="rId20" xr:uid="{00000000-0004-0000-0000-000013000000}"/>
    <hyperlink ref="U22" r:id="rId21" xr:uid="{00000000-0004-0000-0000-000014000000}"/>
    <hyperlink ref="U23" r:id="rId22" xr:uid="{00000000-0004-0000-0000-000015000000}"/>
    <hyperlink ref="U24" r:id="rId23" xr:uid="{00000000-0004-0000-0000-000016000000}"/>
    <hyperlink ref="U25" r:id="rId24" xr:uid="{00000000-0004-0000-0000-000017000000}"/>
    <hyperlink ref="U26" r:id="rId25" xr:uid="{00000000-0004-0000-0000-000018000000}"/>
    <hyperlink ref="U27" r:id="rId26" xr:uid="{00000000-0004-0000-0000-000019000000}"/>
    <hyperlink ref="U28" r:id="rId27" xr:uid="{00000000-0004-0000-0000-00001A000000}"/>
    <hyperlink ref="U29" r:id="rId28" xr:uid="{00000000-0004-0000-0000-00001B000000}"/>
    <hyperlink ref="U30" r:id="rId29" xr:uid="{00000000-0004-0000-0000-00001C000000}"/>
    <hyperlink ref="U31" r:id="rId30" xr:uid="{00000000-0004-0000-0000-00001D000000}"/>
    <hyperlink ref="U32" r:id="rId31" xr:uid="{00000000-0004-0000-0000-00001E000000}"/>
    <hyperlink ref="U33" r:id="rId32" xr:uid="{00000000-0004-0000-0000-00001F000000}"/>
    <hyperlink ref="U34" r:id="rId33" xr:uid="{00000000-0004-0000-0000-000020000000}"/>
    <hyperlink ref="U35" r:id="rId34" xr:uid="{00000000-0004-0000-0000-000021000000}"/>
    <hyperlink ref="U36" r:id="rId35" xr:uid="{00000000-0004-0000-0000-000022000000}"/>
    <hyperlink ref="U37" r:id="rId36" xr:uid="{00000000-0004-0000-0000-000023000000}"/>
    <hyperlink ref="U38" r:id="rId37" xr:uid="{00000000-0004-0000-0000-000024000000}"/>
    <hyperlink ref="U39" r:id="rId38" xr:uid="{00000000-0004-0000-0000-000025000000}"/>
    <hyperlink ref="U40" r:id="rId39" xr:uid="{00000000-0004-0000-0000-000026000000}"/>
    <hyperlink ref="U41" r:id="rId40" xr:uid="{00000000-0004-0000-0000-000027000000}"/>
    <hyperlink ref="U42" r:id="rId41" xr:uid="{00000000-0004-0000-0000-000028000000}"/>
    <hyperlink ref="U43" r:id="rId42" xr:uid="{00000000-0004-0000-0000-000029000000}"/>
    <hyperlink ref="U44" r:id="rId43" xr:uid="{00000000-0004-0000-0000-00002A000000}"/>
    <hyperlink ref="U45" r:id="rId44" xr:uid="{00000000-0004-0000-0000-00002B000000}"/>
    <hyperlink ref="U46" r:id="rId45" xr:uid="{00000000-0004-0000-0000-00002C000000}"/>
    <hyperlink ref="U47" r:id="rId46" xr:uid="{00000000-0004-0000-0000-00002D000000}"/>
    <hyperlink ref="U48" r:id="rId47" xr:uid="{00000000-0004-0000-0000-00002E000000}"/>
    <hyperlink ref="U49" r:id="rId48" xr:uid="{00000000-0004-0000-0000-00002F000000}"/>
    <hyperlink ref="U50" r:id="rId49" xr:uid="{00000000-0004-0000-0000-000030000000}"/>
    <hyperlink ref="U51" r:id="rId50" xr:uid="{00000000-0004-0000-0000-000031000000}"/>
    <hyperlink ref="U52" r:id="rId51" xr:uid="{00000000-0004-0000-0000-000032000000}"/>
    <hyperlink ref="U53" r:id="rId52" xr:uid="{00000000-0004-0000-0000-000033000000}"/>
    <hyperlink ref="U54" r:id="rId53" xr:uid="{00000000-0004-0000-0000-000034000000}"/>
    <hyperlink ref="U55" r:id="rId54" xr:uid="{00000000-0004-0000-0000-000035000000}"/>
    <hyperlink ref="U56" r:id="rId55" xr:uid="{00000000-0004-0000-0000-000036000000}"/>
    <hyperlink ref="U57" r:id="rId56" xr:uid="{00000000-0004-0000-0000-000037000000}"/>
    <hyperlink ref="U58" r:id="rId57" xr:uid="{00000000-0004-0000-0000-000038000000}"/>
    <hyperlink ref="U59" r:id="rId58" xr:uid="{00000000-0004-0000-0000-000039000000}"/>
    <hyperlink ref="U60" r:id="rId59" xr:uid="{00000000-0004-0000-0000-00003A000000}"/>
    <hyperlink ref="U61" r:id="rId60" xr:uid="{00000000-0004-0000-0000-00003B000000}"/>
    <hyperlink ref="U62" r:id="rId61" xr:uid="{00000000-0004-0000-0000-00003C000000}"/>
    <hyperlink ref="U63" r:id="rId62" xr:uid="{00000000-0004-0000-0000-00003D000000}"/>
    <hyperlink ref="U64" r:id="rId63" xr:uid="{00000000-0004-0000-0000-00003E000000}"/>
    <hyperlink ref="U65" r:id="rId64" xr:uid="{00000000-0004-0000-0000-00003F000000}"/>
    <hyperlink ref="U66" r:id="rId65" xr:uid="{00000000-0004-0000-0000-000040000000}"/>
    <hyperlink ref="U67" r:id="rId66" xr:uid="{00000000-0004-0000-0000-000041000000}"/>
    <hyperlink ref="U68" r:id="rId67" xr:uid="{00000000-0004-0000-0000-000042000000}"/>
    <hyperlink ref="U69" r:id="rId68" xr:uid="{00000000-0004-0000-0000-000043000000}"/>
    <hyperlink ref="U70" r:id="rId69" xr:uid="{00000000-0004-0000-0000-000044000000}"/>
    <hyperlink ref="U71" r:id="rId70" xr:uid="{00000000-0004-0000-0000-000045000000}"/>
    <hyperlink ref="U72" r:id="rId71" xr:uid="{00000000-0004-0000-0000-000046000000}"/>
    <hyperlink ref="U73" r:id="rId72" xr:uid="{00000000-0004-0000-0000-000047000000}"/>
    <hyperlink ref="U74" r:id="rId73" xr:uid="{00000000-0004-0000-0000-000048000000}"/>
    <hyperlink ref="U75" r:id="rId74" xr:uid="{00000000-0004-0000-0000-000049000000}"/>
    <hyperlink ref="U76" r:id="rId75" xr:uid="{00000000-0004-0000-0000-00004A000000}"/>
    <hyperlink ref="U77" r:id="rId76" xr:uid="{00000000-0004-0000-0000-00004B000000}"/>
    <hyperlink ref="U78" r:id="rId77" xr:uid="{00000000-0004-0000-0000-00004C000000}"/>
    <hyperlink ref="U79" r:id="rId78" xr:uid="{00000000-0004-0000-0000-00004D000000}"/>
    <hyperlink ref="U80" r:id="rId79" xr:uid="{00000000-0004-0000-0000-00004E000000}"/>
    <hyperlink ref="U81" r:id="rId80" xr:uid="{00000000-0004-0000-0000-00004F000000}"/>
    <hyperlink ref="U82" r:id="rId81" xr:uid="{00000000-0004-0000-0000-000050000000}"/>
    <hyperlink ref="U83" r:id="rId82" xr:uid="{00000000-0004-0000-0000-000051000000}"/>
    <hyperlink ref="U84" r:id="rId83" xr:uid="{00000000-0004-0000-0000-000052000000}"/>
    <hyperlink ref="U85" r:id="rId84" xr:uid="{00000000-0004-0000-0000-000053000000}"/>
    <hyperlink ref="U86" r:id="rId85" xr:uid="{00000000-0004-0000-0000-000054000000}"/>
    <hyperlink ref="U87" r:id="rId86" xr:uid="{00000000-0004-0000-0000-000055000000}"/>
    <hyperlink ref="U88" r:id="rId87" xr:uid="{00000000-0004-0000-0000-000056000000}"/>
    <hyperlink ref="U89" r:id="rId88" xr:uid="{00000000-0004-0000-0000-000057000000}"/>
    <hyperlink ref="U90" r:id="rId89" xr:uid="{00000000-0004-0000-0000-000058000000}"/>
    <hyperlink ref="U91" r:id="rId90" xr:uid="{00000000-0004-0000-0000-000059000000}"/>
    <hyperlink ref="U92" r:id="rId91" xr:uid="{00000000-0004-0000-0000-00005A000000}"/>
    <hyperlink ref="U93" r:id="rId92" xr:uid="{00000000-0004-0000-0000-00005B000000}"/>
    <hyperlink ref="U94" r:id="rId93" xr:uid="{00000000-0004-0000-0000-00005C000000}"/>
    <hyperlink ref="U95" r:id="rId94" xr:uid="{00000000-0004-0000-0000-00005D000000}"/>
    <hyperlink ref="U96" r:id="rId95" xr:uid="{00000000-0004-0000-0000-00005E000000}"/>
    <hyperlink ref="U97" r:id="rId96" xr:uid="{00000000-0004-0000-0000-00005F000000}"/>
    <hyperlink ref="U98" r:id="rId97" xr:uid="{00000000-0004-0000-0000-000060000000}"/>
    <hyperlink ref="U99" r:id="rId98" xr:uid="{00000000-0004-0000-0000-000061000000}"/>
    <hyperlink ref="U100" r:id="rId99" xr:uid="{00000000-0004-0000-0000-000062000000}"/>
    <hyperlink ref="U101" r:id="rId100" xr:uid="{00000000-0004-0000-0000-000063000000}"/>
    <hyperlink ref="U102" r:id="rId101" xr:uid="{00000000-0004-0000-0000-000064000000}"/>
    <hyperlink ref="U103" r:id="rId102" xr:uid="{00000000-0004-0000-0000-000065000000}"/>
    <hyperlink ref="U104" r:id="rId103" xr:uid="{00000000-0004-0000-0000-000066000000}"/>
    <hyperlink ref="U105" r:id="rId104" xr:uid="{00000000-0004-0000-0000-000067000000}"/>
    <hyperlink ref="U106" r:id="rId105" xr:uid="{00000000-0004-0000-0000-000068000000}"/>
    <hyperlink ref="D107" r:id="rId106" xr:uid="{00000000-0004-0000-0000-000069000000}"/>
    <hyperlink ref="U107" r:id="rId107" xr:uid="{00000000-0004-0000-0000-00006A000000}"/>
    <hyperlink ref="U108" r:id="rId108" xr:uid="{00000000-0004-0000-0000-00006B000000}"/>
    <hyperlink ref="U109" r:id="rId109" xr:uid="{00000000-0004-0000-0000-00006C000000}"/>
    <hyperlink ref="U110" r:id="rId110" xr:uid="{00000000-0004-0000-0000-00006D000000}"/>
    <hyperlink ref="U111" r:id="rId111" xr:uid="{00000000-0004-0000-0000-00006E000000}"/>
    <hyperlink ref="U112" r:id="rId112" xr:uid="{00000000-0004-0000-0000-00006F000000}"/>
    <hyperlink ref="U113" r:id="rId113" xr:uid="{00000000-0004-0000-0000-000070000000}"/>
    <hyperlink ref="U114" r:id="rId114" xr:uid="{00000000-0004-0000-0000-000071000000}"/>
    <hyperlink ref="U115" r:id="rId115" xr:uid="{00000000-0004-0000-0000-000072000000}"/>
    <hyperlink ref="U116" r:id="rId116" xr:uid="{00000000-0004-0000-0000-000073000000}"/>
    <hyperlink ref="U117" r:id="rId117" xr:uid="{00000000-0004-0000-0000-000074000000}"/>
    <hyperlink ref="U118" r:id="rId118" xr:uid="{00000000-0004-0000-0000-000075000000}"/>
    <hyperlink ref="U119" r:id="rId119" xr:uid="{00000000-0004-0000-0000-000076000000}"/>
    <hyperlink ref="U120" r:id="rId120" xr:uid="{00000000-0004-0000-0000-000077000000}"/>
    <hyperlink ref="U121" r:id="rId121" xr:uid="{00000000-0004-0000-0000-000078000000}"/>
    <hyperlink ref="U122" r:id="rId122" xr:uid="{00000000-0004-0000-0000-000079000000}"/>
    <hyperlink ref="U123" r:id="rId123" xr:uid="{00000000-0004-0000-0000-00007A000000}"/>
    <hyperlink ref="U124" r:id="rId124" xr:uid="{00000000-0004-0000-0000-00007B000000}"/>
    <hyperlink ref="U125" r:id="rId125" xr:uid="{00000000-0004-0000-0000-00007C000000}"/>
    <hyperlink ref="U126" r:id="rId126" xr:uid="{00000000-0004-0000-0000-00007D000000}"/>
    <hyperlink ref="U127" r:id="rId127" xr:uid="{00000000-0004-0000-0000-00007E000000}"/>
    <hyperlink ref="U128" r:id="rId128" xr:uid="{00000000-0004-0000-0000-00007F000000}"/>
    <hyperlink ref="U129" r:id="rId129" xr:uid="{00000000-0004-0000-0000-000080000000}"/>
    <hyperlink ref="U130" r:id="rId130" xr:uid="{00000000-0004-0000-0000-000081000000}"/>
    <hyperlink ref="U131" r:id="rId131" xr:uid="{00000000-0004-0000-0000-000082000000}"/>
    <hyperlink ref="U132" r:id="rId132" xr:uid="{00000000-0004-0000-0000-000083000000}"/>
    <hyperlink ref="U133" r:id="rId133" xr:uid="{00000000-0004-0000-0000-000084000000}"/>
    <hyperlink ref="U134" r:id="rId134" xr:uid="{00000000-0004-0000-0000-000085000000}"/>
    <hyperlink ref="U135" r:id="rId135" xr:uid="{00000000-0004-0000-0000-000086000000}"/>
    <hyperlink ref="U136" r:id="rId136" xr:uid="{00000000-0004-0000-0000-000087000000}"/>
    <hyperlink ref="U137" r:id="rId137" xr:uid="{00000000-0004-0000-0000-000088000000}"/>
    <hyperlink ref="U138" r:id="rId138" xr:uid="{00000000-0004-0000-0000-000089000000}"/>
    <hyperlink ref="U139" r:id="rId139" xr:uid="{00000000-0004-0000-0000-00008A000000}"/>
    <hyperlink ref="U140" r:id="rId140" xr:uid="{00000000-0004-0000-0000-00008B000000}"/>
    <hyperlink ref="U141" r:id="rId141" xr:uid="{00000000-0004-0000-0000-00008C000000}"/>
    <hyperlink ref="U142" r:id="rId142" xr:uid="{00000000-0004-0000-0000-00008D000000}"/>
    <hyperlink ref="U143" r:id="rId143" xr:uid="{00000000-0004-0000-0000-00008E000000}"/>
    <hyperlink ref="U144" r:id="rId144" xr:uid="{00000000-0004-0000-0000-00008F000000}"/>
    <hyperlink ref="U145" r:id="rId145" xr:uid="{00000000-0004-0000-0000-000090000000}"/>
    <hyperlink ref="U146" r:id="rId146" xr:uid="{00000000-0004-0000-0000-000091000000}"/>
    <hyperlink ref="U147" r:id="rId147" xr:uid="{00000000-0004-0000-0000-000092000000}"/>
    <hyperlink ref="U148" r:id="rId148" xr:uid="{00000000-0004-0000-0000-000093000000}"/>
    <hyperlink ref="U149" r:id="rId149" xr:uid="{00000000-0004-0000-0000-000094000000}"/>
    <hyperlink ref="U150" r:id="rId150" xr:uid="{00000000-0004-0000-0000-000095000000}"/>
    <hyperlink ref="U151" r:id="rId151" xr:uid="{00000000-0004-0000-0000-000096000000}"/>
    <hyperlink ref="U152" r:id="rId152" xr:uid="{00000000-0004-0000-0000-000097000000}"/>
    <hyperlink ref="U153" r:id="rId153" xr:uid="{00000000-0004-0000-0000-000098000000}"/>
    <hyperlink ref="U154" r:id="rId154" xr:uid="{00000000-0004-0000-0000-000099000000}"/>
    <hyperlink ref="U155" r:id="rId155" xr:uid="{00000000-0004-0000-0000-00009A000000}"/>
    <hyperlink ref="U156" r:id="rId156" xr:uid="{00000000-0004-0000-0000-00009B000000}"/>
    <hyperlink ref="U157" r:id="rId157" xr:uid="{00000000-0004-0000-0000-00009C000000}"/>
    <hyperlink ref="U158" r:id="rId158" xr:uid="{00000000-0004-0000-0000-00009D000000}"/>
    <hyperlink ref="U159" r:id="rId159" xr:uid="{00000000-0004-0000-0000-00009E000000}"/>
    <hyperlink ref="U160" r:id="rId160" xr:uid="{00000000-0004-0000-0000-00009F000000}"/>
    <hyperlink ref="U161" r:id="rId161" xr:uid="{00000000-0004-0000-0000-0000A0000000}"/>
    <hyperlink ref="U162" r:id="rId162" xr:uid="{00000000-0004-0000-0000-0000A1000000}"/>
    <hyperlink ref="U163" r:id="rId163" xr:uid="{00000000-0004-0000-0000-0000A2000000}"/>
    <hyperlink ref="U164" r:id="rId164" xr:uid="{00000000-0004-0000-0000-0000A3000000}"/>
    <hyperlink ref="U165" r:id="rId165" xr:uid="{00000000-0004-0000-0000-0000A4000000}"/>
    <hyperlink ref="U166" r:id="rId166" xr:uid="{00000000-0004-0000-0000-0000A5000000}"/>
    <hyperlink ref="U167" r:id="rId167" xr:uid="{00000000-0004-0000-0000-0000A6000000}"/>
    <hyperlink ref="U168" r:id="rId168" xr:uid="{00000000-0004-0000-0000-0000A7000000}"/>
    <hyperlink ref="U169" r:id="rId169" xr:uid="{00000000-0004-0000-0000-0000A8000000}"/>
    <hyperlink ref="U170" r:id="rId170" xr:uid="{00000000-0004-0000-0000-0000A9000000}"/>
    <hyperlink ref="U171" r:id="rId171" xr:uid="{00000000-0004-0000-0000-0000AA000000}"/>
    <hyperlink ref="U172" r:id="rId172" xr:uid="{00000000-0004-0000-0000-0000AB000000}"/>
    <hyperlink ref="U173" r:id="rId173" xr:uid="{00000000-0004-0000-0000-0000AC000000}"/>
    <hyperlink ref="U174" r:id="rId174" xr:uid="{00000000-0004-0000-0000-0000AD000000}"/>
    <hyperlink ref="U175" r:id="rId175" xr:uid="{00000000-0004-0000-0000-0000AE000000}"/>
    <hyperlink ref="U176" r:id="rId176" xr:uid="{00000000-0004-0000-0000-0000AF000000}"/>
    <hyperlink ref="U177" r:id="rId177" xr:uid="{00000000-0004-0000-0000-0000B0000000}"/>
    <hyperlink ref="U178" r:id="rId178" xr:uid="{00000000-0004-0000-0000-0000B1000000}"/>
    <hyperlink ref="U179" r:id="rId179" xr:uid="{00000000-0004-0000-0000-0000B2000000}"/>
    <hyperlink ref="U180" r:id="rId180" xr:uid="{00000000-0004-0000-0000-0000B3000000}"/>
    <hyperlink ref="U181" r:id="rId181" xr:uid="{00000000-0004-0000-0000-0000B4000000}"/>
    <hyperlink ref="U182" r:id="rId182" xr:uid="{00000000-0004-0000-0000-0000B5000000}"/>
    <hyperlink ref="U183" r:id="rId183" xr:uid="{00000000-0004-0000-0000-0000B6000000}"/>
    <hyperlink ref="U184" r:id="rId184" xr:uid="{00000000-0004-0000-0000-0000B7000000}"/>
    <hyperlink ref="U185" r:id="rId185" xr:uid="{00000000-0004-0000-0000-0000B8000000}"/>
    <hyperlink ref="U186" r:id="rId186" xr:uid="{00000000-0004-0000-0000-0000B9000000}"/>
    <hyperlink ref="U187" r:id="rId187" xr:uid="{00000000-0004-0000-0000-0000BA000000}"/>
    <hyperlink ref="U188" r:id="rId188" xr:uid="{00000000-0004-0000-0000-0000BB000000}"/>
    <hyperlink ref="U189" r:id="rId189" xr:uid="{00000000-0004-0000-0000-0000BC000000}"/>
    <hyperlink ref="U190" r:id="rId190" xr:uid="{00000000-0004-0000-0000-0000BD000000}"/>
    <hyperlink ref="U191" r:id="rId191" xr:uid="{00000000-0004-0000-0000-0000BE000000}"/>
    <hyperlink ref="U192" r:id="rId192" xr:uid="{00000000-0004-0000-0000-0000BF000000}"/>
    <hyperlink ref="U193" r:id="rId193" xr:uid="{00000000-0004-0000-0000-0000C0000000}"/>
    <hyperlink ref="U194" r:id="rId194" xr:uid="{00000000-0004-0000-0000-0000C1000000}"/>
    <hyperlink ref="U195" r:id="rId195" xr:uid="{00000000-0004-0000-0000-0000C2000000}"/>
    <hyperlink ref="U196" r:id="rId196" xr:uid="{00000000-0004-0000-0000-0000C3000000}"/>
    <hyperlink ref="U197" r:id="rId197" xr:uid="{00000000-0004-0000-0000-0000C4000000}"/>
    <hyperlink ref="U198" r:id="rId198" xr:uid="{00000000-0004-0000-0000-0000C5000000}"/>
    <hyperlink ref="U199" r:id="rId199" xr:uid="{00000000-0004-0000-0000-0000C6000000}"/>
    <hyperlink ref="U200" r:id="rId200" xr:uid="{00000000-0004-0000-0000-0000C7000000}"/>
    <hyperlink ref="U201" r:id="rId201" xr:uid="{00000000-0004-0000-0000-0000C8000000}"/>
    <hyperlink ref="U202" r:id="rId202" xr:uid="{00000000-0004-0000-0000-0000C9000000}"/>
    <hyperlink ref="U203" r:id="rId203" xr:uid="{00000000-0004-0000-0000-0000CA000000}"/>
    <hyperlink ref="U204" r:id="rId204" xr:uid="{00000000-0004-0000-0000-0000CB000000}"/>
    <hyperlink ref="U205" r:id="rId205" xr:uid="{00000000-0004-0000-0000-0000CC000000}"/>
    <hyperlink ref="U206" r:id="rId206" xr:uid="{00000000-0004-0000-0000-0000CD000000}"/>
    <hyperlink ref="U207" r:id="rId207" xr:uid="{00000000-0004-0000-0000-0000CE000000}"/>
    <hyperlink ref="U208" r:id="rId208" xr:uid="{00000000-0004-0000-0000-0000CF000000}"/>
    <hyperlink ref="U209" r:id="rId209" xr:uid="{00000000-0004-0000-0000-0000D0000000}"/>
    <hyperlink ref="U210" r:id="rId210" xr:uid="{00000000-0004-0000-0000-0000D1000000}"/>
    <hyperlink ref="U211" r:id="rId211" xr:uid="{00000000-0004-0000-0000-0000D2000000}"/>
    <hyperlink ref="U212" r:id="rId212" xr:uid="{00000000-0004-0000-0000-0000D3000000}"/>
    <hyperlink ref="U213" r:id="rId213" xr:uid="{00000000-0004-0000-0000-0000D4000000}"/>
    <hyperlink ref="U214" r:id="rId214" xr:uid="{00000000-0004-0000-0000-0000D5000000}"/>
    <hyperlink ref="U215" r:id="rId215" xr:uid="{00000000-0004-0000-0000-0000D6000000}"/>
    <hyperlink ref="U216" r:id="rId216" xr:uid="{00000000-0004-0000-0000-0000D7000000}"/>
    <hyperlink ref="U217" r:id="rId217" xr:uid="{00000000-0004-0000-0000-0000D8000000}"/>
    <hyperlink ref="U218" r:id="rId218" xr:uid="{00000000-0004-0000-0000-0000D9000000}"/>
  </hyperlinks>
  <pageMargins left="0.7" right="0.7" top="0.75" bottom="0.75" header="0.3" footer="0.3"/>
  <legacyDrawing r:id="rId2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Hale, Meredith Louise</cp:lastModifiedBy>
  <dcterms:modified xsi:type="dcterms:W3CDTF">2021-05-27T18:50:38Z</dcterms:modified>
</cp:coreProperties>
</file>