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k\Documents\GitHub\closed_chain_affordance\real_robot_data_plots_and_demos\comparison_experiments\"/>
    </mc:Choice>
  </mc:AlternateContent>
  <xr:revisionPtr revIDLastSave="0" documentId="13_ncr:1_{2A7905B9-6074-42D1-905C-98888070D135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Sheet2!$G$13:$G$17</definedName>
    <definedName name="_xlchart.v1.1" hidden="1">Sheet2!$G$1:$G$2</definedName>
    <definedName name="_xlchart.v1.10" hidden="1">Sheet2!$G$1:$G$2</definedName>
    <definedName name="_xlchart.v1.11" hidden="1">Sheet2!$G$3:$G$7</definedName>
    <definedName name="_xlchart.v1.12" hidden="1">Sheet2!$H$1:$H$2</definedName>
    <definedName name="_xlchart.v1.13" hidden="1">Sheet2!$H$3:$H$7</definedName>
    <definedName name="_xlchart.v1.14" hidden="1">Sheet2!$I$1:$I$2</definedName>
    <definedName name="_xlchart.v1.15" hidden="1">Sheet2!$I$3:$I$7</definedName>
    <definedName name="_xlchart.v1.16" hidden="1">(Sheet2!$D$4,Sheet2!$D$9:$D$10,Sheet2!$D$12,Sheet2!$D$15:$D$17)</definedName>
    <definedName name="_xlchart.v1.17" hidden="1">(Sheet2!$E$4,Sheet2!$E$9:$E$10,Sheet2!$E$12,Sheet2!$E$15:$E$17)</definedName>
    <definedName name="_xlchart.v1.18" hidden="1">(Sheet2!$F$4,Sheet2!$F$9:$F$10,Sheet2!$F$12,Sheet2!$F$15:$F$17)</definedName>
    <definedName name="_xlchart.v1.19" hidden="1">Sheet2!$D$1:$D$2</definedName>
    <definedName name="_xlchart.v1.2" hidden="1">Sheet2!$H$13:$H$17</definedName>
    <definedName name="_xlchart.v1.20" hidden="1">Sheet2!$E$1:$E$2</definedName>
    <definedName name="_xlchart.v1.21" hidden="1">Sheet2!$F$1:$F$2</definedName>
    <definedName name="_xlchart.v1.22" hidden="1">Sheet2!$G$1:$G$2</definedName>
    <definedName name="_xlchart.v1.23" hidden="1">Sheet2!$G$8:$G$12</definedName>
    <definedName name="_xlchart.v1.24" hidden="1">Sheet2!$H$1:$H$2</definedName>
    <definedName name="_xlchart.v1.25" hidden="1">Sheet2!$H$8:$H$12</definedName>
    <definedName name="_xlchart.v1.26" hidden="1">Sheet2!$I$1:$I$2</definedName>
    <definedName name="_xlchart.v1.27" hidden="1">Sheet2!$I$8:$I$12</definedName>
    <definedName name="_xlchart.v1.28" hidden="1">Sheet2!$G$13:$G$17</definedName>
    <definedName name="_xlchart.v1.29" hidden="1">Sheet2!$G$1:$G$2</definedName>
    <definedName name="_xlchart.v1.3" hidden="1">Sheet2!$H$1:$H$2</definedName>
    <definedName name="_xlchart.v1.30" hidden="1">Sheet2!$H$13:$H$17</definedName>
    <definedName name="_xlchart.v1.31" hidden="1">Sheet2!$H$1:$H$2</definedName>
    <definedName name="_xlchart.v1.32" hidden="1">Sheet2!$I$13:$I$17</definedName>
    <definedName name="_xlchart.v1.33" hidden="1">Sheet2!$I$1:$I$2</definedName>
    <definedName name="_xlchart.v1.34" hidden="1">(Sheet2!$O$4,Sheet2!$O$9:$O$10,Sheet2!$O$12,Sheet2!$O$15:$O$17)</definedName>
    <definedName name="_xlchart.v1.35" hidden="1">(Sheet2!$P$4,Sheet2!$P$9:$P$10,Sheet2!$P$12,Sheet2!$P$15:$P$17)</definedName>
    <definedName name="_xlchart.v1.36" hidden="1">(Sheet2!$Q$4,Sheet2!$Q$9:$Q$10,Sheet2!$Q$12,Sheet2!$Q$15:$Q$17)</definedName>
    <definedName name="_xlchart.v1.37" hidden="1">Sheet2!$O$1:$O$2</definedName>
    <definedName name="_xlchart.v1.38" hidden="1">Sheet2!$P$1:$P$2</definedName>
    <definedName name="_xlchart.v1.39" hidden="1">Sheet2!$Q$1:$Q$2</definedName>
    <definedName name="_xlchart.v1.4" hidden="1">Sheet2!$I$13:$I$17</definedName>
    <definedName name="_xlchart.v1.5" hidden="1">Sheet2!$I$1:$I$2</definedName>
    <definedName name="_xlchart.v1.6" hidden="1">Sheet2!$D$1:$D$2</definedName>
    <definedName name="_xlchart.v1.7" hidden="1">Sheet2!$D$3:$D$17</definedName>
    <definedName name="_xlchart.v1.8" hidden="1">Sheet2!$F$1:$F$2</definedName>
    <definedName name="_xlchart.v1.9" hidden="1">Sheet2!$F$3:$F$17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I23" i="2"/>
  <c r="G23" i="2"/>
  <c r="H22" i="2"/>
  <c r="I22" i="2"/>
  <c r="G22" i="2"/>
  <c r="G21" i="2"/>
  <c r="H21" i="2"/>
  <c r="I21" i="2"/>
  <c r="F20" i="2"/>
  <c r="D20" i="2"/>
  <c r="D19" i="2"/>
  <c r="E19" i="2"/>
  <c r="F19" i="2"/>
  <c r="G19" i="2"/>
  <c r="H19" i="2"/>
  <c r="I19" i="2"/>
  <c r="P20" i="2"/>
  <c r="O20" i="2"/>
  <c r="P19" i="2"/>
  <c r="Q19" i="2"/>
  <c r="O19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3" i="2"/>
  <c r="C17" i="2"/>
  <c r="C16" i="2"/>
  <c r="C15" i="2"/>
  <c r="C14" i="2"/>
  <c r="C13" i="2"/>
  <c r="C7" i="2"/>
  <c r="C6" i="2"/>
  <c r="C5" i="2"/>
  <c r="C4" i="2"/>
  <c r="C3" i="2"/>
  <c r="F132" i="1"/>
  <c r="F131" i="1"/>
  <c r="O130" i="1"/>
  <c r="F130" i="1"/>
  <c r="O129" i="1"/>
  <c r="F129" i="1"/>
  <c r="F128" i="1"/>
  <c r="F122" i="1"/>
  <c r="F121" i="1"/>
  <c r="F120" i="1"/>
  <c r="O119" i="1"/>
  <c r="F119" i="1"/>
  <c r="F118" i="1"/>
  <c r="M58" i="1"/>
  <c r="M59" i="1"/>
  <c r="M57" i="1"/>
  <c r="M32" i="1"/>
  <c r="M33" i="1"/>
  <c r="M31" i="1"/>
  <c r="M6" i="1"/>
  <c r="M7" i="1"/>
  <c r="M5" i="1"/>
  <c r="M90" i="1" s="1"/>
  <c r="I64" i="1"/>
  <c r="I69" i="1"/>
  <c r="K59" i="1"/>
  <c r="K58" i="1"/>
  <c r="K57" i="1"/>
  <c r="K33" i="1"/>
  <c r="K32" i="1"/>
  <c r="K31" i="1"/>
  <c r="K6" i="1"/>
  <c r="J6" i="1"/>
  <c r="K5" i="1"/>
  <c r="J5" i="1"/>
  <c r="N87" i="1"/>
  <c r="N86" i="1"/>
  <c r="O77" i="1"/>
  <c r="O72" i="1"/>
  <c r="O67" i="1"/>
  <c r="O10" i="1"/>
  <c r="O15" i="1"/>
  <c r="O20" i="1"/>
  <c r="O25" i="1"/>
  <c r="O31" i="1"/>
  <c r="O36" i="1"/>
  <c r="O41" i="1"/>
  <c r="O46" i="1"/>
  <c r="O51" i="1"/>
  <c r="O57" i="1"/>
  <c r="O62" i="1"/>
  <c r="O5" i="1"/>
  <c r="N85" i="1" s="1"/>
  <c r="N5" i="1"/>
  <c r="N81" i="1"/>
  <c r="N82" i="1"/>
  <c r="N83" i="1" s="1"/>
  <c r="N77" i="1"/>
  <c r="N72" i="1"/>
  <c r="N67" i="1"/>
  <c r="N62" i="1"/>
  <c r="N57" i="1"/>
  <c r="N51" i="1"/>
  <c r="N46" i="1"/>
  <c r="N41" i="1"/>
  <c r="N36" i="1"/>
  <c r="N31" i="1"/>
  <c r="N25" i="1"/>
  <c r="N20" i="1"/>
  <c r="N15" i="1"/>
  <c r="N10" i="1"/>
  <c r="N80" i="1"/>
  <c r="P36" i="1"/>
  <c r="P41" i="1"/>
  <c r="P51" i="1"/>
  <c r="P67" i="1"/>
  <c r="P72" i="1"/>
  <c r="P77" i="1"/>
  <c r="P10" i="1"/>
  <c r="P81" i="1" s="1"/>
  <c r="J58" i="1"/>
  <c r="J32" i="1"/>
  <c r="J59" i="1"/>
  <c r="J57" i="1"/>
  <c r="J31" i="1"/>
  <c r="J33" i="1"/>
  <c r="J7" i="1"/>
  <c r="F5" i="1"/>
  <c r="F77" i="1"/>
  <c r="F72" i="1"/>
  <c r="F67" i="1"/>
  <c r="F62" i="1"/>
  <c r="F57" i="1"/>
  <c r="F25" i="1"/>
  <c r="F20" i="1"/>
  <c r="F15" i="1"/>
  <c r="F10" i="1"/>
  <c r="I12" i="1"/>
  <c r="K7" i="1" s="1"/>
  <c r="M89" i="1" l="1"/>
</calcChain>
</file>

<file path=xl/sharedStrings.xml><?xml version="1.0" encoding="utf-8"?>
<sst xmlns="http://schemas.openxmlformats.org/spreadsheetml/2006/main" count="122" uniqueCount="49">
  <si>
    <t>Affordance Type</t>
  </si>
  <si>
    <t>Task Definition</t>
  </si>
  <si>
    <t>Affordance Goal</t>
  </si>
  <si>
    <t>Planner</t>
  </si>
  <si>
    <t>Joint Distance(rad)</t>
  </si>
  <si>
    <t>Max Affordance Goal(rad or m)</t>
  </si>
  <si>
    <t>Average Joint Distance</t>
  </si>
  <si>
    <t>Average max goal</t>
  </si>
  <si>
    <t>Planning Time(us)</t>
  </si>
  <si>
    <t>Average Planning Time(s) for SPS Succeeding cases</t>
  </si>
  <si>
    <t>SPS Failure</t>
  </si>
  <si>
    <t>CCA traj larger than DSS</t>
  </si>
  <si>
    <t>Diff between DSS and SPS joint distance for cases where SPS succeeds</t>
  </si>
  <si>
    <t>Rotation</t>
  </si>
  <si>
    <t>Pelican Case Opening</t>
  </si>
  <si>
    <t>DSS</t>
  </si>
  <si>
    <t>SPS</t>
  </si>
  <si>
    <t>CCA</t>
  </si>
  <si>
    <t>Translational</t>
  </si>
  <si>
    <t>Dufflebag Unzipping</t>
  </si>
  <si>
    <t>Screw</t>
  </si>
  <si>
    <t>Nut (Un)fastening</t>
  </si>
  <si>
    <t>SPS Failure rate</t>
  </si>
  <si>
    <t>DSS Joint Distance Sum</t>
  </si>
  <si>
    <t>Max diff between DSS and SPS JS</t>
  </si>
  <si>
    <t>CCA Joint Distance Sum</t>
  </si>
  <si>
    <t>CCA longer traj</t>
  </si>
  <si>
    <t>CCA speed over SPS</t>
  </si>
  <si>
    <t>CCA speed over DSS</t>
  </si>
  <si>
    <t>DSS Joint Distance</t>
  </si>
  <si>
    <t>DSS Max Affordance Goal(rad or m)</t>
  </si>
  <si>
    <t>DSS Planning Time (us)</t>
  </si>
  <si>
    <t>SPS J Dist</t>
  </si>
  <si>
    <t>SPS Max Aff</t>
  </si>
  <si>
    <t>SPS Planning Time</t>
  </si>
  <si>
    <t>CCA J Dist</t>
  </si>
  <si>
    <t>CCA Max Aff</t>
  </si>
  <si>
    <t>CCA Planning Time</t>
  </si>
  <si>
    <t>Joint Distance</t>
  </si>
  <si>
    <t>Max Affordance</t>
  </si>
  <si>
    <t>SPS successes(1)</t>
  </si>
  <si>
    <t>Planning Time(s)</t>
  </si>
  <si>
    <t>CCA Joint Limit and Col. Check</t>
  </si>
  <si>
    <t>Averages for SPS Succeeding Cases</t>
  </si>
  <si>
    <t>Faster by</t>
  </si>
  <si>
    <t>Averages overall</t>
  </si>
  <si>
    <t>Pelican Opening Max Goal Average</t>
  </si>
  <si>
    <t>Dufflebag Unzipping Max Goal Average</t>
  </si>
  <si>
    <t>Nut Unfastening Max Goal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</si>
</sst>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1" fontId="0" fillId="0" borderId="0" xfId="0" applyNumberFormat="1" applyAlignment="1">
      <alignment vertical="center" inden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1" fontId="0" fillId="2" borderId="0" xfId="0" applyNumberFormat="1" applyFill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wrapText="1"/>
    </xf>
    <xf numFmtId="2" fontId="0" fillId="2" borderId="0" xfId="0" applyNumberForma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Joint Distance, Max Affordance Goal, and Planning Time for Comparison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0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A9-4642-8C66-6574031D8AB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8-E3A9-4642-8C66-6574031D8AB9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21-410F-B10C-5D643AEE1B94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259-4574-9A42-30675FB8960C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A9-4642-8C66-6574031D8AB9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B-2BC6-4D1E-BBBD-8556A8A223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0-602D-4BBB-8A98-FEC729AD8CD1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F-2BC6-4D1E-BBBD-8556A8A2230D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A9-4642-8C66-6574031D8AB9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3-2BC6-4D1E-BBBD-8556A8A2230D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9-E259-4574-9A42-30675FB8960C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B-E259-4574-9A42-30675FB8960C}"/>
              </c:ext>
            </c:extLst>
          </c:dPt>
          <c:dPt>
            <c:idx val="20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9-2BC6-4D1E-BBBD-8556A8A2230D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B-2BC6-4D1E-BBBD-8556A8A2230D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D-2BC6-4D1E-BBBD-8556A8A2230D}"/>
              </c:ext>
            </c:extLst>
          </c:dPt>
          <c:dPt>
            <c:idx val="26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F-DD24-474D-8B5E-AED8A159388D}"/>
              </c:ext>
            </c:extLst>
          </c:dPt>
          <c:dPt>
            <c:idx val="28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F-E259-4574-9A42-30675FB8960C}"/>
              </c:ext>
            </c:extLst>
          </c:dPt>
          <c:dPt>
            <c:idx val="31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3-DD24-474D-8B5E-AED8A159388D}"/>
              </c:ext>
            </c:extLst>
          </c:dPt>
          <c:dPt>
            <c:idx val="32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5-DD24-474D-8B5E-AED8A159388D}"/>
              </c:ext>
            </c:extLst>
          </c:dPt>
          <c:dPt>
            <c:idx val="33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B-F8B9-4966-AD74-2A104305D1A3}"/>
              </c:ext>
            </c:extLst>
          </c:dPt>
          <c:dPt>
            <c:idx val="36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9-DD24-474D-8B5E-AED8A159388D}"/>
              </c:ext>
            </c:extLst>
          </c:dPt>
          <c:dPt>
            <c:idx val="37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B-DD24-474D-8B5E-AED8A159388D}"/>
              </c:ext>
            </c:extLst>
          </c:dPt>
          <c:dPt>
            <c:idx val="38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B-E259-4574-9A42-30675FB8960C}"/>
              </c:ext>
            </c:extLst>
          </c:dPt>
          <c:dPt>
            <c:idx val="41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F-DD24-474D-8B5E-AED8A159388D}"/>
              </c:ext>
            </c:extLst>
          </c:dPt>
          <c:dPt>
            <c:idx val="43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F-2BC6-4D1E-BBBD-8556A8A2230D}"/>
              </c:ext>
            </c:extLst>
          </c:dPt>
          <c:dPt>
            <c:idx val="46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3-DD24-474D-8B5E-AED8A159388D}"/>
              </c:ext>
            </c:extLst>
          </c:dPt>
          <c:dPt>
            <c:idx val="47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5-DD24-474D-8B5E-AED8A159388D}"/>
              </c:ext>
            </c:extLst>
          </c:dPt>
          <c:dPt>
            <c:idx val="48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3-2BC6-4D1E-BBBD-8556A8A2230D}"/>
              </c:ext>
            </c:extLst>
          </c:dPt>
          <c:cat>
            <c:strRef>
              <c:f>(Sheet1!$E$5:$E$80,Sheet1!$F$5:$F$80)</c:f>
              <c:strCache>
                <c:ptCount val="149"/>
                <c:pt idx="0">
                  <c:v>Pelican Case Opening</c:v>
                </c:pt>
                <c:pt idx="26">
                  <c:v>Dufflebag Unzipping</c:v>
                </c:pt>
                <c:pt idx="52">
                  <c:v>Nut (Un)fastening</c:v>
                </c:pt>
                <c:pt idx="76">
                  <c:v>36</c:v>
                </c:pt>
                <c:pt idx="81">
                  <c:v>45</c:v>
                </c:pt>
                <c:pt idx="86">
                  <c:v>48</c:v>
                </c:pt>
                <c:pt idx="91">
                  <c:v>26</c:v>
                </c:pt>
                <c:pt idx="96">
                  <c:v>40</c:v>
                </c:pt>
                <c:pt idx="102">
                  <c:v>0.15</c:v>
                </c:pt>
                <c:pt idx="107">
                  <c:v>0.30</c:v>
                </c:pt>
                <c:pt idx="112">
                  <c:v>0.30</c:v>
                </c:pt>
                <c:pt idx="117">
                  <c:v>0.30</c:v>
                </c:pt>
                <c:pt idx="122">
                  <c:v>0.20</c:v>
                </c:pt>
                <c:pt idx="128">
                  <c:v>45</c:v>
                </c:pt>
                <c:pt idx="133">
                  <c:v>45</c:v>
                </c:pt>
                <c:pt idx="138">
                  <c:v>45</c:v>
                </c:pt>
                <c:pt idx="143">
                  <c:v>45</c:v>
                </c:pt>
                <c:pt idx="148">
                  <c:v>60</c:v>
                </c:pt>
              </c:strCache>
            </c:strRef>
          </c:cat>
          <c:val>
            <c:numRef>
              <c:f>Sheet1!$H$5:$H$80</c:f>
              <c:numCache>
                <c:formatCode>General</c:formatCode>
                <c:ptCount val="76"/>
                <c:pt idx="0">
                  <c:v>2.83846</c:v>
                </c:pt>
                <c:pt idx="1">
                  <c:v>1.44215</c:v>
                </c:pt>
                <c:pt idx="2">
                  <c:v>1.0477700000000001</c:v>
                </c:pt>
                <c:pt idx="5">
                  <c:v>1.7043900000000001</c:v>
                </c:pt>
                <c:pt idx="6">
                  <c:v>1.7021999999999999</c:v>
                </c:pt>
                <c:pt idx="7">
                  <c:v>1.3629100000000001</c:v>
                </c:pt>
                <c:pt idx="10">
                  <c:v>3.9019400000000002</c:v>
                </c:pt>
                <c:pt idx="11">
                  <c:v>1.83582</c:v>
                </c:pt>
                <c:pt idx="12">
                  <c:v>1.43967</c:v>
                </c:pt>
                <c:pt idx="15">
                  <c:v>1.4413899999999999</c:v>
                </c:pt>
                <c:pt idx="16">
                  <c:v>1.15516</c:v>
                </c:pt>
                <c:pt idx="17">
                  <c:v>0.80431799999999998</c:v>
                </c:pt>
                <c:pt idx="20">
                  <c:v>2.29182</c:v>
                </c:pt>
                <c:pt idx="21">
                  <c:v>1.6437299999999999</c:v>
                </c:pt>
                <c:pt idx="22">
                  <c:v>1.2106699999999999</c:v>
                </c:pt>
                <c:pt idx="26">
                  <c:v>2.8505099999999999</c:v>
                </c:pt>
                <c:pt idx="27">
                  <c:v>0</c:v>
                </c:pt>
                <c:pt idx="28">
                  <c:v>0.33453500000000003</c:v>
                </c:pt>
                <c:pt idx="31">
                  <c:v>2.1236600000000001</c:v>
                </c:pt>
                <c:pt idx="32">
                  <c:v>2.0815199999999998</c:v>
                </c:pt>
                <c:pt idx="33">
                  <c:v>0.67907600000000001</c:v>
                </c:pt>
                <c:pt idx="36">
                  <c:v>1.6878200000000001</c:v>
                </c:pt>
                <c:pt idx="37">
                  <c:v>1.6475599999999999</c:v>
                </c:pt>
                <c:pt idx="38">
                  <c:v>1.0077499999999999</c:v>
                </c:pt>
                <c:pt idx="41">
                  <c:v>4.0281799999999999</c:v>
                </c:pt>
                <c:pt idx="42">
                  <c:v>0</c:v>
                </c:pt>
                <c:pt idx="43">
                  <c:v>1.4646399999999999</c:v>
                </c:pt>
                <c:pt idx="46">
                  <c:v>1.0765499999999999</c:v>
                </c:pt>
                <c:pt idx="47">
                  <c:v>1.04</c:v>
                </c:pt>
                <c:pt idx="48">
                  <c:v>0.72172599999999998</c:v>
                </c:pt>
                <c:pt idx="52">
                  <c:v>3.43797</c:v>
                </c:pt>
                <c:pt idx="53">
                  <c:v>1.07019</c:v>
                </c:pt>
                <c:pt idx="54">
                  <c:v>0.953152</c:v>
                </c:pt>
                <c:pt idx="57">
                  <c:v>3.3031999999999999</c:v>
                </c:pt>
                <c:pt idx="58">
                  <c:v>0</c:v>
                </c:pt>
                <c:pt idx="59">
                  <c:v>0.95394699999999999</c:v>
                </c:pt>
                <c:pt idx="62">
                  <c:v>0.97177899999999995</c:v>
                </c:pt>
                <c:pt idx="63">
                  <c:v>0.97539200000000004</c:v>
                </c:pt>
                <c:pt idx="64">
                  <c:v>0.99530399999999997</c:v>
                </c:pt>
                <c:pt idx="67">
                  <c:v>0.80662999999999996</c:v>
                </c:pt>
                <c:pt idx="68">
                  <c:v>0.82251300000000005</c:v>
                </c:pt>
                <c:pt idx="69">
                  <c:v>0.98334500000000002</c:v>
                </c:pt>
                <c:pt idx="72">
                  <c:v>1.0878399999999999</c:v>
                </c:pt>
                <c:pt idx="73">
                  <c:v>1.09941</c:v>
                </c:pt>
                <c:pt idx="74">
                  <c:v>1.31254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9-4642-8C66-6574031D8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96305927"/>
        <c:axId val="1596307975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0-BB21-410F-B10C-5D643AEE1B9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D-BB21-410F-B10C-5D643AEE1B94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BB21-410F-B10C-5D643AEE1B94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E-BB21-410F-B10C-5D643AEE1B9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21-410F-B10C-5D643AEE1B94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3-2BC6-4D1E-BBBD-8556A8A223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8-BB21-410F-B10C-5D643AEE1B94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7-2BC6-4D1E-BBBD-8556A8A2230D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21-410F-B10C-5D643AEE1B94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B-2BC6-4D1E-BBBD-8556A8A2230D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BB21-410F-B10C-5D643AEE1B94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1-BB21-410F-B10C-5D643AEE1B94}"/>
              </c:ext>
            </c:extLst>
          </c:dPt>
          <c:dPt>
            <c:idx val="20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1-2BC6-4D1E-BBBD-8556A8A2230D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3-2BC6-4D1E-BBBD-8556A8A2230D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5-2BC6-4D1E-BBBD-8556A8A2230D}"/>
              </c:ext>
            </c:extLst>
          </c:dPt>
          <c:dPt>
            <c:idx val="26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7-DD24-474D-8B5E-AED8A159388D}"/>
              </c:ext>
            </c:extLst>
          </c:dPt>
          <c:dPt>
            <c:idx val="28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4-E259-4574-9A42-30675FB8960C}"/>
              </c:ext>
            </c:extLst>
          </c:dPt>
          <c:dPt>
            <c:idx val="31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B-DD24-474D-8B5E-AED8A159388D}"/>
              </c:ext>
            </c:extLst>
          </c:dPt>
          <c:dPt>
            <c:idx val="32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D-DD24-474D-8B5E-AED8A159388D}"/>
              </c:ext>
            </c:extLst>
          </c:dPt>
          <c:dPt>
            <c:idx val="33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3-F8B9-4966-AD74-2A104305D1A3}"/>
              </c:ext>
            </c:extLst>
          </c:dPt>
          <c:dPt>
            <c:idx val="36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1-DD24-474D-8B5E-AED8A159388D}"/>
              </c:ext>
            </c:extLst>
          </c:dPt>
          <c:dPt>
            <c:idx val="37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3-DD24-474D-8B5E-AED8A159388D}"/>
              </c:ext>
            </c:extLst>
          </c:dPt>
          <c:dPt>
            <c:idx val="38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0-E259-4574-9A42-30675FB8960C}"/>
              </c:ext>
            </c:extLst>
          </c:dPt>
          <c:dPt>
            <c:idx val="41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7-DD24-474D-8B5E-AED8A159388D}"/>
              </c:ext>
            </c:extLst>
          </c:dPt>
          <c:dPt>
            <c:idx val="43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7-2BC6-4D1E-BBBD-8556A8A2230D}"/>
              </c:ext>
            </c:extLst>
          </c:dPt>
          <c:dPt>
            <c:idx val="46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B-DD24-474D-8B5E-AED8A159388D}"/>
              </c:ext>
            </c:extLst>
          </c:dPt>
          <c:dPt>
            <c:idx val="47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D-DD24-474D-8B5E-AED8A159388D}"/>
              </c:ext>
            </c:extLst>
          </c:dPt>
          <c:dPt>
            <c:idx val="48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6B-2BC6-4D1E-BBBD-8556A8A2230D}"/>
              </c:ext>
            </c:extLst>
          </c:dPt>
          <c:cat>
            <c:strRef>
              <c:f>(Sheet1!$E$5:$E$80,Sheet1!$F$5:$F$80)</c:f>
              <c:strCache>
                <c:ptCount val="149"/>
                <c:pt idx="0">
                  <c:v>Pelican Case Opening</c:v>
                </c:pt>
                <c:pt idx="26">
                  <c:v>Dufflebag Unzipping</c:v>
                </c:pt>
                <c:pt idx="52">
                  <c:v>Nut (Un)fastening</c:v>
                </c:pt>
                <c:pt idx="76">
                  <c:v>36</c:v>
                </c:pt>
                <c:pt idx="81">
                  <c:v>45</c:v>
                </c:pt>
                <c:pt idx="86">
                  <c:v>48</c:v>
                </c:pt>
                <c:pt idx="91">
                  <c:v>26</c:v>
                </c:pt>
                <c:pt idx="96">
                  <c:v>40</c:v>
                </c:pt>
                <c:pt idx="102">
                  <c:v>0.15</c:v>
                </c:pt>
                <c:pt idx="107">
                  <c:v>0.30</c:v>
                </c:pt>
                <c:pt idx="112">
                  <c:v>0.30</c:v>
                </c:pt>
                <c:pt idx="117">
                  <c:v>0.30</c:v>
                </c:pt>
                <c:pt idx="122">
                  <c:v>0.20</c:v>
                </c:pt>
                <c:pt idx="128">
                  <c:v>45</c:v>
                </c:pt>
                <c:pt idx="133">
                  <c:v>45</c:v>
                </c:pt>
                <c:pt idx="138">
                  <c:v>45</c:v>
                </c:pt>
                <c:pt idx="143">
                  <c:v>45</c:v>
                </c:pt>
                <c:pt idx="148">
                  <c:v>60</c:v>
                </c:pt>
              </c:strCache>
            </c:strRef>
          </c:cat>
          <c:val>
            <c:numRef>
              <c:f>Sheet1!$I$5:$I$80</c:f>
              <c:numCache>
                <c:formatCode>General</c:formatCode>
                <c:ptCount val="76"/>
                <c:pt idx="0">
                  <c:v>0.62831899999999996</c:v>
                </c:pt>
                <c:pt idx="1">
                  <c:v>0.508938</c:v>
                </c:pt>
                <c:pt idx="2">
                  <c:v>1.3926890000000001</c:v>
                </c:pt>
                <c:pt idx="5">
                  <c:v>0.78539800000000004</c:v>
                </c:pt>
                <c:pt idx="6">
                  <c:v>0.83252199999999998</c:v>
                </c:pt>
                <c:pt idx="7">
                  <c:v>1.5707963267948966</c:v>
                </c:pt>
                <c:pt idx="10">
                  <c:v>0.837758</c:v>
                </c:pt>
                <c:pt idx="11">
                  <c:v>0.75398200000000004</c:v>
                </c:pt>
                <c:pt idx="12">
                  <c:v>1.53</c:v>
                </c:pt>
                <c:pt idx="15">
                  <c:v>0.448799</c:v>
                </c:pt>
                <c:pt idx="16">
                  <c:v>0.42187000000000002</c:v>
                </c:pt>
                <c:pt idx="17">
                  <c:v>1.1520379999999999</c:v>
                </c:pt>
                <c:pt idx="20">
                  <c:v>0.69813199999999997</c:v>
                </c:pt>
                <c:pt idx="21">
                  <c:v>0.64926300000000003</c:v>
                </c:pt>
                <c:pt idx="22">
                  <c:v>1.2183189999999999</c:v>
                </c:pt>
                <c:pt idx="26">
                  <c:v>0.15</c:v>
                </c:pt>
                <c:pt idx="27">
                  <c:v>0</c:v>
                </c:pt>
                <c:pt idx="28">
                  <c:v>0.23</c:v>
                </c:pt>
                <c:pt idx="31">
                  <c:v>0.3</c:v>
                </c:pt>
                <c:pt idx="32">
                  <c:v>0.36</c:v>
                </c:pt>
                <c:pt idx="33">
                  <c:v>0.43890699999999999</c:v>
                </c:pt>
                <c:pt idx="36">
                  <c:v>0.3</c:v>
                </c:pt>
                <c:pt idx="37">
                  <c:v>0.3</c:v>
                </c:pt>
                <c:pt idx="38">
                  <c:v>0.43889699999999998</c:v>
                </c:pt>
                <c:pt idx="41">
                  <c:v>0.3</c:v>
                </c:pt>
                <c:pt idx="42">
                  <c:v>0</c:v>
                </c:pt>
                <c:pt idx="43">
                  <c:v>0.78</c:v>
                </c:pt>
                <c:pt idx="46">
                  <c:v>0.2</c:v>
                </c:pt>
                <c:pt idx="47">
                  <c:v>0.27500000000000002</c:v>
                </c:pt>
                <c:pt idx="48">
                  <c:v>0.32</c:v>
                </c:pt>
                <c:pt idx="52">
                  <c:v>0.78539800000000004</c:v>
                </c:pt>
                <c:pt idx="53">
                  <c:v>0.62831800000000004</c:v>
                </c:pt>
                <c:pt idx="54">
                  <c:v>2.6428880000000001</c:v>
                </c:pt>
                <c:pt idx="57">
                  <c:v>0.78539800000000004</c:v>
                </c:pt>
                <c:pt idx="58">
                  <c:v>0</c:v>
                </c:pt>
                <c:pt idx="59">
                  <c:v>6.2831853071795862</c:v>
                </c:pt>
                <c:pt idx="62">
                  <c:v>0.78539800000000004</c:v>
                </c:pt>
                <c:pt idx="63">
                  <c:v>2.6389399999999998</c:v>
                </c:pt>
                <c:pt idx="64">
                  <c:v>6.2831853071795862</c:v>
                </c:pt>
                <c:pt idx="67">
                  <c:v>0.78539800000000004</c:v>
                </c:pt>
                <c:pt idx="68">
                  <c:v>0.94247800000000004</c:v>
                </c:pt>
                <c:pt idx="69">
                  <c:v>1.2456320000000001</c:v>
                </c:pt>
                <c:pt idx="72">
                  <c:v>1.0471999999999999</c:v>
                </c:pt>
                <c:pt idx="73">
                  <c:v>1.3194699999999999</c:v>
                </c:pt>
                <c:pt idx="74">
                  <c:v>1.8612759999999999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D-4BBB-8A98-FEC729AD8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49653000"/>
        <c:axId val="1149645832"/>
      </c:barChart>
      <c:catAx>
        <c:axId val="159630592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596307975"/>
        <c:crosses val="autoZero"/>
        <c:auto val="1"/>
        <c:lblAlgn val="ctr"/>
        <c:lblOffset val="100"/>
        <c:noMultiLvlLbl val="0"/>
      </c:catAx>
      <c:valAx>
        <c:axId val="159630797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Joint distance, 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05927"/>
        <c:crosses val="autoZero"/>
        <c:crossBetween val="between"/>
      </c:valAx>
      <c:valAx>
        <c:axId val="1149645832"/>
        <c:scaling>
          <c:orientation val="minMax"/>
          <c:max val="1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Affordance Goal (rad or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53000"/>
        <c:crosses val="max"/>
        <c:crossBetween val="between"/>
      </c:valAx>
      <c:catAx>
        <c:axId val="1149653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Description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45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</cx:chartData>
  <cx:chart>
    <cx:title pos="t" align="ctr" overlay="0">
      <cx:tx>
        <cx:txData>
          <cx:v>Comparison Experiment Joint Distances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Comparison Experiment Joint Distances</a:t>
          </a:r>
        </a:p>
      </cx:txPr>
    </cx:title>
    <cx:plotArea>
      <cx:plotAreaRegion>
        <cx:series layoutId="boxWhisker" uniqueId="{0382D671-78FD-499B-9B8E-2C80B1D2CC9E}" formatIdx="0">
          <cx:tx>
            <cx:txData>
              <cx:f>_xlchart.v1.6</cx:f>
              <cx:v>Joint Distance 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>
            <cx:visibility seriesName="0" categoryName="0" value="1"/>
            <cx:separator>, </cx:separator>
            <cx:dataLabel idx="0">
              <cx:visibility seriesName="0" categoryName="0" value="0"/>
              <cx:separator>, </cx:separator>
            </cx:dataLabel>
            <cx:dataLabel idx="14">
              <cx:visibility seriesName="0" categoryName="0" value="0"/>
              <cx:separator>, </cx:separator>
            </cx:dataLabel>
            <cx:dataLabel idx="15">
              <cx:visibility seriesName="0" categoryName="0" value="0"/>
              <cx:separator>, </cx:separator>
            </cx:dataLabel>
            <cx:dataLabel idx="16">
              <cx:visibility seriesName="0" categoryName="0" value="0"/>
              <cx:separator>, </cx:separator>
            </cx:dataLabel>
            <cx:dataLabel idx="17">
              <cx:visibility seriesName="0" categoryName="0" value="0"/>
              <cx:separator>, </cx:separator>
            </cx:dataLabel>
            <cx:dataLabel idx="18" pos="t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2.24</a:t>
                  </a:r>
                </a:p>
              </cx:txPr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1FE5B4C-0176-4646-877C-B1499D99DF0C}" formatIdx="1">
          <cx:tx>
            <cx:txData>
              <cx:f>_xlchart.v1.8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14">
              <cx:visibility seriesName="0" categoryName="0" value="0"/>
              <cx:separator>, </cx:separator>
            </cx:dataLabel>
            <cx:dataLabel idx="15">
              <cx:visibility seriesName="0" categoryName="0" value="0"/>
              <cx:separator>, </cx:separator>
            </cx:dataLabel>
            <cx:dataLabel idx="16">
              <cx:visibility seriesName="0" categoryName="0" value="0"/>
              <cx:separator>, </cx:separator>
            </cx:dataLabel>
            <cx:dataLabel idx="17">
              <cx:visibility seriesName="0" categoryName="0" value="0"/>
              <cx:separator>, </cx:separator>
            </cx:dataLabel>
            <cx:dataLabel idx="18" pos="r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endParaRPr lang="en-US" sz="900" b="1" i="0" u="none" strike="noStrike" baseline="0">
                    <a:solidFill>
                      <a:schemeClr val="tx1"/>
                    </a:solidFill>
                    <a:latin typeface="Calibri" panose="020F0502020204030204"/>
                  </a:endParaRPr>
                </a:p>
              </cx:txPr>
              <cx:visibility seriesName="0" categoryName="0" value="0"/>
              <cx:separator>, </cx:separator>
            </cx:dataLabel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Joint distance, rad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Joint distance, rad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>
            <a:solidFill>
              <a:srgbClr val="000000"/>
            </a:solidFill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</cx:chartData>
  <cx:chart>
    <cx:title pos="t" align="ctr" overlay="0">
      <cx:tx>
        <cx:txData>
          <cx:v>Pelican Case Opening Experiment Max Achievable Task Goals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Pelican Case Opening Experiment Max Achievable Task Goals</a:t>
          </a:r>
        </a:p>
      </cx:txPr>
    </cx:title>
    <cx:plotArea>
      <cx:plotAreaRegion>
        <cx:series layoutId="boxWhisker" uniqueId="{EC1BFEB9-51E1-47A8-BE3D-4EFFC9C8B70A}">
          <cx:tx>
            <cx:txData>
              <cx:f>_xlchart.v1.10</cx:f>
              <cx:v>Max Affordance 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0"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0"/>
            <cx:separator>, </cx:separator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 pos="r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endParaRPr lang="en-US" sz="900" b="1" i="0" u="none" strike="noStrike" baseline="0">
                    <a:solidFill>
                      <a:schemeClr val="tx1"/>
                    </a:solidFill>
                    <a:latin typeface="Calibri" panose="020F0502020204030204"/>
                  </a:endParaRPr>
                </a:p>
              </cx:txPr>
              <cx:visibility seriesName="0" categoryName="0" value="0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08D468-86D3-41E8-9BEC-278660B9132B}">
          <cx:tx>
            <cx:txData>
              <cx:f>_xlchart.v1.12</cx:f>
              <cx:v>SPS</cx:v>
            </cx:txData>
          </cx:tx>
          <cx:spPr>
            <a:solidFill>
              <a:srgbClr val="FFC000"/>
            </a:solidFill>
            <a:ln>
              <a:solidFill>
                <a:srgbClr val="000000"/>
              </a:solidFill>
              <a:prstDash val="solid"/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27D4D88-173A-4F3A-8AD4-8854575B46C1}">
          <cx:tx>
            <cx:txData>
              <cx:f>_xlchart.v1.14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Max Achievable Task Goal, rad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Max Achievable Task Goal, rad</a:t>
              </a:r>
            </a:p>
          </cx:txPr>
        </cx:title>
        <cx:majorGridlines/>
        <cx:tickLabels/>
        <cx:numFmt formatCode="#,##0.0" sourceLinked="0"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>
            <a:solidFill>
              <a:srgbClr val="000000"/>
            </a:solidFill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_xlchart.v1.25</cx:f>
      </cx:numDim>
    </cx:data>
    <cx:data id="2">
      <cx:numDim type="val">
        <cx:f>_xlchart.v1.27</cx:f>
      </cx:numDim>
    </cx:data>
  </cx:chartData>
  <cx:chart>
    <cx:title pos="t" align="ctr" overlay="0">
      <cx:tx>
        <cx:txData>
          <cx:v>Dufflebag Unzipping Experiment Max Achievable Task Goals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Dufflebag Unzipping Experiment Max Achievable Task Goals</a:t>
          </a:r>
        </a:p>
      </cx:txPr>
    </cx:title>
    <cx:plotArea>
      <cx:plotAreaRegion>
        <cx:series layoutId="boxWhisker" uniqueId="{B19A63EC-BAB7-4A72-B18D-571D74514894}">
          <cx:tx>
            <cx:txData>
              <cx:f>_xlchart.v1.22</cx:f>
              <cx:v>Max Affordance 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 pos="b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0.25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712CB83-935D-41BD-A894-992E04E28509}">
          <cx:tx>
            <cx:txData>
              <cx:f>_xlchart.v1.24</cx:f>
              <cx:v>SPS</cx:v>
            </cx:txData>
          </cx:tx>
          <cx:spPr>
            <a:solidFill>
              <a:srgbClr val="FFC000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 pos="b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0.19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DD982F6-513D-43A8-A1E7-2BDA03100B84}">
          <cx:tx>
            <cx:txData>
              <cx:f>_xlchart.v1.26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 pos="b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0.44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 max="0.80000000000000004"/>
        <cx:title>
          <cx:tx>
            <cx:txData>
              <cx:v>Max Achievable Task Goal, m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Max Achievable Task Goal, m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>
            <a:solidFill>
              <a:srgbClr val="000000"/>
            </a:solidFill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  <cx:data id="1">
      <cx:numDim type="val">
        <cx:f>_xlchart.v1.30</cx:f>
      </cx:numDim>
    </cx:data>
    <cx:data id="2">
      <cx:numDim type="val">
        <cx:f>_xlchart.v1.32</cx:f>
      </cx:numDim>
    </cx:data>
  </cx:chartData>
  <cx:chart>
    <cx:title pos="t" align="ctr" overlay="0">
      <cx:tx>
        <cx:txData>
          <cx:v>Nut Unfastening Experiment Max Achievable Task Goals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Nut Unfastening Experiment Max Achievable Task Goals</a:t>
          </a:r>
        </a:p>
      </cx:txPr>
    </cx:title>
    <cx:plotArea>
      <cx:plotAreaRegion>
        <cx:series layoutId="boxWhisker" uniqueId="{97FBFBD7-1F03-445F-A4D8-F2680E21D10A}">
          <cx:tx>
            <cx:txData>
              <cx:f>_xlchart.v1.29</cx:f>
              <cx:v>Max Affordance 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 pos="b">
            <cx:numFmt formatCode="#,##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0"/>
            <cx:separator>, </cx:separator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0.84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067C55C-6B6F-4F4C-9BA9-5BAA6BBFAACF}">
          <cx:tx>
            <cx:txData>
              <cx:f>_xlchart.v1.31</cx:f>
              <cx:v>SPS</cx:v>
            </cx:txData>
          </cx:tx>
          <cx:spPr>
            <a:solidFill>
              <a:srgbClr val="FFC000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 pos="t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1.11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75F04B9-C3D8-46D8-B136-BE996120F14C}">
          <cx:tx>
            <cx:txData>
              <cx:f>_xlchart.v1.33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Labels pos="t">
            <cx:numFmt formatCode="#,##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/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3.66</a:t>
                  </a:r>
                </a:p>
              </cx:txPr>
            </cx:dataLabel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Max Achievable Task Goal, rad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Max Achievable Task Goal, rad</a:t>
              </a:r>
            </a:p>
          </cx:txPr>
        </cx:title>
        <cx:majorGridlines/>
        <cx:tickLabels/>
        <cx:numFmt formatCode="#,##0.0" sourceLinked="0"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>
            <a:solidFill>
              <a:srgbClr val="000000"/>
            </a:solidFill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  <cx:data id="1">
      <cx:numDim type="val">
        <cx:f>_xlchart.v1.35</cx:f>
      </cx:numDim>
    </cx:data>
    <cx:data id="2">
      <cx:numDim type="val">
        <cx:f>_xlchart.v1.36</cx:f>
      </cx:numDim>
    </cx:data>
  </cx:chartData>
  <cx:chart>
    <cx:title pos="t" align="ctr" overlay="0">
      <cx:tx>
        <cx:txData>
          <cx:v>Comparison Experiment Planning Times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Comparison Experiment Planning Times</a:t>
          </a:r>
        </a:p>
      </cx:txPr>
    </cx:title>
    <cx:plotArea>
      <cx:plotAreaRegion>
        <cx:series layoutId="boxWhisker" uniqueId="{D8E0D4C5-9E37-468F-AE6B-783E640DA5DB}">
          <cx:tx>
            <cx:txData>
              <cx:f>_xlchart.v1.37</cx:f>
              <cx:v>Planning Time(s) 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>
            <cx:numFmt formatCode="#,##0.0000" sourceLinked="0"/>
            <cx:visibility seriesName="0" categoryName="0" value="0"/>
            <cx:separator>, </cx:separator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b">
              <cx:numFmt formatCode="#,##0.00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ln>
                        <a:noFill/>
                      </a:ln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ln>
                        <a:noFill/>
                      </a:ln>
                      <a:solidFill>
                        <a:schemeClr val="tx1"/>
                      </a:solidFill>
                      <a:latin typeface="Calibri" panose="020F0502020204030204"/>
                    </a:rPr>
                    <a:t>0.0917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9F016F99-8005-491B-AC8B-77E8067B3D4D}">
          <cx:tx>
            <cx:txData>
              <cx:f>_xlchart.v1.38</cx:f>
              <cx:v>SPS</cx:v>
            </cx:txData>
          </cx:tx>
          <cx:spPr>
            <a:solidFill>
              <a:srgbClr val="FFC000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t">
              <cx:numFmt formatCode="#,##0.00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ln>
                        <a:noFill/>
                      </a:ln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ln>
                        <a:noFill/>
                      </a:ln>
                      <a:solidFill>
                        <a:schemeClr val="tx1"/>
                      </a:solidFill>
                      <a:latin typeface="Calibri" panose="020F0502020204030204"/>
                    </a:rPr>
                    <a:t>0.0345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152E4A2-BA39-4218-B43E-D0DC6449AC31}">
          <cx:tx>
            <cx:txData>
              <cx:f>_xlchart.v1.39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0"/>
            <cx:separator>, </cx:separator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l">
              <cx:numFmt formatCode="#,##0.00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endParaRPr lang="en-US" sz="900" b="1" i="0" u="none" strike="noStrike" baseline="0">
                    <a:solidFill>
                      <a:schemeClr val="tx1"/>
                    </a:solidFill>
                    <a:latin typeface="Calibri" panose="020F0502020204030204"/>
                  </a:endParaRPr>
                </a:p>
              </cx:txPr>
              <cx:visibility seriesName="0" categoryName="0" value="0"/>
              <cx:separator>
</cx:separator>
            </cx:dataLabel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Planning time, s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Planning time, 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>
            <a:solidFill>
              <a:srgbClr val="000000"/>
            </a:solidFill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  <cx:data id="1">
      <cx:numDim type="val">
        <cx:f>_xlchart.v1.17</cx:f>
      </cx:numDim>
    </cx:data>
    <cx:data id="2">
      <cx:numDim type="val">
        <cx:f>_xlchart.v1.18</cx:f>
      </cx:numDim>
    </cx:data>
  </cx:chartData>
  <cx:chart>
    <cx:title pos="t" align="ctr" overlay="0">
      <cx:tx>
        <cx:txData>
          <cx:v>Comparison Experiment Joint Distances where SPS Succeeded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Comparison Experiment Joint Distances where SPS Succeeded</a:t>
          </a:r>
        </a:p>
      </cx:txPr>
    </cx:title>
    <cx:plotArea>
      <cx:plotAreaRegion>
        <cx:series layoutId="boxWhisker" uniqueId="{D6AC1890-DB70-42A1-A652-CF422DBA3013}">
          <cx:tx>
            <cx:txData>
              <cx:f>_xlchart.v1.19</cx:f>
              <cx:v>Joint Distance 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t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1.35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CA3C64A-B5BF-4FB8-AD0B-6D0879431690}">
          <cx:tx>
            <cx:txData>
              <cx:f>_xlchart.v1.20</cx:f>
              <cx:v>SPS</cx:v>
            </cx:txData>
          </cx:tx>
          <cx:spPr>
            <a:solidFill>
              <a:srgbClr val="FFC000"/>
            </a:solidFill>
            <a:ln>
              <a:solidFill>
                <a:srgbClr val="000000"/>
              </a:solidFill>
              <a:prstDash val="solid"/>
            </a:ln>
          </cx:spPr>
          <cx:dataLabels>
            <cx:numFmt formatCode="#,##0.00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0"/>
            <cx:separator>, </cx:separator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t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1.34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14A7B52-1B85-4DE5-9C17-19C6D97E0B00}">
          <cx:tx>
            <cx:txData>
              <cx:f>_xlchart.v1.21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t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1.01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Joint distance, rad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Joint distance, rad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12</xdr:row>
      <xdr:rowOff>114300</xdr:rowOff>
    </xdr:from>
    <xdr:to>
      <xdr:col>64</xdr:col>
      <xdr:colOff>447675</xdr:colOff>
      <xdr:row>100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1C6B48-D72C-6AD1-E5DA-D957CD0E4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579293</xdr:colOff>
      <xdr:row>23</xdr:row>
      <xdr:rowOff>0</xdr:rowOff>
    </xdr:from>
    <xdr:to>
      <xdr:col>12</xdr:col>
      <xdr:colOff>1694584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5E6CA0C-21FD-81D4-8C38-A93EFA5244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3566" y="4381500"/>
              <a:ext cx="454429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595993</xdr:colOff>
      <xdr:row>39</xdr:row>
      <xdr:rowOff>89807</xdr:rowOff>
    </xdr:from>
    <xdr:to>
      <xdr:col>6</xdr:col>
      <xdr:colOff>451757</xdr:colOff>
      <xdr:row>53</xdr:row>
      <xdr:rowOff>166007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56E583D-29BA-0763-D851-5F595C46FFA1}"/>
                </a:ext>
                <a:ext uri="{147F2762-F138-4A5C-976F-8EAC2B608ADB}">
                  <a16:predDERef xmlns:a16="http://schemas.microsoft.com/office/drawing/2014/main" pred="{75E6CA0C-21FD-81D4-8C38-A93EFA5244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3743" y="7519307"/>
              <a:ext cx="4591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545647</xdr:colOff>
      <xdr:row>39</xdr:row>
      <xdr:rowOff>121103</xdr:rowOff>
    </xdr:from>
    <xdr:to>
      <xdr:col>13</xdr:col>
      <xdr:colOff>232683</xdr:colOff>
      <xdr:row>54</xdr:row>
      <xdr:rowOff>6803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3">
              <a:extLst>
                <a:ext uri="{FF2B5EF4-FFF2-40B4-BE49-F238E27FC236}">
                  <a16:creationId xmlns:a16="http://schemas.microsoft.com/office/drawing/2014/main" id="{B8C6C64F-8B26-4580-9B19-9AE438F2737B}"/>
                </a:ext>
                <a:ext uri="{147F2762-F138-4A5C-976F-8EAC2B608ADB}">
                  <a16:predDERef xmlns:a16="http://schemas.microsoft.com/office/drawing/2014/main" pred="{056E583D-29BA-0763-D851-5F595C46FF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8683" y="7550603"/>
              <a:ext cx="503464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277956</xdr:colOff>
      <xdr:row>39</xdr:row>
      <xdr:rowOff>101311</xdr:rowOff>
    </xdr:from>
    <xdr:to>
      <xdr:col>20</xdr:col>
      <xdr:colOff>132484</xdr:colOff>
      <xdr:row>53</xdr:row>
      <xdr:rowOff>177511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ADBEB58-F3BB-3DA6-26D1-FA931395C082}"/>
                </a:ext>
                <a:ext uri="{147F2762-F138-4A5C-976F-8EAC2B608ADB}">
                  <a16:predDERef xmlns:a16="http://schemas.microsoft.com/office/drawing/2014/main" pred="{B8C6C64F-8B26-4580-9B19-9AE438F273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8911" y="7530811"/>
              <a:ext cx="454775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95250</xdr:colOff>
      <xdr:row>56</xdr:row>
      <xdr:rowOff>114300</xdr:rowOff>
    </xdr:from>
    <xdr:to>
      <xdr:col>12</xdr:col>
      <xdr:colOff>1219200</xdr:colOff>
      <xdr:row>71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E9F2D6F-3951-7172-6B43-2750D2E20E78}"/>
                </a:ext>
                <a:ext uri="{147F2762-F138-4A5C-976F-8EAC2B608ADB}">
                  <a16:predDERef xmlns:a16="http://schemas.microsoft.com/office/drawing/2014/main" pred="{CADBEB58-F3BB-3DA6-26D1-FA931395C0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400" y="10782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619125</xdr:colOff>
      <xdr:row>23</xdr:row>
      <xdr:rowOff>19050</xdr:rowOff>
    </xdr:from>
    <xdr:to>
      <xdr:col>6</xdr:col>
      <xdr:colOff>466725</xdr:colOff>
      <xdr:row>37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9C0C7B74-753E-3B29-EDFD-F674DEAEE2D7}"/>
                </a:ext>
                <a:ext uri="{147F2762-F138-4A5C-976F-8EAC2B608ADB}">
                  <a16:predDERef xmlns:a16="http://schemas.microsoft.com/office/drawing/2014/main" pred="{8E9F2D6F-3951-7172-6B43-2750D2E20E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875" y="4400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98257</xdr:colOff>
      <xdr:row>67</xdr:row>
      <xdr:rowOff>19137</xdr:rowOff>
    </xdr:from>
    <xdr:to>
      <xdr:col>12</xdr:col>
      <xdr:colOff>792599</xdr:colOff>
      <xdr:row>68</xdr:row>
      <xdr:rowOff>61112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D6FDDD3-FDFD-8A8D-650A-EC558CBC3313}"/>
            </a:ext>
          </a:extLst>
        </xdr:cNvPr>
        <xdr:cNvSpPr txBox="1"/>
      </xdr:nvSpPr>
      <xdr:spPr>
        <a:xfrm>
          <a:off x="9318457" y="12782637"/>
          <a:ext cx="694342" cy="23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0.0081</a:t>
          </a:r>
        </a:p>
      </xdr:txBody>
    </xdr:sp>
    <xdr:clientData/>
  </xdr:twoCellAnchor>
  <xdr:twoCellAnchor>
    <xdr:from>
      <xdr:col>12</xdr:col>
      <xdr:colOff>175097</xdr:colOff>
      <xdr:row>31</xdr:row>
      <xdr:rowOff>117230</xdr:rowOff>
    </xdr:from>
    <xdr:to>
      <xdr:col>12</xdr:col>
      <xdr:colOff>878098</xdr:colOff>
      <xdr:row>32</xdr:row>
      <xdr:rowOff>159205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7E28F60-B9CB-4567-B80D-E154D4930FB9}"/>
            </a:ext>
          </a:extLst>
        </xdr:cNvPr>
        <xdr:cNvSpPr txBox="1"/>
      </xdr:nvSpPr>
      <xdr:spPr>
        <a:xfrm>
          <a:off x="9401923" y="6022730"/>
          <a:ext cx="703001" cy="23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1.02</a:t>
          </a:r>
        </a:p>
      </xdr:txBody>
    </xdr:sp>
    <xdr:clientData/>
  </xdr:twoCellAnchor>
  <xdr:twoCellAnchor>
    <xdr:from>
      <xdr:col>2</xdr:col>
      <xdr:colOff>629398</xdr:colOff>
      <xdr:row>47</xdr:row>
      <xdr:rowOff>31505</xdr:rowOff>
    </xdr:from>
    <xdr:to>
      <xdr:col>3</xdr:col>
      <xdr:colOff>303699</xdr:colOff>
      <xdr:row>48</xdr:row>
      <xdr:rowOff>73480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7697048-704A-454D-9AE3-3CA3A8971EF5}"/>
            </a:ext>
          </a:extLst>
        </xdr:cNvPr>
        <xdr:cNvSpPr txBox="1"/>
      </xdr:nvSpPr>
      <xdr:spPr>
        <a:xfrm>
          <a:off x="3010648" y="8985005"/>
          <a:ext cx="703001" cy="23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0.68</a:t>
          </a:r>
        </a:p>
      </xdr:txBody>
    </xdr:sp>
    <xdr:clientData/>
  </xdr:twoCellAnchor>
  <xdr:twoCellAnchor>
    <xdr:from>
      <xdr:col>3</xdr:col>
      <xdr:colOff>1099079</xdr:colOff>
      <xdr:row>47</xdr:row>
      <xdr:rowOff>57781</xdr:rowOff>
    </xdr:from>
    <xdr:to>
      <xdr:col>5</xdr:col>
      <xdr:colOff>63932</xdr:colOff>
      <xdr:row>48</xdr:row>
      <xdr:rowOff>99756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B88C3B8-58E6-46D2-B2D2-A8A9A6002A61}"/>
            </a:ext>
          </a:extLst>
        </xdr:cNvPr>
        <xdr:cNvSpPr txBox="1"/>
      </xdr:nvSpPr>
      <xdr:spPr>
        <a:xfrm>
          <a:off x="4514941" y="9011281"/>
          <a:ext cx="705629" cy="23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0.63</a:t>
          </a:r>
        </a:p>
      </xdr:txBody>
    </xdr:sp>
    <xdr:clientData/>
  </xdr:twoCellAnchor>
  <xdr:twoCellAnchor>
    <xdr:from>
      <xdr:col>4</xdr:col>
      <xdr:colOff>594583</xdr:colOff>
      <xdr:row>44</xdr:row>
      <xdr:rowOff>118215</xdr:rowOff>
    </xdr:from>
    <xdr:to>
      <xdr:col>6</xdr:col>
      <xdr:colOff>84953</xdr:colOff>
      <xdr:row>45</xdr:row>
      <xdr:rowOff>160190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EB92A22-3356-48D3-A07E-95E9C72B2839}"/>
            </a:ext>
          </a:extLst>
        </xdr:cNvPr>
        <xdr:cNvSpPr txBox="1"/>
      </xdr:nvSpPr>
      <xdr:spPr>
        <a:xfrm>
          <a:off x="5153445" y="8500215"/>
          <a:ext cx="705629" cy="23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1.37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P132"/>
  <sheetViews>
    <sheetView topLeftCell="A94" workbookViewId="0">
      <selection activeCell="K132" sqref="K132"/>
    </sheetView>
  </sheetViews>
  <sheetFormatPr defaultRowHeight="15" x14ac:dyDescent="0.25"/>
  <cols>
    <col min="1" max="3" width="9.140625" style="1"/>
    <col min="4" max="4" width="15.7109375" style="1" bestFit="1" customWidth="1"/>
    <col min="5" max="5" width="20" style="1" bestFit="1" customWidth="1"/>
    <col min="6" max="6" width="15.42578125" style="5" bestFit="1" customWidth="1"/>
    <col min="7" max="7" width="7.85546875" style="1" bestFit="1" customWidth="1"/>
    <col min="8" max="8" width="17.7109375" style="1" bestFit="1" customWidth="1"/>
    <col min="9" max="9" width="28.85546875" style="1" bestFit="1" customWidth="1"/>
    <col min="10" max="10" width="21.140625" style="5" bestFit="1" customWidth="1"/>
    <col min="11" max="11" width="21.140625" style="5" customWidth="1"/>
    <col min="12" max="12" width="22.42578125" style="1" bestFit="1" customWidth="1"/>
    <col min="13" max="13" width="22.42578125" style="1" customWidth="1"/>
    <col min="14" max="14" width="28.85546875" style="1" bestFit="1" customWidth="1"/>
    <col min="15" max="15" width="28.85546875" style="1" customWidth="1"/>
    <col min="16" max="16" width="63.7109375" style="1" bestFit="1" customWidth="1"/>
    <col min="17" max="16384" width="9.140625" style="1"/>
  </cols>
  <sheetData>
    <row r="3" spans="4:16" x14ac:dyDescent="0.25">
      <c r="N3" s="1">
        <v>0.95</v>
      </c>
    </row>
    <row r="4" spans="4:16" x14ac:dyDescent="0.25">
      <c r="D4" s="1" t="s">
        <v>0</v>
      </c>
      <c r="E4" s="1" t="s">
        <v>1</v>
      </c>
      <c r="F4" s="5" t="s">
        <v>2</v>
      </c>
      <c r="G4" s="1" t="s">
        <v>3</v>
      </c>
      <c r="H4" s="1" t="s">
        <v>4</v>
      </c>
      <c r="I4" s="1" t="s">
        <v>5</v>
      </c>
      <c r="J4" s="5" t="s">
        <v>6</v>
      </c>
      <c r="K4" s="5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</row>
    <row r="5" spans="4:16" x14ac:dyDescent="0.25">
      <c r="D5" s="3" t="s">
        <v>13</v>
      </c>
      <c r="E5" s="3" t="s">
        <v>14</v>
      </c>
      <c r="F5" s="8">
        <f>0.628319*180/PI()</f>
        <v>36.000026887880374</v>
      </c>
      <c r="G5" s="1" t="s">
        <v>15</v>
      </c>
      <c r="H5" s="1">
        <v>2.83846</v>
      </c>
      <c r="I5" s="1">
        <v>0.62831899999999996</v>
      </c>
      <c r="J5" s="5">
        <f t="shared" ref="J5:K7" si="0">AVERAGE(H5,H10,H15,H20,H25)</f>
        <v>2.4356</v>
      </c>
      <c r="K5" s="5">
        <f t="shared" si="0"/>
        <v>0.6796812000000001</v>
      </c>
      <c r="L5" s="2">
        <v>157034</v>
      </c>
      <c r="M5" s="2">
        <f>L10/1000000</f>
        <v>0.11727</v>
      </c>
      <c r="N5" s="1">
        <f>IF(I6&lt;N$3*I5, 1,0)</f>
        <v>1</v>
      </c>
      <c r="O5" s="1">
        <f>IF(H7&gt;H5,1,0)</f>
        <v>0</v>
      </c>
    </row>
    <row r="6" spans="4:16" x14ac:dyDescent="0.25">
      <c r="D6" s="3"/>
      <c r="G6" s="1" t="s">
        <v>16</v>
      </c>
      <c r="H6" s="1">
        <v>1.44215</v>
      </c>
      <c r="I6" s="1">
        <v>0.508938</v>
      </c>
      <c r="J6" s="5">
        <f t="shared" si="0"/>
        <v>1.555812</v>
      </c>
      <c r="K6" s="5">
        <f t="shared" si="0"/>
        <v>0.63331500000000007</v>
      </c>
      <c r="L6" s="2">
        <v>51849</v>
      </c>
      <c r="M6" s="2">
        <f t="shared" ref="M6:M7" si="1">L11/1000000</f>
        <v>4.9279999999999997E-2</v>
      </c>
    </row>
    <row r="7" spans="4:16" x14ac:dyDescent="0.25">
      <c r="D7" s="3"/>
      <c r="E7" s="3"/>
      <c r="G7" s="1" t="s">
        <v>17</v>
      </c>
      <c r="H7" s="1">
        <v>1.0477700000000001</v>
      </c>
      <c r="I7" s="1">
        <v>1.3926890000000001</v>
      </c>
      <c r="J7" s="5">
        <f t="shared" si="0"/>
        <v>1.1730676</v>
      </c>
      <c r="K7" s="5">
        <f t="shared" si="0"/>
        <v>1.3727684653589793</v>
      </c>
      <c r="L7" s="2">
        <v>4788</v>
      </c>
      <c r="M7" s="2">
        <f t="shared" si="1"/>
        <v>5.1440000000000001E-3</v>
      </c>
    </row>
    <row r="8" spans="4:16" x14ac:dyDescent="0.25">
      <c r="D8" s="3"/>
      <c r="E8" s="3"/>
      <c r="F8" s="9"/>
      <c r="L8" s="2"/>
      <c r="M8" s="2"/>
    </row>
    <row r="9" spans="4:16" x14ac:dyDescent="0.25">
      <c r="D9" s="3"/>
      <c r="E9" s="3"/>
      <c r="F9" s="10"/>
      <c r="L9" s="2"/>
      <c r="M9" s="2"/>
    </row>
    <row r="10" spans="4:16" s="11" customFormat="1" x14ac:dyDescent="0.25">
      <c r="D10" s="12"/>
      <c r="E10" s="12"/>
      <c r="F10" s="13">
        <f>0.785398*180/PI()</f>
        <v>44.999990638015838</v>
      </c>
      <c r="G10" s="11" t="s">
        <v>15</v>
      </c>
      <c r="H10" s="11">
        <v>1.7043900000000001</v>
      </c>
      <c r="I10" s="11">
        <v>0.78539800000000004</v>
      </c>
      <c r="J10" s="14"/>
      <c r="K10" s="14"/>
      <c r="L10" s="15">
        <v>117270</v>
      </c>
      <c r="M10" s="2"/>
      <c r="N10" s="11">
        <f>IF(I11&lt;N$3*I10, 1,0)</f>
        <v>0</v>
      </c>
      <c r="O10" s="11">
        <f>IF(H12&gt;H10,1,0)</f>
        <v>0</v>
      </c>
      <c r="P10" s="11">
        <f>ABS(H11-H10)</f>
        <v>2.1900000000001363E-3</v>
      </c>
    </row>
    <row r="11" spans="4:16" x14ac:dyDescent="0.25">
      <c r="D11" s="3"/>
      <c r="E11" s="3"/>
      <c r="F11" s="8"/>
      <c r="G11" s="1" t="s">
        <v>16</v>
      </c>
      <c r="H11" s="1">
        <v>1.7021999999999999</v>
      </c>
      <c r="I11" s="1">
        <v>0.83252199999999998</v>
      </c>
      <c r="L11" s="2">
        <v>49280</v>
      </c>
      <c r="M11" s="2"/>
    </row>
    <row r="12" spans="4:16" x14ac:dyDescent="0.25">
      <c r="D12" s="3"/>
      <c r="E12" s="3"/>
      <c r="F12" s="8"/>
      <c r="G12" s="1" t="s">
        <v>17</v>
      </c>
      <c r="H12" s="1">
        <v>1.3629100000000001</v>
      </c>
      <c r="I12" s="1">
        <f>PI()/2</f>
        <v>1.5707963267948966</v>
      </c>
      <c r="L12" s="1">
        <v>5144</v>
      </c>
      <c r="M12" s="2"/>
    </row>
    <row r="13" spans="4:16" x14ac:dyDescent="0.25">
      <c r="D13" s="3"/>
      <c r="E13" s="3"/>
      <c r="F13" s="8"/>
      <c r="L13" s="2"/>
      <c r="M13" s="2"/>
    </row>
    <row r="14" spans="4:16" x14ac:dyDescent="0.25">
      <c r="D14" s="3"/>
      <c r="E14" s="3"/>
      <c r="F14" s="8"/>
      <c r="L14" s="2"/>
      <c r="M14" s="2"/>
    </row>
    <row r="15" spans="4:16" x14ac:dyDescent="0.25">
      <c r="D15" s="3"/>
      <c r="E15" s="3"/>
      <c r="F15" s="8">
        <f>0.837758*180/PI()</f>
        <v>47.999997653320818</v>
      </c>
      <c r="G15" s="1" t="s">
        <v>15</v>
      </c>
      <c r="H15" s="1">
        <v>3.9019400000000002</v>
      </c>
      <c r="I15" s="1">
        <v>0.837758</v>
      </c>
      <c r="L15" s="2">
        <v>156956</v>
      </c>
      <c r="M15" s="2"/>
      <c r="N15" s="1">
        <f>IF(I16&lt;N$3*I15, 1,0)</f>
        <v>1</v>
      </c>
      <c r="O15" s="1">
        <f>IF(H17&gt;H15,1,0)</f>
        <v>0</v>
      </c>
    </row>
    <row r="16" spans="4:16" x14ac:dyDescent="0.25">
      <c r="D16" s="3"/>
      <c r="F16" s="8"/>
      <c r="G16" s="1" t="s">
        <v>16</v>
      </c>
      <c r="H16" s="1">
        <v>1.83582</v>
      </c>
      <c r="I16" s="1">
        <v>0.75398200000000004</v>
      </c>
      <c r="L16" s="2">
        <v>45038</v>
      </c>
      <c r="M16" s="2"/>
    </row>
    <row r="17" spans="4:15" x14ac:dyDescent="0.25">
      <c r="D17" s="3"/>
      <c r="E17" s="3"/>
      <c r="F17" s="8"/>
      <c r="G17" s="1" t="s">
        <v>17</v>
      </c>
      <c r="H17" s="1">
        <v>1.43967</v>
      </c>
      <c r="I17" s="1">
        <v>1.53</v>
      </c>
      <c r="L17" s="1">
        <v>5006</v>
      </c>
      <c r="M17" s="2"/>
    </row>
    <row r="18" spans="4:15" x14ac:dyDescent="0.25">
      <c r="D18" s="3"/>
      <c r="E18" s="3"/>
      <c r="F18" s="8"/>
      <c r="L18" s="2"/>
      <c r="M18" s="2"/>
    </row>
    <row r="19" spans="4:15" x14ac:dyDescent="0.25">
      <c r="D19" s="3"/>
      <c r="E19" s="3"/>
      <c r="F19" s="8"/>
      <c r="L19" s="2"/>
      <c r="M19" s="2"/>
    </row>
    <row r="20" spans="4:15" x14ac:dyDescent="0.25">
      <c r="D20" s="3"/>
      <c r="E20" s="3"/>
      <c r="F20" s="8">
        <f>0.448799*180/PI()</f>
        <v>25.714288549691837</v>
      </c>
      <c r="G20" s="1" t="s">
        <v>15</v>
      </c>
      <c r="H20" s="1">
        <v>1.4413899999999999</v>
      </c>
      <c r="I20" s="1">
        <v>0.448799</v>
      </c>
      <c r="L20" s="2">
        <v>94078</v>
      </c>
      <c r="M20" s="2"/>
      <c r="N20" s="1">
        <f>IF(I21&lt;N$3*I20, 1,0)</f>
        <v>1</v>
      </c>
      <c r="O20" s="1">
        <f>IF(H22&gt;H20,1,0)</f>
        <v>0</v>
      </c>
    </row>
    <row r="21" spans="4:15" x14ac:dyDescent="0.25">
      <c r="D21" s="3"/>
      <c r="E21" s="3"/>
      <c r="F21" s="8"/>
      <c r="G21" s="1" t="s">
        <v>16</v>
      </c>
      <c r="H21" s="1">
        <v>1.15516</v>
      </c>
      <c r="I21" s="1">
        <v>0.42187000000000002</v>
      </c>
      <c r="L21" s="2">
        <v>52616</v>
      </c>
      <c r="M21" s="2"/>
    </row>
    <row r="22" spans="4:15" x14ac:dyDescent="0.25">
      <c r="D22" s="3"/>
      <c r="E22" s="3"/>
      <c r="F22" s="8"/>
      <c r="G22" s="1" t="s">
        <v>17</v>
      </c>
      <c r="H22" s="1">
        <v>0.80431799999999998</v>
      </c>
      <c r="I22" s="1">
        <v>1.1520379999999999</v>
      </c>
      <c r="L22" s="2">
        <v>5620</v>
      </c>
      <c r="M22" s="2"/>
    </row>
    <row r="23" spans="4:15" x14ac:dyDescent="0.25">
      <c r="D23" s="3"/>
      <c r="E23" s="3"/>
      <c r="F23" s="8"/>
      <c r="L23" s="2"/>
      <c r="M23" s="2"/>
    </row>
    <row r="24" spans="4:15" x14ac:dyDescent="0.25">
      <c r="D24" s="3"/>
      <c r="E24" s="3"/>
      <c r="F24" s="8"/>
      <c r="L24" s="2"/>
      <c r="M24" s="2"/>
    </row>
    <row r="25" spans="4:15" x14ac:dyDescent="0.25">
      <c r="D25" s="3"/>
      <c r="E25" s="3"/>
      <c r="F25" s="8">
        <f>0.698132*180/PI()</f>
        <v>40.000017143027186</v>
      </c>
      <c r="G25" s="1" t="s">
        <v>15</v>
      </c>
      <c r="H25" s="1">
        <v>2.29182</v>
      </c>
      <c r="I25" s="1">
        <v>0.69813199999999997</v>
      </c>
      <c r="L25" s="2">
        <v>157854</v>
      </c>
      <c r="M25" s="2"/>
      <c r="N25" s="1">
        <f>IF(I26&lt;N$3*I25, 1,0)</f>
        <v>1</v>
      </c>
      <c r="O25" s="1">
        <f>IF(H27&gt;H25,1,0)</f>
        <v>0</v>
      </c>
    </row>
    <row r="26" spans="4:15" x14ac:dyDescent="0.25">
      <c r="D26" s="3"/>
      <c r="E26" s="3"/>
      <c r="F26" s="8"/>
      <c r="G26" s="1" t="s">
        <v>16</v>
      </c>
      <c r="H26" s="1">
        <v>1.6437299999999999</v>
      </c>
      <c r="I26" s="1">
        <v>0.64926300000000003</v>
      </c>
      <c r="L26" s="2">
        <v>64435</v>
      </c>
      <c r="M26" s="2"/>
    </row>
    <row r="27" spans="4:15" x14ac:dyDescent="0.25">
      <c r="D27" s="3"/>
      <c r="E27" s="3"/>
      <c r="F27" s="8"/>
      <c r="G27" s="1" t="s">
        <v>17</v>
      </c>
      <c r="H27" s="1">
        <v>1.2106699999999999</v>
      </c>
      <c r="I27" s="1">
        <v>1.2183189999999999</v>
      </c>
      <c r="L27" s="1">
        <v>5143</v>
      </c>
      <c r="M27" s="2"/>
    </row>
    <row r="28" spans="4:15" x14ac:dyDescent="0.25">
      <c r="D28" s="3"/>
      <c r="E28" s="3"/>
      <c r="F28" s="7"/>
      <c r="L28" s="2"/>
      <c r="M28" s="2"/>
    </row>
    <row r="29" spans="4:15" x14ac:dyDescent="0.25">
      <c r="D29" s="4"/>
      <c r="E29" s="4"/>
      <c r="F29" s="7"/>
      <c r="L29" s="2"/>
      <c r="M29" s="2"/>
    </row>
    <row r="30" spans="4:15" x14ac:dyDescent="0.25">
      <c r="D30" s="4"/>
      <c r="E30" s="4"/>
      <c r="F30" s="7"/>
      <c r="L30" s="2"/>
      <c r="M30" s="2"/>
    </row>
    <row r="31" spans="4:15" x14ac:dyDescent="0.25">
      <c r="D31" s="3" t="s">
        <v>18</v>
      </c>
      <c r="E31" s="3" t="s">
        <v>19</v>
      </c>
      <c r="F31" s="7">
        <v>0.15</v>
      </c>
      <c r="G31" s="1" t="s">
        <v>15</v>
      </c>
      <c r="H31" s="1">
        <v>2.8505099999999999</v>
      </c>
      <c r="I31" s="1">
        <v>0.15</v>
      </c>
      <c r="J31" s="5">
        <f>AVERAGE(H31,H36,H41,H46,H51)</f>
        <v>2.3533439999999999</v>
      </c>
      <c r="K31" s="5">
        <f>AVERAGE(I31,I36,I41,I46,I51)</f>
        <v>0.25</v>
      </c>
      <c r="L31" s="1">
        <v>187370</v>
      </c>
      <c r="M31" s="2">
        <f>AVERAGE(L36+L41+L51)/1000000</f>
        <v>0.256463</v>
      </c>
      <c r="N31" s="1">
        <f>IF(I32&lt;N$3*I31, 1,0)</f>
        <v>1</v>
      </c>
      <c r="O31" s="1">
        <f>IF(H33&gt;H31,1,0)</f>
        <v>0</v>
      </c>
    </row>
    <row r="32" spans="4:15" x14ac:dyDescent="0.25">
      <c r="D32" s="3"/>
      <c r="E32" s="3"/>
      <c r="F32" s="7"/>
      <c r="G32" s="1" t="s">
        <v>16</v>
      </c>
      <c r="H32" s="1">
        <v>0</v>
      </c>
      <c r="I32" s="1">
        <v>0</v>
      </c>
      <c r="J32" s="5">
        <f>SUM(H32,H37,H42,H47,H52)/3</f>
        <v>1.5896933333333332</v>
      </c>
      <c r="K32" s="5">
        <f>SUM(I32,I37,I42,I47,I52)/3</f>
        <v>0.31166666666666665</v>
      </c>
      <c r="L32" s="1">
        <v>0</v>
      </c>
      <c r="M32" s="2">
        <f t="shared" ref="M32:M33" si="2">AVERAGE(L37+L42+L52)/1000000</f>
        <v>0.12894800000000001</v>
      </c>
    </row>
    <row r="33" spans="4:16" x14ac:dyDescent="0.25">
      <c r="D33" s="3"/>
      <c r="E33" s="3"/>
      <c r="F33" s="7"/>
      <c r="G33" s="1" t="s">
        <v>17</v>
      </c>
      <c r="H33" s="1">
        <v>0.33453500000000003</v>
      </c>
      <c r="I33" s="1">
        <v>0.23</v>
      </c>
      <c r="J33" s="5">
        <f t="shared" ref="J33:K33" si="3">AVERAGE(H33,H38,H43,H48,H53)</f>
        <v>0.8415454</v>
      </c>
      <c r="K33" s="5">
        <f t="shared" si="3"/>
        <v>0.44156079999999998</v>
      </c>
      <c r="L33" s="1">
        <v>9163</v>
      </c>
      <c r="M33" s="2">
        <f t="shared" si="2"/>
        <v>3.1843000000000003E-2</v>
      </c>
    </row>
    <row r="34" spans="4:16" x14ac:dyDescent="0.25">
      <c r="D34" s="3"/>
      <c r="E34" s="3"/>
      <c r="F34" s="7"/>
      <c r="M34" s="2"/>
    </row>
    <row r="35" spans="4:16" x14ac:dyDescent="0.25">
      <c r="D35" s="3"/>
      <c r="E35" s="3"/>
      <c r="F35" s="7"/>
      <c r="M35" s="2"/>
    </row>
    <row r="36" spans="4:16" s="11" customFormat="1" x14ac:dyDescent="0.25">
      <c r="D36" s="12"/>
      <c r="E36" s="12"/>
      <c r="F36" s="16">
        <v>0.3</v>
      </c>
      <c r="G36" s="11" t="s">
        <v>15</v>
      </c>
      <c r="H36" s="11">
        <v>2.1236600000000001</v>
      </c>
      <c r="I36" s="11">
        <v>0.3</v>
      </c>
      <c r="J36" s="14"/>
      <c r="K36" s="14"/>
      <c r="L36" s="11">
        <v>130401</v>
      </c>
      <c r="M36" s="2"/>
      <c r="N36" s="11">
        <f>IF(I37&lt;N$3*I36, 1,0)</f>
        <v>0</v>
      </c>
      <c r="O36" s="11">
        <f>IF(H38&gt;H36,1,0)</f>
        <v>0</v>
      </c>
      <c r="P36" s="11">
        <f t="shared" ref="P36:P67" si="4">ABS(H37-H36)</f>
        <v>4.2140000000000288E-2</v>
      </c>
    </row>
    <row r="37" spans="4:16" x14ac:dyDescent="0.25">
      <c r="D37" s="3"/>
      <c r="E37" s="3"/>
      <c r="F37" s="7"/>
      <c r="G37" s="1" t="s">
        <v>16</v>
      </c>
      <c r="H37" s="1">
        <v>2.0815199999999998</v>
      </c>
      <c r="I37" s="1">
        <v>0.36</v>
      </c>
      <c r="L37" s="1">
        <v>66481</v>
      </c>
      <c r="M37" s="2"/>
    </row>
    <row r="38" spans="4:16" x14ac:dyDescent="0.25">
      <c r="D38" s="3"/>
      <c r="E38" s="3"/>
      <c r="F38" s="7"/>
      <c r="G38" s="1" t="s">
        <v>17</v>
      </c>
      <c r="H38" s="1">
        <v>0.67907600000000001</v>
      </c>
      <c r="I38" s="1">
        <v>0.43890699999999999</v>
      </c>
      <c r="L38" s="1">
        <v>9341</v>
      </c>
      <c r="M38" s="2"/>
    </row>
    <row r="39" spans="4:16" x14ac:dyDescent="0.25">
      <c r="D39" s="3"/>
      <c r="E39" s="3"/>
      <c r="F39" s="7"/>
      <c r="M39" s="2"/>
    </row>
    <row r="40" spans="4:16" x14ac:dyDescent="0.25">
      <c r="D40" s="3"/>
      <c r="E40" s="3"/>
      <c r="F40" s="7"/>
      <c r="M40" s="2"/>
    </row>
    <row r="41" spans="4:16" s="11" customFormat="1" x14ac:dyDescent="0.25">
      <c r="D41" s="12"/>
      <c r="E41" s="12"/>
      <c r="F41" s="16">
        <v>0.3</v>
      </c>
      <c r="G41" s="11" t="s">
        <v>15</v>
      </c>
      <c r="H41" s="11">
        <v>1.6878200000000001</v>
      </c>
      <c r="I41" s="11">
        <v>0.3</v>
      </c>
      <c r="J41" s="14"/>
      <c r="K41" s="14"/>
      <c r="L41" s="11">
        <v>87325</v>
      </c>
      <c r="M41" s="2"/>
      <c r="N41" s="11">
        <f>IF(I42&lt;N$3*I41, 1,0)</f>
        <v>0</v>
      </c>
      <c r="O41" s="11">
        <f>IF(H43&gt;H41,1,0)</f>
        <v>0</v>
      </c>
      <c r="P41" s="11">
        <f t="shared" si="4"/>
        <v>4.0260000000000185E-2</v>
      </c>
    </row>
    <row r="42" spans="4:16" x14ac:dyDescent="0.25">
      <c r="D42" s="3"/>
      <c r="F42" s="7"/>
      <c r="G42" s="1" t="s">
        <v>16</v>
      </c>
      <c r="H42" s="1">
        <v>1.6475599999999999</v>
      </c>
      <c r="I42" s="1">
        <v>0.3</v>
      </c>
      <c r="L42" s="1">
        <v>45116</v>
      </c>
      <c r="M42" s="2"/>
    </row>
    <row r="43" spans="4:16" x14ac:dyDescent="0.25">
      <c r="D43" s="3"/>
      <c r="E43" s="3"/>
      <c r="F43" s="7"/>
      <c r="G43" s="1" t="s">
        <v>17</v>
      </c>
      <c r="H43" s="1">
        <v>1.0077499999999999</v>
      </c>
      <c r="I43" s="1">
        <v>0.43889699999999998</v>
      </c>
      <c r="L43" s="1">
        <v>7132</v>
      </c>
      <c r="M43" s="2"/>
    </row>
    <row r="44" spans="4:16" x14ac:dyDescent="0.25">
      <c r="D44" s="3"/>
      <c r="E44" s="3"/>
      <c r="F44" s="7"/>
      <c r="M44" s="2"/>
    </row>
    <row r="45" spans="4:16" x14ac:dyDescent="0.25">
      <c r="D45" s="3"/>
      <c r="E45" s="3"/>
      <c r="F45" s="7"/>
      <c r="M45" s="2"/>
    </row>
    <row r="46" spans="4:16" x14ac:dyDescent="0.25">
      <c r="D46" s="3"/>
      <c r="E46" s="3"/>
      <c r="F46" s="7">
        <v>0.3</v>
      </c>
      <c r="G46" s="1" t="s">
        <v>15</v>
      </c>
      <c r="H46" s="1">
        <v>4.0281799999999999</v>
      </c>
      <c r="I46" s="1">
        <v>0.3</v>
      </c>
      <c r="L46" s="1">
        <v>197185</v>
      </c>
      <c r="M46" s="2"/>
      <c r="N46" s="1">
        <f>IF(I47&lt;N$3*I46, 1,0)</f>
        <v>1</v>
      </c>
      <c r="O46" s="1">
        <f>IF(H48&gt;H46,1,0)</f>
        <v>0</v>
      </c>
    </row>
    <row r="47" spans="4:16" x14ac:dyDescent="0.25">
      <c r="D47" s="3"/>
      <c r="E47" s="3"/>
      <c r="F47" s="7"/>
      <c r="G47" s="1" t="s">
        <v>16</v>
      </c>
      <c r="H47" s="1">
        <v>0</v>
      </c>
      <c r="I47" s="1">
        <v>0</v>
      </c>
      <c r="L47" s="1">
        <v>0</v>
      </c>
      <c r="M47" s="2"/>
    </row>
    <row r="48" spans="4:16" x14ac:dyDescent="0.25">
      <c r="D48" s="3"/>
      <c r="E48" s="3"/>
      <c r="F48" s="7"/>
      <c r="G48" s="1" t="s">
        <v>17</v>
      </c>
      <c r="H48" s="1">
        <v>1.4646399999999999</v>
      </c>
      <c r="I48" s="1">
        <v>0.78</v>
      </c>
      <c r="L48" s="1">
        <v>12541</v>
      </c>
      <c r="M48" s="2"/>
    </row>
    <row r="49" spans="4:16" x14ac:dyDescent="0.25">
      <c r="D49" s="3"/>
      <c r="E49" s="3"/>
      <c r="F49" s="7"/>
      <c r="M49" s="2"/>
    </row>
    <row r="50" spans="4:16" x14ac:dyDescent="0.25">
      <c r="D50" s="3"/>
      <c r="E50" s="3"/>
      <c r="F50" s="7"/>
      <c r="M50" s="2"/>
    </row>
    <row r="51" spans="4:16" s="11" customFormat="1" x14ac:dyDescent="0.25">
      <c r="D51" s="12"/>
      <c r="E51" s="12"/>
      <c r="F51" s="16">
        <v>0.2</v>
      </c>
      <c r="G51" s="11" t="s">
        <v>15</v>
      </c>
      <c r="H51" s="11">
        <v>1.0765499999999999</v>
      </c>
      <c r="I51" s="11">
        <v>0.2</v>
      </c>
      <c r="J51" s="14"/>
      <c r="K51" s="14"/>
      <c r="L51" s="11">
        <v>38737</v>
      </c>
      <c r="M51" s="2"/>
      <c r="N51" s="11">
        <f>IF(I52&lt;N$3*I51, 1,0)</f>
        <v>0</v>
      </c>
      <c r="O51" s="11">
        <f>IF(H53&gt;H51,1,0)</f>
        <v>0</v>
      </c>
      <c r="P51" s="11">
        <f t="shared" si="4"/>
        <v>3.654999999999986E-2</v>
      </c>
    </row>
    <row r="52" spans="4:16" x14ac:dyDescent="0.25">
      <c r="D52" s="3"/>
      <c r="E52" s="3"/>
      <c r="F52" s="7"/>
      <c r="G52" s="1" t="s">
        <v>16</v>
      </c>
      <c r="H52" s="1">
        <v>1.04</v>
      </c>
      <c r="I52" s="1">
        <v>0.27500000000000002</v>
      </c>
      <c r="L52" s="1">
        <v>17351</v>
      </c>
      <c r="M52" s="2"/>
    </row>
    <row r="53" spans="4:16" x14ac:dyDescent="0.25">
      <c r="D53" s="3"/>
      <c r="E53" s="3"/>
      <c r="F53" s="7"/>
      <c r="G53" s="1" t="s">
        <v>17</v>
      </c>
      <c r="H53" s="1">
        <v>0.72172599999999998</v>
      </c>
      <c r="I53" s="1">
        <v>0.32</v>
      </c>
      <c r="L53" s="1">
        <v>15370</v>
      </c>
      <c r="M53" s="2"/>
    </row>
    <row r="54" spans="4:16" x14ac:dyDescent="0.25">
      <c r="D54" s="3"/>
      <c r="E54" s="3"/>
      <c r="F54" s="7"/>
      <c r="M54" s="2"/>
    </row>
    <row r="55" spans="4:16" x14ac:dyDescent="0.25">
      <c r="D55" s="4"/>
      <c r="E55" s="4"/>
      <c r="F55" s="6"/>
      <c r="M55" s="2"/>
    </row>
    <row r="56" spans="4:16" x14ac:dyDescent="0.25">
      <c r="D56" s="4"/>
      <c r="E56" s="4"/>
      <c r="F56" s="6"/>
      <c r="M56" s="2"/>
    </row>
    <row r="57" spans="4:16" x14ac:dyDescent="0.25">
      <c r="D57" s="3" t="s">
        <v>20</v>
      </c>
      <c r="E57" s="3" t="s">
        <v>21</v>
      </c>
      <c r="F57" s="8">
        <f>0.785398*180/PI()</f>
        <v>44.999990638015838</v>
      </c>
      <c r="G57" s="1" t="s">
        <v>15</v>
      </c>
      <c r="H57" s="1">
        <v>3.43797</v>
      </c>
      <c r="I57" s="1">
        <v>0.78539800000000004</v>
      </c>
      <c r="J57" s="5">
        <f>AVERAGE(H57,H62,H67,H72,H77)</f>
        <v>1.9214838000000001</v>
      </c>
      <c r="K57" s="5">
        <f>AVERAGE(I57,I62,I67,I72,I77)</f>
        <v>0.83775840000000001</v>
      </c>
      <c r="L57" s="1">
        <v>123396</v>
      </c>
      <c r="M57" s="2">
        <f>AVERAGE(L67+L72+L77)/1000000</f>
        <v>0.26783099999999999</v>
      </c>
      <c r="N57" s="1">
        <f>IF(I58&lt;N$3*I57, 1,0)</f>
        <v>1</v>
      </c>
      <c r="O57" s="1">
        <f>IF(H59&gt;H57,1,0)</f>
        <v>0</v>
      </c>
    </row>
    <row r="58" spans="4:16" x14ac:dyDescent="0.25">
      <c r="D58" s="3"/>
      <c r="E58" s="3"/>
      <c r="F58" s="8"/>
      <c r="G58" s="1" t="s">
        <v>16</v>
      </c>
      <c r="H58" s="1">
        <v>1.07019</v>
      </c>
      <c r="I58" s="1">
        <v>0.62831800000000004</v>
      </c>
      <c r="J58" s="5">
        <f>SUM(H58,H63,H68,H73,H78)/4</f>
        <v>0.99187625000000001</v>
      </c>
      <c r="K58" s="5">
        <f>SUM(I58,I63,I68,I73,I78)/4</f>
        <v>1.3823015000000001</v>
      </c>
      <c r="L58" s="1">
        <v>54149</v>
      </c>
      <c r="M58" s="2">
        <f t="shared" ref="M58:M59" si="5">AVERAGE(L68+L73+L78)/1000000</f>
        <v>6.3263E-2</v>
      </c>
    </row>
    <row r="59" spans="4:16" x14ac:dyDescent="0.25">
      <c r="D59" s="3"/>
      <c r="E59" s="3"/>
      <c r="F59" s="8"/>
      <c r="G59" s="1" t="s">
        <v>17</v>
      </c>
      <c r="H59" s="1">
        <v>0.953152</v>
      </c>
      <c r="I59" s="1">
        <v>2.6428880000000001</v>
      </c>
      <c r="J59" s="5">
        <f t="shared" ref="J59:K59" si="6">AVERAGE(H59,H64,H69,H74,H79)</f>
        <v>1.0396576</v>
      </c>
      <c r="K59" s="5">
        <f t="shared" si="6"/>
        <v>3.6632333228718346</v>
      </c>
      <c r="L59" s="1">
        <v>2201</v>
      </c>
      <c r="M59" s="2">
        <f t="shared" si="5"/>
        <v>6.8760000000000002E-3</v>
      </c>
    </row>
    <row r="60" spans="4:16" x14ac:dyDescent="0.25">
      <c r="D60" s="3"/>
      <c r="E60" s="3"/>
      <c r="F60" s="8"/>
      <c r="M60" s="2"/>
    </row>
    <row r="61" spans="4:16" x14ac:dyDescent="0.25">
      <c r="D61" s="3"/>
      <c r="E61" s="3"/>
      <c r="F61" s="8"/>
      <c r="M61" s="2"/>
    </row>
    <row r="62" spans="4:16" x14ac:dyDescent="0.25">
      <c r="D62" s="3"/>
      <c r="E62" s="3"/>
      <c r="F62" s="8">
        <f>0.785398*180/PI()</f>
        <v>44.999990638015838</v>
      </c>
      <c r="G62" s="1" t="s">
        <v>15</v>
      </c>
      <c r="H62" s="1">
        <v>3.3031999999999999</v>
      </c>
      <c r="I62" s="1">
        <v>0.78539800000000004</v>
      </c>
      <c r="L62" s="1">
        <v>125327</v>
      </c>
      <c r="M62" s="2"/>
      <c r="N62" s="1">
        <f>IF(I63&lt;N$3*I62, 1,0)</f>
        <v>1</v>
      </c>
      <c r="O62" s="1">
        <f>IF(H64&gt;H62,1,0)</f>
        <v>0</v>
      </c>
    </row>
    <row r="63" spans="4:16" x14ac:dyDescent="0.25">
      <c r="D63" s="3"/>
      <c r="E63" s="3"/>
      <c r="F63" s="8"/>
      <c r="G63" s="1" t="s">
        <v>16</v>
      </c>
      <c r="H63" s="1">
        <v>0</v>
      </c>
      <c r="I63" s="1">
        <v>0</v>
      </c>
      <c r="L63" s="1">
        <v>0</v>
      </c>
      <c r="M63" s="2"/>
    </row>
    <row r="64" spans="4:16" x14ac:dyDescent="0.25">
      <c r="D64" s="3"/>
      <c r="E64" s="3"/>
      <c r="F64" s="8"/>
      <c r="G64" s="1" t="s">
        <v>17</v>
      </c>
      <c r="H64" s="1">
        <v>0.95394699999999999</v>
      </c>
      <c r="I64" s="1">
        <f>2*PI()</f>
        <v>6.2831853071795862</v>
      </c>
      <c r="L64" s="1">
        <v>2226</v>
      </c>
      <c r="M64" s="2"/>
    </row>
    <row r="65" spans="4:16" x14ac:dyDescent="0.25">
      <c r="D65" s="3"/>
      <c r="E65" s="3"/>
      <c r="F65" s="8"/>
      <c r="M65" s="2"/>
    </row>
    <row r="66" spans="4:16" x14ac:dyDescent="0.25">
      <c r="D66" s="3"/>
      <c r="E66" s="3"/>
      <c r="F66" s="8"/>
      <c r="M66" s="2"/>
    </row>
    <row r="67" spans="4:16" s="11" customFormat="1" x14ac:dyDescent="0.25">
      <c r="D67" s="12"/>
      <c r="E67" s="12"/>
      <c r="F67" s="13">
        <f>0.785398*180/PI()</f>
        <v>44.999990638015838</v>
      </c>
      <c r="G67" s="11" t="s">
        <v>15</v>
      </c>
      <c r="H67" s="11">
        <v>0.97177899999999995</v>
      </c>
      <c r="I67" s="11">
        <v>0.78539800000000004</v>
      </c>
      <c r="J67" s="14"/>
      <c r="K67" s="14"/>
      <c r="L67" s="11">
        <v>36533</v>
      </c>
      <c r="M67" s="2"/>
      <c r="N67" s="11">
        <f>IF(I68&lt;N$3*I67, 1,0)</f>
        <v>0</v>
      </c>
      <c r="O67" s="11">
        <f>IF(H69&gt;H67,1,0)</f>
        <v>1</v>
      </c>
      <c r="P67" s="11">
        <f t="shared" si="4"/>
        <v>3.6130000000000884E-3</v>
      </c>
    </row>
    <row r="68" spans="4:16" x14ac:dyDescent="0.25">
      <c r="D68" s="3"/>
      <c r="F68" s="8"/>
      <c r="G68" s="1" t="s">
        <v>16</v>
      </c>
      <c r="H68" s="1">
        <v>0.97539200000000004</v>
      </c>
      <c r="I68" s="1">
        <v>2.6389399999999998</v>
      </c>
      <c r="L68" s="1">
        <v>14581</v>
      </c>
      <c r="M68" s="2"/>
    </row>
    <row r="69" spans="4:16" x14ac:dyDescent="0.25">
      <c r="D69" s="3"/>
      <c r="E69" s="3"/>
      <c r="F69" s="8"/>
      <c r="G69" s="1" t="s">
        <v>17</v>
      </c>
      <c r="H69" s="1">
        <v>0.99530399999999997</v>
      </c>
      <c r="I69" s="1">
        <f>2*PI()</f>
        <v>6.2831853071795862</v>
      </c>
      <c r="L69" s="1">
        <v>2289</v>
      </c>
      <c r="M69" s="2"/>
    </row>
    <row r="70" spans="4:16" x14ac:dyDescent="0.25">
      <c r="D70" s="3"/>
      <c r="E70" s="3"/>
      <c r="F70" s="8"/>
      <c r="M70" s="2"/>
    </row>
    <row r="71" spans="4:16" x14ac:dyDescent="0.25">
      <c r="D71" s="3"/>
      <c r="E71" s="3"/>
      <c r="F71" s="8"/>
      <c r="M71" s="2"/>
    </row>
    <row r="72" spans="4:16" s="11" customFormat="1" x14ac:dyDescent="0.25">
      <c r="D72" s="12"/>
      <c r="E72" s="12"/>
      <c r="F72" s="13">
        <f>0.785398*180/PI()</f>
        <v>44.999990638015838</v>
      </c>
      <c r="G72" s="11" t="s">
        <v>15</v>
      </c>
      <c r="H72" s="11">
        <v>0.80662999999999996</v>
      </c>
      <c r="I72" s="11">
        <v>0.78539800000000004</v>
      </c>
      <c r="J72" s="14"/>
      <c r="K72" s="14"/>
      <c r="L72" s="11">
        <v>119484</v>
      </c>
      <c r="M72" s="2"/>
      <c r="N72" s="11">
        <f>IF(I73&lt;N$3*I72, 1,0)</f>
        <v>0</v>
      </c>
      <c r="O72" s="11">
        <f>IF(H74&gt;H72,1,0)</f>
        <v>1</v>
      </c>
      <c r="P72" s="11">
        <f t="shared" ref="P72:P77" si="7">ABS(H73-H72)</f>
        <v>1.5883000000000091E-2</v>
      </c>
    </row>
    <row r="73" spans="4:16" x14ac:dyDescent="0.25">
      <c r="D73" s="3"/>
      <c r="E73" s="3"/>
      <c r="F73" s="8"/>
      <c r="G73" s="1" t="s">
        <v>16</v>
      </c>
      <c r="H73" s="1">
        <v>0.82251300000000005</v>
      </c>
      <c r="I73" s="1">
        <v>0.94247800000000004</v>
      </c>
      <c r="L73" s="1">
        <v>29489</v>
      </c>
      <c r="M73" s="2"/>
    </row>
    <row r="74" spans="4:16" x14ac:dyDescent="0.25">
      <c r="D74" s="3"/>
      <c r="E74" s="3"/>
      <c r="F74" s="8"/>
      <c r="G74" s="1" t="s">
        <v>17</v>
      </c>
      <c r="H74" s="1">
        <v>0.98334500000000002</v>
      </c>
      <c r="I74" s="1">
        <v>1.2456320000000001</v>
      </c>
      <c r="L74" s="1">
        <v>2309</v>
      </c>
      <c r="M74" s="2"/>
    </row>
    <row r="75" spans="4:16" x14ac:dyDescent="0.25">
      <c r="D75" s="3"/>
      <c r="E75" s="3"/>
      <c r="F75" s="8"/>
      <c r="M75" s="2"/>
    </row>
    <row r="76" spans="4:16" x14ac:dyDescent="0.25">
      <c r="D76" s="3"/>
      <c r="E76" s="3"/>
      <c r="F76" s="8"/>
      <c r="M76" s="2"/>
    </row>
    <row r="77" spans="4:16" s="11" customFormat="1" x14ac:dyDescent="0.25">
      <c r="D77" s="12"/>
      <c r="E77" s="12"/>
      <c r="F77" s="13">
        <f>1.0472*180/PI()</f>
        <v>60.000140306099802</v>
      </c>
      <c r="G77" s="11" t="s">
        <v>15</v>
      </c>
      <c r="H77" s="11">
        <v>1.0878399999999999</v>
      </c>
      <c r="I77" s="11">
        <v>1.0471999999999999</v>
      </c>
      <c r="J77" s="14"/>
      <c r="K77" s="14"/>
      <c r="L77" s="11">
        <v>111814</v>
      </c>
      <c r="M77" s="2"/>
      <c r="N77" s="11">
        <f>IF(I78&lt;N$3*I77, 1,0)</f>
        <v>0</v>
      </c>
      <c r="O77" s="11">
        <f>IF(H79&gt;H77,1,0)</f>
        <v>1</v>
      </c>
      <c r="P77" s="11">
        <f t="shared" si="7"/>
        <v>1.157000000000008E-2</v>
      </c>
    </row>
    <row r="78" spans="4:16" x14ac:dyDescent="0.25">
      <c r="D78" s="3"/>
      <c r="E78" s="3"/>
      <c r="F78" s="8"/>
      <c r="G78" s="1" t="s">
        <v>16</v>
      </c>
      <c r="H78" s="1">
        <v>1.09941</v>
      </c>
      <c r="I78" s="1">
        <v>1.3194699999999999</v>
      </c>
      <c r="L78" s="1">
        <v>19193</v>
      </c>
      <c r="M78" s="2"/>
    </row>
    <row r="79" spans="4:16" x14ac:dyDescent="0.25">
      <c r="D79" s="3"/>
      <c r="E79" s="3"/>
      <c r="F79" s="8"/>
      <c r="G79" s="1" t="s">
        <v>17</v>
      </c>
      <c r="H79" s="1">
        <v>1.31254</v>
      </c>
      <c r="I79" s="1">
        <v>1.8612759999999999</v>
      </c>
      <c r="L79" s="1">
        <v>2278</v>
      </c>
      <c r="M79" s="2"/>
    </row>
    <row r="80" spans="4:16" x14ac:dyDescent="0.25">
      <c r="E80" s="3"/>
      <c r="F80" s="7"/>
      <c r="L80" s="1" t="s">
        <v>22</v>
      </c>
      <c r="N80" s="1">
        <f>(SUM(N5:N79)/15)*100</f>
        <v>53.333333333333336</v>
      </c>
    </row>
    <row r="81" spans="12:16" x14ac:dyDescent="0.25">
      <c r="L81" s="1" t="s">
        <v>23</v>
      </c>
      <c r="N81" s="1">
        <f>SUM(H5+H10+H15+H20+H25+H31+H36+H41+H46+H51+H57+H62+H67+H72+H77)</f>
        <v>33.552138999999997</v>
      </c>
      <c r="O81" s="1" t="s">
        <v>24</v>
      </c>
      <c r="P81" s="1">
        <f>MAX(P5:P77)</f>
        <v>4.2140000000000288E-2</v>
      </c>
    </row>
    <row r="82" spans="12:16" x14ac:dyDescent="0.25">
      <c r="L82" s="1" t="s">
        <v>25</v>
      </c>
      <c r="N82" s="1">
        <f>SUM(H7+H12+H17+H22+H27+H33+H38+H43+H48+H53+H59+H64+H69+H74+H79)</f>
        <v>15.271353</v>
      </c>
    </row>
    <row r="83" spans="12:16" x14ac:dyDescent="0.25">
      <c r="N83" s="1">
        <f>(N82/N81)*100</f>
        <v>45.515288906021759</v>
      </c>
    </row>
    <row r="85" spans="12:16" x14ac:dyDescent="0.25">
      <c r="L85" s="1" t="s">
        <v>26</v>
      </c>
      <c r="N85" s="1">
        <f>(SUM(O5:O78)/15)*100</f>
        <v>20</v>
      </c>
    </row>
    <row r="86" spans="12:16" x14ac:dyDescent="0.25">
      <c r="N86" s="1">
        <f>MAX(((H69-H67)/H67)*100,((H74-H72)/H72)*100,((H79-H77)/H77)*100)</f>
        <v>21.90781399154508</v>
      </c>
    </row>
    <row r="87" spans="12:16" x14ac:dyDescent="0.25">
      <c r="N87" s="1">
        <f>((H69-H67)/H67)*100</f>
        <v>2.4208179020127023</v>
      </c>
    </row>
    <row r="89" spans="12:16" x14ac:dyDescent="0.25">
      <c r="L89" s="1" t="s">
        <v>27</v>
      </c>
      <c r="M89" s="1">
        <f>(((M6+M32+M58)/(M7+M33+M59))-1)*100</f>
        <v>450.55741741330957</v>
      </c>
    </row>
    <row r="90" spans="12:16" x14ac:dyDescent="0.25">
      <c r="L90" s="1" t="s">
        <v>28</v>
      </c>
      <c r="M90" s="1">
        <f>(((M5+M31+M57)/(M7+M33+M59))-1)*100</f>
        <v>1362.6541732211658</v>
      </c>
    </row>
    <row r="117" spans="4:16" x14ac:dyDescent="0.25">
      <c r="D117" s="1" t="s">
        <v>0</v>
      </c>
      <c r="E117" s="1" t="s">
        <v>1</v>
      </c>
      <c r="F117" s="5" t="s">
        <v>2</v>
      </c>
      <c r="H117" s="1" t="s">
        <v>29</v>
      </c>
      <c r="I117" s="1" t="s">
        <v>30</v>
      </c>
      <c r="J117" s="5" t="s">
        <v>31</v>
      </c>
      <c r="K117" s="5" t="s">
        <v>32</v>
      </c>
      <c r="L117" s="1" t="s">
        <v>33</v>
      </c>
      <c r="M117" s="1" t="s">
        <v>34</v>
      </c>
      <c r="N117" s="1" t="s">
        <v>35</v>
      </c>
      <c r="O117" s="1" t="s">
        <v>36</v>
      </c>
      <c r="P117" s="1" t="s">
        <v>37</v>
      </c>
    </row>
    <row r="118" spans="4:16" x14ac:dyDescent="0.25">
      <c r="D118" s="3" t="s">
        <v>13</v>
      </c>
      <c r="E118" s="3" t="s">
        <v>14</v>
      </c>
      <c r="F118" s="8">
        <f>0.628319*180/PI()</f>
        <v>36.000026887880374</v>
      </c>
      <c r="H118" s="1">
        <v>2.83846</v>
      </c>
      <c r="I118" s="1">
        <v>0.62831899999999996</v>
      </c>
      <c r="J118" s="2">
        <v>157034</v>
      </c>
      <c r="K118" s="1">
        <v>1.44215</v>
      </c>
      <c r="L118" s="1">
        <v>0.508938</v>
      </c>
      <c r="M118" s="2">
        <v>51849</v>
      </c>
      <c r="N118" s="1">
        <v>1.0477700000000001</v>
      </c>
      <c r="O118" s="1">
        <v>1.3926890000000001</v>
      </c>
      <c r="P118" s="2">
        <v>4788</v>
      </c>
    </row>
    <row r="119" spans="4:16" x14ac:dyDescent="0.25">
      <c r="D119" s="12"/>
      <c r="E119" s="12"/>
      <c r="F119" s="13">
        <f>0.785398*180/PI()</f>
        <v>44.999990638015838</v>
      </c>
      <c r="G119" s="11"/>
      <c r="H119" s="11">
        <v>1.7043900000000001</v>
      </c>
      <c r="I119" s="11">
        <v>0.78539800000000004</v>
      </c>
      <c r="J119" s="15">
        <v>117270</v>
      </c>
      <c r="K119" s="1">
        <v>1.7021999999999999</v>
      </c>
      <c r="L119" s="1">
        <v>0.83252199999999998</v>
      </c>
      <c r="M119" s="2">
        <v>49280</v>
      </c>
      <c r="N119" s="1">
        <v>1.3629100000000001</v>
      </c>
      <c r="O119" s="1">
        <f>PI()/2</f>
        <v>1.5707963267948966</v>
      </c>
      <c r="P119" s="1">
        <v>5144</v>
      </c>
    </row>
    <row r="120" spans="4:16" x14ac:dyDescent="0.25">
      <c r="D120" s="3"/>
      <c r="E120" s="3"/>
      <c r="F120" s="8">
        <f>0.837758*180/PI()</f>
        <v>47.999997653320818</v>
      </c>
      <c r="H120" s="1">
        <v>3.9019400000000002</v>
      </c>
      <c r="I120" s="1">
        <v>0.837758</v>
      </c>
      <c r="J120" s="2">
        <v>156956</v>
      </c>
      <c r="K120" s="1">
        <v>1.83582</v>
      </c>
      <c r="L120" s="1">
        <v>0.75398200000000004</v>
      </c>
      <c r="M120" s="2">
        <v>45038</v>
      </c>
      <c r="N120" s="1">
        <v>1.43967</v>
      </c>
      <c r="O120" s="1">
        <v>1.53</v>
      </c>
      <c r="P120" s="1">
        <v>5006</v>
      </c>
    </row>
    <row r="121" spans="4:16" x14ac:dyDescent="0.25">
      <c r="D121" s="3"/>
      <c r="E121" s="3"/>
      <c r="F121" s="8">
        <f>0.448799*180/PI()</f>
        <v>25.714288549691837</v>
      </c>
      <c r="H121" s="1">
        <v>1.4413899999999999</v>
      </c>
      <c r="I121" s="1">
        <v>0.448799</v>
      </c>
      <c r="J121" s="2">
        <v>94078</v>
      </c>
      <c r="K121" s="1">
        <v>1.15516</v>
      </c>
      <c r="L121" s="1">
        <v>0.42187000000000002</v>
      </c>
      <c r="M121" s="2">
        <v>52616</v>
      </c>
      <c r="N121" s="1">
        <v>0.80431799999999998</v>
      </c>
      <c r="O121" s="1">
        <v>1.1520379999999999</v>
      </c>
      <c r="P121" s="2">
        <v>5620</v>
      </c>
    </row>
    <row r="122" spans="4:16" x14ac:dyDescent="0.25">
      <c r="D122" s="3"/>
      <c r="E122" s="3"/>
      <c r="F122" s="8">
        <f>0.698132*180/PI()</f>
        <v>40.000017143027186</v>
      </c>
      <c r="H122" s="1">
        <v>2.29182</v>
      </c>
      <c r="I122" s="1">
        <v>0.69813199999999997</v>
      </c>
      <c r="J122" s="2">
        <v>157854</v>
      </c>
      <c r="K122" s="1">
        <v>1.6437299999999999</v>
      </c>
      <c r="L122" s="1">
        <v>0.64926300000000003</v>
      </c>
      <c r="M122" s="2">
        <v>64435</v>
      </c>
      <c r="N122" s="1">
        <v>1.2106699999999999</v>
      </c>
      <c r="O122" s="1">
        <v>1.2183189999999999</v>
      </c>
      <c r="P122" s="1">
        <v>5143</v>
      </c>
    </row>
    <row r="123" spans="4:16" x14ac:dyDescent="0.25">
      <c r="D123" s="3" t="s">
        <v>18</v>
      </c>
      <c r="E123" s="3" t="s">
        <v>19</v>
      </c>
      <c r="F123" s="7">
        <v>0.15</v>
      </c>
      <c r="H123" s="1">
        <v>2.8505099999999999</v>
      </c>
      <c r="I123" s="1">
        <v>0.15</v>
      </c>
      <c r="J123" s="1">
        <v>187370</v>
      </c>
      <c r="K123" s="1">
        <v>0</v>
      </c>
      <c r="L123" s="1">
        <v>0</v>
      </c>
      <c r="M123" s="1">
        <v>0</v>
      </c>
      <c r="N123" s="1">
        <v>0.33453500000000003</v>
      </c>
      <c r="O123" s="1">
        <v>0.23</v>
      </c>
      <c r="P123" s="1">
        <v>9163</v>
      </c>
    </row>
    <row r="124" spans="4:16" x14ac:dyDescent="0.25">
      <c r="D124" s="12"/>
      <c r="E124" s="12"/>
      <c r="F124" s="16">
        <v>0.3</v>
      </c>
      <c r="G124" s="11"/>
      <c r="H124" s="11">
        <v>2.1236600000000001</v>
      </c>
      <c r="I124" s="11">
        <v>0.3</v>
      </c>
      <c r="J124" s="11">
        <v>130401</v>
      </c>
      <c r="K124" s="1">
        <v>2.0815199999999998</v>
      </c>
      <c r="L124" s="1">
        <v>0.36</v>
      </c>
      <c r="M124" s="1">
        <v>66481</v>
      </c>
      <c r="N124" s="1">
        <v>0.67907600000000001</v>
      </c>
      <c r="O124" s="1">
        <v>0.43890699999999999</v>
      </c>
      <c r="P124" s="1">
        <v>9341</v>
      </c>
    </row>
    <row r="125" spans="4:16" x14ac:dyDescent="0.25">
      <c r="D125" s="12"/>
      <c r="E125" s="12"/>
      <c r="F125" s="16">
        <v>0.3</v>
      </c>
      <c r="G125" s="11"/>
      <c r="H125" s="11">
        <v>1.6878200000000001</v>
      </c>
      <c r="I125" s="11">
        <v>0.3</v>
      </c>
      <c r="J125" s="11">
        <v>87325</v>
      </c>
      <c r="K125" s="1">
        <v>1.6475599999999999</v>
      </c>
      <c r="L125" s="1">
        <v>0.3</v>
      </c>
      <c r="M125" s="1">
        <v>45116</v>
      </c>
      <c r="N125" s="1">
        <v>1.0077499999999999</v>
      </c>
      <c r="O125" s="1">
        <v>0.43889699999999998</v>
      </c>
      <c r="P125" s="1">
        <v>7132</v>
      </c>
    </row>
    <row r="126" spans="4:16" x14ac:dyDescent="0.25">
      <c r="D126" s="3"/>
      <c r="E126" s="3"/>
      <c r="F126" s="7">
        <v>0.3</v>
      </c>
      <c r="H126" s="1">
        <v>4.0281799999999999</v>
      </c>
      <c r="I126" s="1">
        <v>0.3</v>
      </c>
      <c r="J126" s="1">
        <v>197185</v>
      </c>
      <c r="K126" s="1">
        <v>0</v>
      </c>
      <c r="L126" s="1">
        <v>0</v>
      </c>
      <c r="M126" s="1">
        <v>0</v>
      </c>
      <c r="N126" s="1">
        <v>1.4646399999999999</v>
      </c>
      <c r="O126" s="1">
        <v>0.78</v>
      </c>
      <c r="P126" s="1">
        <v>12541</v>
      </c>
    </row>
    <row r="127" spans="4:16" x14ac:dyDescent="0.25">
      <c r="D127" s="12"/>
      <c r="E127" s="12"/>
      <c r="F127" s="16">
        <v>0.2</v>
      </c>
      <c r="G127" s="11"/>
      <c r="H127" s="11">
        <v>1.0765499999999999</v>
      </c>
      <c r="I127" s="11">
        <v>0.2</v>
      </c>
      <c r="J127" s="11">
        <v>38737</v>
      </c>
      <c r="K127" s="1">
        <v>1.04</v>
      </c>
      <c r="L127" s="1">
        <v>0.27500000000000002</v>
      </c>
      <c r="M127" s="1">
        <v>17351</v>
      </c>
      <c r="N127" s="1">
        <v>0.72172599999999998</v>
      </c>
      <c r="O127" s="1">
        <v>0.32</v>
      </c>
      <c r="P127" s="1">
        <v>15370</v>
      </c>
    </row>
    <row r="128" spans="4:16" x14ac:dyDescent="0.25">
      <c r="D128" s="3" t="s">
        <v>20</v>
      </c>
      <c r="E128" s="3" t="s">
        <v>21</v>
      </c>
      <c r="F128" s="8">
        <f>0.785398*180/PI()</f>
        <v>44.999990638015838</v>
      </c>
      <c r="H128" s="1">
        <v>3.43797</v>
      </c>
      <c r="I128" s="1">
        <v>0.78539800000000004</v>
      </c>
      <c r="J128" s="1">
        <v>123396</v>
      </c>
      <c r="K128" s="1">
        <v>1.07019</v>
      </c>
      <c r="L128" s="1">
        <v>0.62831800000000004</v>
      </c>
      <c r="M128" s="1">
        <v>54149</v>
      </c>
      <c r="N128" s="1">
        <v>0.953152</v>
      </c>
      <c r="O128" s="1">
        <v>2.6428880000000001</v>
      </c>
      <c r="P128" s="1">
        <v>2201</v>
      </c>
    </row>
    <row r="129" spans="4:16" x14ac:dyDescent="0.25">
      <c r="D129" s="3"/>
      <c r="E129" s="3"/>
      <c r="F129" s="8">
        <f>0.785398*180/PI()</f>
        <v>44.999990638015838</v>
      </c>
      <c r="H129" s="1">
        <v>3.3031999999999999</v>
      </c>
      <c r="I129" s="1">
        <v>0.78539800000000004</v>
      </c>
      <c r="J129" s="1">
        <v>125327</v>
      </c>
      <c r="K129" s="1">
        <v>0</v>
      </c>
      <c r="L129" s="1">
        <v>0</v>
      </c>
      <c r="M129" s="1">
        <v>0</v>
      </c>
      <c r="N129" s="1">
        <v>0.95394699999999999</v>
      </c>
      <c r="O129" s="1">
        <f>2*PI()</f>
        <v>6.2831853071795862</v>
      </c>
      <c r="P129" s="1">
        <v>2226</v>
      </c>
    </row>
    <row r="130" spans="4:16" x14ac:dyDescent="0.25">
      <c r="D130" s="12"/>
      <c r="E130" s="12"/>
      <c r="F130" s="13">
        <f>0.785398*180/PI()</f>
        <v>44.999990638015838</v>
      </c>
      <c r="G130" s="11"/>
      <c r="H130" s="11">
        <v>0.97177899999999995</v>
      </c>
      <c r="I130" s="11">
        <v>0.78539800000000004</v>
      </c>
      <c r="J130" s="11">
        <v>36533</v>
      </c>
      <c r="K130" s="1">
        <v>0.97539200000000004</v>
      </c>
      <c r="L130" s="1">
        <v>2.6389399999999998</v>
      </c>
      <c r="M130" s="1">
        <v>14581</v>
      </c>
      <c r="N130" s="1">
        <v>0.99530399999999997</v>
      </c>
      <c r="O130" s="1">
        <f>2*PI()</f>
        <v>6.2831853071795862</v>
      </c>
      <c r="P130" s="1">
        <v>2289</v>
      </c>
    </row>
    <row r="131" spans="4:16" x14ac:dyDescent="0.25">
      <c r="D131" s="12"/>
      <c r="E131" s="12"/>
      <c r="F131" s="13">
        <f>0.785398*180/PI()</f>
        <v>44.999990638015838</v>
      </c>
      <c r="G131" s="11"/>
      <c r="H131" s="11">
        <v>0.80662999999999996</v>
      </c>
      <c r="I131" s="11">
        <v>0.78539800000000004</v>
      </c>
      <c r="J131" s="11">
        <v>119484</v>
      </c>
      <c r="K131" s="1">
        <v>0.82251300000000005</v>
      </c>
      <c r="L131" s="1">
        <v>0.94247800000000004</v>
      </c>
      <c r="M131" s="1">
        <v>29489</v>
      </c>
      <c r="N131" s="1">
        <v>0.98334500000000002</v>
      </c>
      <c r="O131" s="1">
        <v>1.2456320000000001</v>
      </c>
      <c r="P131" s="1">
        <v>2309</v>
      </c>
    </row>
    <row r="132" spans="4:16" x14ac:dyDescent="0.25">
      <c r="D132" s="12"/>
      <c r="E132" s="12"/>
      <c r="F132" s="13">
        <f>1.0472*180/PI()</f>
        <v>60.000140306099802</v>
      </c>
      <c r="G132" s="11"/>
      <c r="H132" s="11">
        <v>1.0878399999999999</v>
      </c>
      <c r="I132" s="11">
        <v>1.0471999999999999</v>
      </c>
      <c r="J132" s="11">
        <v>111814</v>
      </c>
      <c r="K132" s="1">
        <v>1.09941</v>
      </c>
      <c r="L132" s="1">
        <v>1.3194699999999999</v>
      </c>
      <c r="M132" s="1">
        <v>19193</v>
      </c>
      <c r="N132" s="1">
        <v>1.31254</v>
      </c>
      <c r="O132" s="1">
        <v>1.8612759999999999</v>
      </c>
      <c r="P132" s="1">
        <v>2278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2DA8-AF8B-424F-9A42-3270986B77E9}">
  <dimension ref="A1:Q23"/>
  <sheetViews>
    <sheetView tabSelected="1" topLeftCell="G37" zoomScale="175" zoomScaleNormal="175" workbookViewId="0">
      <selection activeCell="N57" sqref="N57"/>
    </sheetView>
  </sheetViews>
  <sheetFormatPr defaultRowHeight="15" x14ac:dyDescent="0.25"/>
  <cols>
    <col min="1" max="1" width="15.7109375" style="4" bestFit="1" customWidth="1"/>
    <col min="2" max="2" width="20" style="4" bestFit="1" customWidth="1"/>
    <col min="3" max="3" width="15.42578125" style="4" bestFit="1" customWidth="1"/>
    <col min="4" max="4" width="17.140625" style="4" bestFit="1" customWidth="1"/>
    <col min="5" max="5" width="9" style="4" customWidth="1"/>
    <col min="6" max="6" width="9.28515625" style="4" customWidth="1"/>
    <col min="7" max="8" width="9.140625" style="4"/>
    <col min="9" max="9" width="12.5703125" style="4" bestFit="1" customWidth="1"/>
    <col min="10" max="10" width="7.7109375" style="4" bestFit="1" customWidth="1"/>
    <col min="11" max="12" width="6.5703125" style="4" bestFit="1" customWidth="1"/>
    <col min="13" max="13" width="28.42578125" style="4" bestFit="1" customWidth="1"/>
    <col min="14" max="14" width="15.7109375" style="4" bestFit="1" customWidth="1"/>
    <col min="15" max="16384" width="9.140625" style="4"/>
  </cols>
  <sheetData>
    <row r="1" spans="1:17" x14ac:dyDescent="0.25">
      <c r="A1" s="17" t="s">
        <v>0</v>
      </c>
      <c r="B1" s="17" t="s">
        <v>1</v>
      </c>
      <c r="C1" s="17" t="s">
        <v>2</v>
      </c>
      <c r="D1" s="21" t="s">
        <v>38</v>
      </c>
      <c r="E1" s="21"/>
      <c r="F1" s="21"/>
      <c r="G1" s="21" t="s">
        <v>39</v>
      </c>
      <c r="H1" s="21"/>
      <c r="I1" s="21"/>
      <c r="J1" s="21" t="s">
        <v>8</v>
      </c>
      <c r="K1" s="21"/>
      <c r="L1" s="21"/>
      <c r="M1" s="21"/>
      <c r="N1" s="20" t="s">
        <v>40</v>
      </c>
      <c r="O1" s="21" t="s">
        <v>41</v>
      </c>
      <c r="P1" s="21"/>
      <c r="Q1" s="21"/>
    </row>
    <row r="2" spans="1:17" x14ac:dyDescent="0.25">
      <c r="C2" s="6"/>
      <c r="D2" s="17" t="s">
        <v>15</v>
      </c>
      <c r="E2" s="17" t="s">
        <v>16</v>
      </c>
      <c r="F2" s="17" t="s">
        <v>17</v>
      </c>
      <c r="G2" s="17" t="s">
        <v>15</v>
      </c>
      <c r="H2" s="17" t="s">
        <v>16</v>
      </c>
      <c r="I2" s="17" t="s">
        <v>17</v>
      </c>
      <c r="J2" s="17" t="s">
        <v>15</v>
      </c>
      <c r="K2" s="17" t="s">
        <v>16</v>
      </c>
      <c r="L2" s="17" t="s">
        <v>17</v>
      </c>
      <c r="M2" s="17" t="s">
        <v>42</v>
      </c>
      <c r="O2" s="17" t="s">
        <v>15</v>
      </c>
      <c r="P2" s="17" t="s">
        <v>16</v>
      </c>
      <c r="Q2" s="17" t="s">
        <v>17</v>
      </c>
    </row>
    <row r="3" spans="1:17" x14ac:dyDescent="0.25">
      <c r="A3" s="4" t="s">
        <v>13</v>
      </c>
      <c r="B3" s="4" t="s">
        <v>14</v>
      </c>
      <c r="C3" s="6">
        <f>0.628319*180/PI()</f>
        <v>36.000026887880374</v>
      </c>
      <c r="D3" s="4">
        <v>2.83846</v>
      </c>
      <c r="E3" s="4">
        <v>1.44215</v>
      </c>
      <c r="F3" s="4">
        <v>1.0477700000000001</v>
      </c>
      <c r="G3" s="4">
        <v>0.62831899999999996</v>
      </c>
      <c r="H3" s="4">
        <v>0.508938</v>
      </c>
      <c r="I3" s="4">
        <v>1.3926890000000001</v>
      </c>
      <c r="J3" s="4">
        <v>157034</v>
      </c>
      <c r="K3" s="4">
        <v>51849</v>
      </c>
      <c r="L3" s="4">
        <v>4788</v>
      </c>
      <c r="M3" s="4">
        <v>1704</v>
      </c>
      <c r="N3" s="4">
        <f>IF(H3&lt;G3,0,1)</f>
        <v>0</v>
      </c>
      <c r="O3" s="4">
        <f>J3/1000000</f>
        <v>0.15703400000000001</v>
      </c>
      <c r="P3" s="4">
        <f t="shared" ref="P3:P17" si="0">K3/1000000</f>
        <v>5.1848999999999999E-2</v>
      </c>
      <c r="Q3" s="4">
        <f>(L3+M3)/1000000</f>
        <v>6.4920000000000004E-3</v>
      </c>
    </row>
    <row r="4" spans="1:17" s="18" customFormat="1" x14ac:dyDescent="0.25">
      <c r="C4" s="19">
        <f>0.785398*180/PI()</f>
        <v>44.999990638015838</v>
      </c>
      <c r="D4" s="18">
        <v>1.7043900000000001</v>
      </c>
      <c r="E4" s="18">
        <v>1.7021999999999999</v>
      </c>
      <c r="F4" s="18">
        <v>1.3629100000000001</v>
      </c>
      <c r="G4" s="18">
        <v>0.78539800000000004</v>
      </c>
      <c r="H4" s="18">
        <v>0.83252199999999998</v>
      </c>
      <c r="I4" s="18">
        <v>1.5707963267948966</v>
      </c>
      <c r="J4" s="18">
        <v>117270</v>
      </c>
      <c r="K4" s="18">
        <v>49280</v>
      </c>
      <c r="L4" s="18">
        <v>5144</v>
      </c>
      <c r="M4" s="18">
        <v>1747</v>
      </c>
      <c r="N4" s="18">
        <f t="shared" ref="N4:N17" si="1">IF(H4&lt;G4,0,1)</f>
        <v>1</v>
      </c>
      <c r="O4" s="18">
        <f t="shared" ref="O4:O17" si="2">J4/1000000</f>
        <v>0.11727</v>
      </c>
      <c r="P4" s="18">
        <f t="shared" si="0"/>
        <v>4.9279999999999997E-2</v>
      </c>
      <c r="Q4" s="18">
        <f>(L4+M4)/1000000</f>
        <v>6.8910000000000004E-3</v>
      </c>
    </row>
    <row r="5" spans="1:17" x14ac:dyDescent="0.25">
      <c r="C5" s="6">
        <f>0.837758*180/PI()</f>
        <v>47.999997653320818</v>
      </c>
      <c r="D5" s="4">
        <v>3.9019400000000002</v>
      </c>
      <c r="E5" s="4">
        <v>1.83582</v>
      </c>
      <c r="F5" s="4">
        <v>1.43967</v>
      </c>
      <c r="G5" s="4">
        <v>0.837758</v>
      </c>
      <c r="H5" s="4">
        <v>0.75398200000000004</v>
      </c>
      <c r="I5" s="4">
        <v>1.53</v>
      </c>
      <c r="J5" s="4">
        <v>156956</v>
      </c>
      <c r="K5" s="4">
        <v>45038</v>
      </c>
      <c r="L5" s="4">
        <v>5006</v>
      </c>
      <c r="M5" s="4">
        <v>1857</v>
      </c>
      <c r="N5" s="4">
        <f t="shared" si="1"/>
        <v>0</v>
      </c>
      <c r="O5" s="4">
        <f t="shared" si="2"/>
        <v>0.15695600000000001</v>
      </c>
      <c r="P5" s="4">
        <f t="shared" si="0"/>
        <v>4.5038000000000002E-2</v>
      </c>
      <c r="Q5" s="4">
        <f>(L5+M5)/1000000</f>
        <v>6.8630000000000002E-3</v>
      </c>
    </row>
    <row r="6" spans="1:17" x14ac:dyDescent="0.25">
      <c r="C6" s="6">
        <f>0.448799*180/PI()</f>
        <v>25.714288549691837</v>
      </c>
      <c r="D6" s="4">
        <v>1.4413899999999999</v>
      </c>
      <c r="E6" s="4">
        <v>1.15516</v>
      </c>
      <c r="F6" s="4">
        <v>0.80431799999999998</v>
      </c>
      <c r="G6" s="4">
        <v>0.448799</v>
      </c>
      <c r="H6" s="4">
        <v>0.42187000000000002</v>
      </c>
      <c r="I6" s="4">
        <v>1.1520379999999999</v>
      </c>
      <c r="J6" s="4">
        <v>94078</v>
      </c>
      <c r="K6" s="4">
        <v>52616</v>
      </c>
      <c r="L6" s="4">
        <v>5620</v>
      </c>
      <c r="M6" s="4">
        <v>1975</v>
      </c>
      <c r="N6" s="4">
        <f t="shared" si="1"/>
        <v>0</v>
      </c>
      <c r="O6" s="4">
        <f t="shared" si="2"/>
        <v>9.4077999999999995E-2</v>
      </c>
      <c r="P6" s="4">
        <f t="shared" si="0"/>
        <v>5.2616000000000003E-2</v>
      </c>
      <c r="Q6" s="4">
        <f t="shared" ref="Q6:Q17" si="3">(L6+M6)/1000000</f>
        <v>7.5950000000000002E-3</v>
      </c>
    </row>
    <row r="7" spans="1:17" x14ac:dyDescent="0.25">
      <c r="C7" s="6">
        <f>0.698132*180/PI()</f>
        <v>40.000017143027186</v>
      </c>
      <c r="D7" s="4">
        <v>2.29182</v>
      </c>
      <c r="E7" s="4">
        <v>1.6437299999999999</v>
      </c>
      <c r="F7" s="4">
        <v>1.2106699999999999</v>
      </c>
      <c r="G7" s="4">
        <v>0.69813199999999997</v>
      </c>
      <c r="H7" s="4">
        <v>0.64926300000000003</v>
      </c>
      <c r="I7" s="4">
        <v>1.2183189999999999</v>
      </c>
      <c r="J7" s="4">
        <v>157854</v>
      </c>
      <c r="K7" s="4">
        <v>64435</v>
      </c>
      <c r="L7" s="4">
        <v>5143</v>
      </c>
      <c r="M7" s="4">
        <v>1894</v>
      </c>
      <c r="N7" s="4">
        <f t="shared" si="1"/>
        <v>0</v>
      </c>
      <c r="O7" s="4">
        <f t="shared" si="2"/>
        <v>0.15785399999999999</v>
      </c>
      <c r="P7" s="4">
        <f t="shared" si="0"/>
        <v>6.4435000000000006E-2</v>
      </c>
      <c r="Q7" s="4">
        <f t="shared" si="3"/>
        <v>7.0369999999999999E-3</v>
      </c>
    </row>
    <row r="8" spans="1:17" x14ac:dyDescent="0.25">
      <c r="A8" s="4" t="s">
        <v>18</v>
      </c>
      <c r="B8" s="4" t="s">
        <v>19</v>
      </c>
      <c r="C8" s="6">
        <v>0.15</v>
      </c>
      <c r="D8" s="4">
        <v>2.8505099999999999</v>
      </c>
      <c r="E8" s="4">
        <v>0</v>
      </c>
      <c r="F8" s="4">
        <v>0.33453500000000003</v>
      </c>
      <c r="G8" s="4">
        <v>0.15</v>
      </c>
      <c r="H8" s="4">
        <v>0</v>
      </c>
      <c r="I8" s="4">
        <v>0.23</v>
      </c>
      <c r="J8" s="4">
        <v>187370</v>
      </c>
      <c r="K8" s="4">
        <v>0</v>
      </c>
      <c r="L8" s="4">
        <v>9163</v>
      </c>
      <c r="M8" s="4">
        <v>2025</v>
      </c>
      <c r="N8" s="4">
        <f t="shared" si="1"/>
        <v>0</v>
      </c>
      <c r="O8" s="4">
        <f t="shared" si="2"/>
        <v>0.18737000000000001</v>
      </c>
      <c r="P8" s="4">
        <f t="shared" si="0"/>
        <v>0</v>
      </c>
      <c r="Q8" s="4">
        <f t="shared" si="3"/>
        <v>1.1188E-2</v>
      </c>
    </row>
    <row r="9" spans="1:17" s="18" customFormat="1" x14ac:dyDescent="0.25">
      <c r="C9" s="19">
        <v>0.3</v>
      </c>
      <c r="D9" s="18">
        <v>2.1236600000000001</v>
      </c>
      <c r="E9" s="18">
        <v>2.0815199999999998</v>
      </c>
      <c r="F9" s="18">
        <v>0.67907600000000001</v>
      </c>
      <c r="G9" s="18">
        <v>0.3</v>
      </c>
      <c r="H9" s="18">
        <v>0.36</v>
      </c>
      <c r="I9" s="18">
        <v>0.43890699999999999</v>
      </c>
      <c r="J9" s="18">
        <v>130401</v>
      </c>
      <c r="K9" s="18">
        <v>66481</v>
      </c>
      <c r="L9" s="18">
        <v>9341</v>
      </c>
      <c r="M9" s="18">
        <v>2012</v>
      </c>
      <c r="N9" s="18">
        <f t="shared" si="1"/>
        <v>1</v>
      </c>
      <c r="O9" s="18">
        <f t="shared" si="2"/>
        <v>0.13040099999999999</v>
      </c>
      <c r="P9" s="18">
        <f t="shared" si="0"/>
        <v>6.6480999999999998E-2</v>
      </c>
      <c r="Q9" s="18">
        <f t="shared" si="3"/>
        <v>1.1353E-2</v>
      </c>
    </row>
    <row r="10" spans="1:17" s="18" customFormat="1" x14ac:dyDescent="0.25">
      <c r="C10" s="19">
        <v>0.3</v>
      </c>
      <c r="D10" s="18">
        <v>1.6878200000000001</v>
      </c>
      <c r="E10" s="18">
        <v>1.6475599999999999</v>
      </c>
      <c r="F10" s="18">
        <v>1.0077499999999999</v>
      </c>
      <c r="G10" s="18">
        <v>0.3</v>
      </c>
      <c r="H10" s="18">
        <v>0.3</v>
      </c>
      <c r="I10" s="18">
        <v>0.43889699999999998</v>
      </c>
      <c r="J10" s="18">
        <v>87325</v>
      </c>
      <c r="K10" s="18">
        <v>45116</v>
      </c>
      <c r="L10" s="18">
        <v>7132</v>
      </c>
      <c r="M10" s="18">
        <v>1958</v>
      </c>
      <c r="N10" s="18">
        <f t="shared" si="1"/>
        <v>1</v>
      </c>
      <c r="O10" s="18">
        <f t="shared" si="2"/>
        <v>8.7325E-2</v>
      </c>
      <c r="P10" s="18">
        <f t="shared" si="0"/>
        <v>4.5116000000000003E-2</v>
      </c>
      <c r="Q10" s="18">
        <f t="shared" si="3"/>
        <v>9.0900000000000009E-3</v>
      </c>
    </row>
    <row r="11" spans="1:17" x14ac:dyDescent="0.25">
      <c r="C11" s="6">
        <v>0.3</v>
      </c>
      <c r="D11" s="4">
        <v>4.0281799999999999</v>
      </c>
      <c r="E11" s="4">
        <v>0</v>
      </c>
      <c r="F11" s="4">
        <v>1.4646399999999999</v>
      </c>
      <c r="G11" s="4">
        <v>0.3</v>
      </c>
      <c r="H11" s="4">
        <v>0</v>
      </c>
      <c r="I11" s="4">
        <v>0.78</v>
      </c>
      <c r="J11" s="4">
        <v>197185</v>
      </c>
      <c r="K11" s="4">
        <v>0</v>
      </c>
      <c r="L11" s="4">
        <v>12541</v>
      </c>
      <c r="M11" s="4">
        <v>2184</v>
      </c>
      <c r="N11" s="4">
        <f t="shared" si="1"/>
        <v>0</v>
      </c>
      <c r="O11" s="4">
        <f t="shared" si="2"/>
        <v>0.197185</v>
      </c>
      <c r="P11" s="4">
        <f t="shared" si="0"/>
        <v>0</v>
      </c>
      <c r="Q11" s="4">
        <f t="shared" si="3"/>
        <v>1.4725E-2</v>
      </c>
    </row>
    <row r="12" spans="1:17" s="18" customFormat="1" x14ac:dyDescent="0.25">
      <c r="C12" s="19">
        <v>0.2</v>
      </c>
      <c r="D12" s="18">
        <v>1.0765499999999999</v>
      </c>
      <c r="E12" s="18">
        <v>1.04</v>
      </c>
      <c r="F12" s="18">
        <v>0.72172599999999998</v>
      </c>
      <c r="G12" s="18">
        <v>0.2</v>
      </c>
      <c r="H12" s="18">
        <v>0.27500000000000002</v>
      </c>
      <c r="I12" s="18">
        <v>0.32</v>
      </c>
      <c r="J12" s="18">
        <v>38737</v>
      </c>
      <c r="K12" s="18">
        <v>17351</v>
      </c>
      <c r="L12" s="18">
        <v>15370</v>
      </c>
      <c r="M12" s="18">
        <v>1769</v>
      </c>
      <c r="N12" s="18">
        <f t="shared" si="1"/>
        <v>1</v>
      </c>
      <c r="O12" s="18">
        <f t="shared" si="2"/>
        <v>3.8737000000000001E-2</v>
      </c>
      <c r="P12" s="18">
        <f t="shared" si="0"/>
        <v>1.7350999999999998E-2</v>
      </c>
      <c r="Q12" s="18">
        <f t="shared" si="3"/>
        <v>1.7139000000000001E-2</v>
      </c>
    </row>
    <row r="13" spans="1:17" x14ac:dyDescent="0.25">
      <c r="A13" s="4" t="s">
        <v>20</v>
      </c>
      <c r="B13" s="4" t="s">
        <v>21</v>
      </c>
      <c r="C13" s="6">
        <f>0.785398*180/PI()</f>
        <v>44.999990638015838</v>
      </c>
      <c r="D13" s="4">
        <v>3.43797</v>
      </c>
      <c r="E13" s="4">
        <v>1.07019</v>
      </c>
      <c r="F13" s="4">
        <v>0.953152</v>
      </c>
      <c r="G13" s="4">
        <v>0.78539800000000004</v>
      </c>
      <c r="H13" s="4">
        <v>0.62831800000000004</v>
      </c>
      <c r="I13" s="4">
        <v>2.6428880000000001</v>
      </c>
      <c r="J13" s="4">
        <v>123396</v>
      </c>
      <c r="K13" s="4">
        <v>54149</v>
      </c>
      <c r="L13" s="4">
        <v>2201</v>
      </c>
      <c r="M13" s="4">
        <v>1736</v>
      </c>
      <c r="N13" s="4">
        <f t="shared" si="1"/>
        <v>0</v>
      </c>
      <c r="O13" s="4">
        <f t="shared" si="2"/>
        <v>0.12339600000000001</v>
      </c>
      <c r="P13" s="4">
        <f t="shared" si="0"/>
        <v>5.4149000000000003E-2</v>
      </c>
      <c r="Q13" s="4">
        <f t="shared" si="3"/>
        <v>3.9370000000000004E-3</v>
      </c>
    </row>
    <row r="14" spans="1:17" x14ac:dyDescent="0.25">
      <c r="C14" s="6">
        <f>0.785398*180/PI()</f>
        <v>44.999990638015838</v>
      </c>
      <c r="D14" s="4">
        <v>3.3031999999999999</v>
      </c>
      <c r="E14" s="4">
        <v>0</v>
      </c>
      <c r="F14" s="4">
        <v>0.95394699999999999</v>
      </c>
      <c r="G14" s="4">
        <v>0.78539800000000004</v>
      </c>
      <c r="H14" s="4">
        <v>0</v>
      </c>
      <c r="I14" s="4">
        <v>6.2831853071795862</v>
      </c>
      <c r="J14" s="4">
        <v>125327</v>
      </c>
      <c r="K14" s="4">
        <v>0</v>
      </c>
      <c r="L14" s="4">
        <v>2226</v>
      </c>
      <c r="M14" s="4">
        <v>1658</v>
      </c>
      <c r="N14" s="4">
        <f t="shared" si="1"/>
        <v>0</v>
      </c>
      <c r="O14" s="4">
        <f t="shared" si="2"/>
        <v>0.12532699999999999</v>
      </c>
      <c r="P14" s="4">
        <f t="shared" si="0"/>
        <v>0</v>
      </c>
      <c r="Q14" s="4">
        <f t="shared" si="3"/>
        <v>3.8839999999999999E-3</v>
      </c>
    </row>
    <row r="15" spans="1:17" s="18" customFormat="1" x14ac:dyDescent="0.25">
      <c r="C15" s="19">
        <f>0.785398*180/PI()</f>
        <v>44.999990638015838</v>
      </c>
      <c r="D15" s="18">
        <v>0.97177899999999995</v>
      </c>
      <c r="E15" s="18">
        <v>0.97539200000000004</v>
      </c>
      <c r="F15" s="18">
        <v>0.99530399999999997</v>
      </c>
      <c r="G15" s="18">
        <v>0.78539800000000004</v>
      </c>
      <c r="H15" s="18">
        <v>2.6389399999999998</v>
      </c>
      <c r="I15" s="18">
        <v>6.2831853071795862</v>
      </c>
      <c r="J15" s="18">
        <v>36533</v>
      </c>
      <c r="K15" s="18">
        <v>14581</v>
      </c>
      <c r="L15" s="18">
        <v>2289</v>
      </c>
      <c r="M15" s="18">
        <v>1783</v>
      </c>
      <c r="N15" s="18">
        <f t="shared" si="1"/>
        <v>1</v>
      </c>
      <c r="O15" s="18">
        <f t="shared" si="2"/>
        <v>3.6533000000000003E-2</v>
      </c>
      <c r="P15" s="18">
        <f t="shared" si="0"/>
        <v>1.4581E-2</v>
      </c>
      <c r="Q15" s="18">
        <f t="shared" si="3"/>
        <v>4.0720000000000001E-3</v>
      </c>
    </row>
    <row r="16" spans="1:17" s="18" customFormat="1" x14ac:dyDescent="0.25">
      <c r="C16" s="19">
        <f>0.785398*180/PI()</f>
        <v>44.999990638015838</v>
      </c>
      <c r="D16" s="18">
        <v>0.80662999999999996</v>
      </c>
      <c r="E16" s="18">
        <v>0.82251300000000005</v>
      </c>
      <c r="F16" s="18">
        <v>0.98334500000000002</v>
      </c>
      <c r="G16" s="18">
        <v>0.78539800000000004</v>
      </c>
      <c r="H16" s="18">
        <v>0.94247800000000004</v>
      </c>
      <c r="I16" s="18">
        <v>1.2456320000000001</v>
      </c>
      <c r="J16" s="18">
        <v>119484</v>
      </c>
      <c r="K16" s="18">
        <v>29489</v>
      </c>
      <c r="L16" s="18">
        <v>2309</v>
      </c>
      <c r="M16" s="18">
        <v>1795</v>
      </c>
      <c r="N16" s="18">
        <f t="shared" si="1"/>
        <v>1</v>
      </c>
      <c r="O16" s="18">
        <f t="shared" si="2"/>
        <v>0.11948400000000001</v>
      </c>
      <c r="P16" s="18">
        <f t="shared" si="0"/>
        <v>2.9489000000000001E-2</v>
      </c>
      <c r="Q16" s="18">
        <f t="shared" si="3"/>
        <v>4.104E-3</v>
      </c>
    </row>
    <row r="17" spans="2:17" s="18" customFormat="1" x14ac:dyDescent="0.25">
      <c r="C17" s="19">
        <f>1.0472*180/PI()</f>
        <v>60.000140306099802</v>
      </c>
      <c r="D17" s="18">
        <v>1.0878399999999999</v>
      </c>
      <c r="E17" s="11">
        <v>1.09941</v>
      </c>
      <c r="F17" s="18">
        <v>1.31254</v>
      </c>
      <c r="G17" s="18">
        <v>1.0471999999999999</v>
      </c>
      <c r="H17" s="18">
        <v>1.3194699999999999</v>
      </c>
      <c r="I17" s="18">
        <v>1.8612759999999999</v>
      </c>
      <c r="J17" s="18">
        <v>111814</v>
      </c>
      <c r="K17" s="18">
        <v>19193</v>
      </c>
      <c r="L17" s="18">
        <v>2278</v>
      </c>
      <c r="M17" s="18">
        <v>1791</v>
      </c>
      <c r="N17" s="18">
        <f t="shared" si="1"/>
        <v>1</v>
      </c>
      <c r="O17" s="18">
        <f t="shared" si="2"/>
        <v>0.111814</v>
      </c>
      <c r="P17" s="18">
        <f t="shared" si="0"/>
        <v>1.9193000000000002E-2</v>
      </c>
      <c r="Q17" s="18">
        <f t="shared" si="3"/>
        <v>4.0689999999999997E-3</v>
      </c>
    </row>
    <row r="19" spans="2:17" x14ac:dyDescent="0.25">
      <c r="B19" s="21" t="s">
        <v>43</v>
      </c>
      <c r="C19" s="21"/>
      <c r="D19" s="6">
        <f t="shared" ref="C19:N19" si="4">AVERAGE(D4,D9,D10,D12,D15,D16,D17)</f>
        <v>1.3512384285714287</v>
      </c>
      <c r="E19" s="6">
        <f t="shared" si="4"/>
        <v>1.3383707142857144</v>
      </c>
      <c r="F19" s="6">
        <f t="shared" si="4"/>
        <v>1.008950142857143</v>
      </c>
      <c r="G19" s="6">
        <f t="shared" si="4"/>
        <v>0.60048485714285715</v>
      </c>
      <c r="H19" s="6">
        <f t="shared" si="4"/>
        <v>0.95262999999999998</v>
      </c>
      <c r="I19" s="6">
        <f t="shared" si="4"/>
        <v>1.7369562334249262</v>
      </c>
      <c r="O19" s="4">
        <f>AVERAGE(O4,O9,O10,O12,O15,O16,O17)</f>
        <v>9.1651999999999983E-2</v>
      </c>
      <c r="P19" s="4">
        <f t="shared" ref="P19:Q19" si="5">AVERAGE(P4,P9,P10,P12,P15,P16,P17)</f>
        <v>3.4498714285714285E-2</v>
      </c>
      <c r="Q19" s="4">
        <f t="shared" si="5"/>
        <v>8.1025714285714295E-3</v>
      </c>
    </row>
    <row r="20" spans="2:17" x14ac:dyDescent="0.25">
      <c r="B20" s="21" t="s">
        <v>45</v>
      </c>
      <c r="C20" s="21"/>
      <c r="D20" s="6">
        <f>AVERAGE(D3:D17)</f>
        <v>2.2368092666666666</v>
      </c>
      <c r="E20" s="6"/>
      <c r="F20" s="6">
        <f>AVERAGE(F3:F17)</f>
        <v>1.0180902000000001</v>
      </c>
      <c r="G20" s="6"/>
      <c r="H20" s="6"/>
      <c r="I20" s="6"/>
      <c r="N20" s="17" t="s">
        <v>44</v>
      </c>
      <c r="O20" s="4">
        <f>O19/$Q$19</f>
        <v>11.311470785288618</v>
      </c>
      <c r="P20" s="4">
        <f>P19/$Q$19</f>
        <v>4.2577488627948794</v>
      </c>
    </row>
    <row r="21" spans="2:17" x14ac:dyDescent="0.25">
      <c r="B21" s="21" t="s">
        <v>46</v>
      </c>
      <c r="C21" s="21"/>
      <c r="D21" s="6"/>
      <c r="E21" s="6"/>
      <c r="F21" s="6"/>
      <c r="G21" s="6">
        <f>AVERAGE(G3:G7)</f>
        <v>0.6796812000000001</v>
      </c>
      <c r="H21" s="6">
        <f t="shared" ref="E21:I21" si="6">AVERAGE(H3:H7)</f>
        <v>0.63331500000000007</v>
      </c>
      <c r="I21" s="6">
        <f t="shared" si="6"/>
        <v>1.3727684653589793</v>
      </c>
    </row>
    <row r="22" spans="2:17" x14ac:dyDescent="0.25">
      <c r="B22" s="21" t="s">
        <v>47</v>
      </c>
      <c r="C22" s="21"/>
      <c r="G22" s="6">
        <f>AVERAGE(G8:G12)</f>
        <v>0.25</v>
      </c>
      <c r="H22" s="6">
        <f t="shared" ref="H22:I22" si="7">AVERAGE(H8:H12)</f>
        <v>0.187</v>
      </c>
      <c r="I22" s="6">
        <f t="shared" si="7"/>
        <v>0.44156079999999998</v>
      </c>
    </row>
    <row r="23" spans="2:17" x14ac:dyDescent="0.25">
      <c r="B23" s="21" t="s">
        <v>48</v>
      </c>
      <c r="C23" s="21"/>
      <c r="G23" s="6">
        <f>AVERAGE(G13:G17)</f>
        <v>0.83775840000000001</v>
      </c>
      <c r="H23" s="6">
        <f t="shared" ref="H23:I23" si="8">AVERAGE(H13:H17)</f>
        <v>1.1058412</v>
      </c>
      <c r="I23" s="6">
        <f t="shared" si="8"/>
        <v>3.6632333228718346</v>
      </c>
    </row>
  </sheetData>
  <mergeCells count="9">
    <mergeCell ref="B20:C20"/>
    <mergeCell ref="B21:C21"/>
    <mergeCell ref="B22:C22"/>
    <mergeCell ref="B23:C23"/>
    <mergeCell ref="D1:F1"/>
    <mergeCell ref="G1:I1"/>
    <mergeCell ref="O1:Q1"/>
    <mergeCell ref="J1:M1"/>
    <mergeCell ref="B19:C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Crasun Jans</dc:creator>
  <cp:keywords/>
  <dc:description/>
  <cp:lastModifiedBy>Crasun Jans</cp:lastModifiedBy>
  <cp:revision/>
  <dcterms:created xsi:type="dcterms:W3CDTF">2025-02-10T21:32:36Z</dcterms:created>
  <dcterms:modified xsi:type="dcterms:W3CDTF">2025-02-27T01:18:28Z</dcterms:modified>
  <cp:category/>
  <cp:contentStatus/>
</cp:coreProperties>
</file>