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defaultThemeVersion="166925"/>
  <mc:AlternateContent xmlns:mc="http://schemas.openxmlformats.org/markup-compatibility/2006">
    <mc:Choice Requires="x15">
      <x15ac:absPath xmlns:x15ac="http://schemas.microsoft.com/office/spreadsheetml/2010/11/ac" url="https://d.docs.live.net/0857040a5fc6d13c/Desktop/Altium_Projects/2023_SAC_ARC_UTSA_Documents/Datasheets_Schematics_Manuals/"/>
    </mc:Choice>
  </mc:AlternateContent>
  <xr:revisionPtr revIDLastSave="1225" documentId="8_{468165D7-16C9-444E-A076-6B6320C14B55}" xr6:coauthVersionLast="47" xr6:coauthVersionMax="47" xr10:uidLastSave="{4683963D-FB6D-4E9E-9018-9B26B261C9C7}"/>
  <bookViews>
    <workbookView xWindow="-120" yWindow="-120" windowWidth="20730" windowHeight="11160" activeTab="1" xr2:uid="{AF801279-8C15-4316-A715-51BD9CFC6132}"/>
  </bookViews>
  <sheets>
    <sheet name="Red LED THT" sheetId="1" r:id="rId1"/>
    <sheet name="PC817X" sheetId="2" r:id="rId2"/>
    <sheet name="MJE3055T" sheetId="3" r:id="rId3"/>
    <sheet name="Schottky Diode SB5100"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33" i="3" l="1"/>
  <c r="D34" i="3"/>
  <c r="D35" i="3"/>
  <c r="O35" i="3" s="1"/>
  <c r="D36" i="3"/>
  <c r="O36" i="3" s="1"/>
  <c r="D37" i="3"/>
  <c r="D38" i="3"/>
  <c r="D39" i="3"/>
  <c r="O39" i="3" s="1"/>
  <c r="D40" i="3"/>
  <c r="O40" i="3" s="1"/>
  <c r="D41" i="3"/>
  <c r="H33" i="3"/>
  <c r="H34" i="3"/>
  <c r="H35" i="3"/>
  <c r="I35" i="3" s="1"/>
  <c r="H36" i="3"/>
  <c r="I36" i="3" s="1"/>
  <c r="H37" i="3"/>
  <c r="H38" i="3"/>
  <c r="H39" i="3"/>
  <c r="I39" i="3" s="1"/>
  <c r="H40" i="3"/>
  <c r="I40" i="3" s="1"/>
  <c r="H41" i="3"/>
  <c r="I41" i="3" s="1"/>
  <c r="I33" i="3"/>
  <c r="I34" i="3"/>
  <c r="I37" i="3"/>
  <c r="I38" i="3"/>
  <c r="J33" i="3"/>
  <c r="Q33" i="3" s="1"/>
  <c r="J34" i="3"/>
  <c r="Q34" i="3" s="1"/>
  <c r="J35" i="3"/>
  <c r="J36" i="3"/>
  <c r="J37" i="3"/>
  <c r="Q37" i="3" s="1"/>
  <c r="J38" i="3"/>
  <c r="Q38" i="3" s="1"/>
  <c r="J39" i="3"/>
  <c r="J40" i="3"/>
  <c r="J41" i="3"/>
  <c r="Q41" i="3" s="1"/>
  <c r="K33" i="3"/>
  <c r="M33" i="3" s="1"/>
  <c r="K34" i="3"/>
  <c r="K35" i="3"/>
  <c r="K36" i="3"/>
  <c r="M36" i="3" s="1"/>
  <c r="K37" i="3"/>
  <c r="M37" i="3" s="1"/>
  <c r="K38" i="3"/>
  <c r="K39" i="3"/>
  <c r="K40" i="3"/>
  <c r="M40" i="3" s="1"/>
  <c r="K41" i="3"/>
  <c r="L33" i="3"/>
  <c r="R33" i="3" s="1"/>
  <c r="L34" i="3"/>
  <c r="L35" i="3"/>
  <c r="L36" i="3"/>
  <c r="R36" i="3" s="1"/>
  <c r="L37" i="3"/>
  <c r="R37" i="3" s="1"/>
  <c r="L38" i="3"/>
  <c r="L39" i="3"/>
  <c r="L40" i="3"/>
  <c r="R40" i="3" s="1"/>
  <c r="L41" i="3"/>
  <c r="R41" i="3" s="1"/>
  <c r="M34" i="3"/>
  <c r="M35" i="3"/>
  <c r="M38" i="3"/>
  <c r="M39" i="3"/>
  <c r="N33" i="3"/>
  <c r="N34" i="3"/>
  <c r="N35" i="3"/>
  <c r="N36" i="3"/>
  <c r="N37" i="3"/>
  <c r="N38" i="3"/>
  <c r="N39" i="3"/>
  <c r="N40" i="3"/>
  <c r="N41" i="3"/>
  <c r="O33" i="3"/>
  <c r="O34" i="3"/>
  <c r="O37" i="3"/>
  <c r="O38" i="3"/>
  <c r="O41" i="3"/>
  <c r="P33" i="3"/>
  <c r="P34" i="3"/>
  <c r="P35" i="3"/>
  <c r="P36" i="3"/>
  <c r="P37" i="3"/>
  <c r="P38" i="3"/>
  <c r="P39" i="3"/>
  <c r="P40" i="3"/>
  <c r="P41" i="3"/>
  <c r="Q35" i="3"/>
  <c r="Q36" i="3"/>
  <c r="Q39" i="3"/>
  <c r="Q40" i="3"/>
  <c r="R34" i="3"/>
  <c r="R35" i="3"/>
  <c r="R38" i="3"/>
  <c r="R39" i="3"/>
  <c r="S34" i="3"/>
  <c r="S35" i="3"/>
  <c r="S36" i="3"/>
  <c r="S37" i="3"/>
  <c r="S38" i="3"/>
  <c r="S39" i="3"/>
  <c r="S40" i="3"/>
  <c r="J6" i="3"/>
  <c r="S6" i="3" s="1"/>
  <c r="J7" i="3"/>
  <c r="J8" i="3"/>
  <c r="S8" i="3" s="1"/>
  <c r="J9" i="3"/>
  <c r="J10" i="3"/>
  <c r="J11" i="3"/>
  <c r="J12" i="3"/>
  <c r="J13" i="3"/>
  <c r="J14" i="3"/>
  <c r="J15" i="3"/>
  <c r="J16" i="3"/>
  <c r="S16" i="3" s="1"/>
  <c r="J17" i="3"/>
  <c r="S17" i="3" s="1"/>
  <c r="J18" i="3"/>
  <c r="S18" i="3" s="1"/>
  <c r="J19" i="3"/>
  <c r="J20" i="3"/>
  <c r="S20" i="3" s="1"/>
  <c r="J21" i="3"/>
  <c r="S21" i="3" s="1"/>
  <c r="J22" i="3"/>
  <c r="S22" i="3" s="1"/>
  <c r="J23" i="3"/>
  <c r="J24" i="3"/>
  <c r="S24" i="3" s="1"/>
  <c r="J25" i="3"/>
  <c r="J26" i="3"/>
  <c r="S26" i="3" s="1"/>
  <c r="J27" i="3"/>
  <c r="J28" i="3"/>
  <c r="J29" i="3"/>
  <c r="S29" i="3" s="1"/>
  <c r="J30" i="3"/>
  <c r="S30" i="3" s="1"/>
  <c r="J31" i="3"/>
  <c r="J32" i="3"/>
  <c r="S32" i="3" s="1"/>
  <c r="J5" i="3"/>
  <c r="S25" i="3"/>
  <c r="H6" i="3"/>
  <c r="H7" i="3"/>
  <c r="H8" i="3"/>
  <c r="H9" i="3"/>
  <c r="H10" i="3"/>
  <c r="H11" i="3"/>
  <c r="H12" i="3"/>
  <c r="H13" i="3"/>
  <c r="H14" i="3"/>
  <c r="H15" i="3"/>
  <c r="H16" i="3"/>
  <c r="H17" i="3"/>
  <c r="I17" i="3" s="1"/>
  <c r="H18" i="3"/>
  <c r="I18" i="3" s="1"/>
  <c r="H19" i="3"/>
  <c r="I19" i="3" s="1"/>
  <c r="H20" i="3"/>
  <c r="I20" i="3" s="1"/>
  <c r="H21" i="3"/>
  <c r="H22" i="3"/>
  <c r="H23" i="3"/>
  <c r="H24" i="3"/>
  <c r="H25" i="3"/>
  <c r="H26" i="3"/>
  <c r="H27" i="3"/>
  <c r="I27" i="3" s="1"/>
  <c r="H28" i="3"/>
  <c r="I28" i="3" s="1"/>
  <c r="H29" i="3"/>
  <c r="I29" i="3" s="1"/>
  <c r="H30" i="3"/>
  <c r="I30" i="3" s="1"/>
  <c r="H31" i="3"/>
  <c r="I31" i="3" s="1"/>
  <c r="H32" i="3"/>
  <c r="H5" i="3"/>
  <c r="I5" i="3" s="1"/>
  <c r="I6" i="3"/>
  <c r="I7" i="3"/>
  <c r="I8" i="3"/>
  <c r="I9" i="3"/>
  <c r="I10" i="3"/>
  <c r="I11" i="3"/>
  <c r="I12" i="3"/>
  <c r="I13" i="3"/>
  <c r="I14" i="3"/>
  <c r="I15" i="3"/>
  <c r="I16" i="3"/>
  <c r="I21" i="3"/>
  <c r="I22" i="3"/>
  <c r="I23" i="3"/>
  <c r="I24" i="3"/>
  <c r="I25" i="3"/>
  <c r="I26" i="3"/>
  <c r="I32" i="3"/>
  <c r="P6" i="3"/>
  <c r="P7" i="3"/>
  <c r="P8" i="3"/>
  <c r="P9" i="3"/>
  <c r="P10" i="3"/>
  <c r="P11" i="3"/>
  <c r="P12" i="3"/>
  <c r="P13" i="3"/>
  <c r="P14" i="3"/>
  <c r="P15" i="3"/>
  <c r="P16" i="3"/>
  <c r="P17" i="3"/>
  <c r="P18" i="3"/>
  <c r="P19" i="3"/>
  <c r="P20" i="3"/>
  <c r="P21" i="3"/>
  <c r="P22" i="3"/>
  <c r="P23" i="3"/>
  <c r="P24" i="3"/>
  <c r="P25" i="3"/>
  <c r="P26" i="3"/>
  <c r="P27" i="3"/>
  <c r="P28" i="3"/>
  <c r="P29" i="3"/>
  <c r="P30" i="3"/>
  <c r="P31" i="3"/>
  <c r="P32" i="3"/>
  <c r="N6" i="3"/>
  <c r="N7" i="3"/>
  <c r="N8" i="3"/>
  <c r="N9" i="3"/>
  <c r="N10" i="3"/>
  <c r="N11" i="3"/>
  <c r="N12" i="3"/>
  <c r="N13" i="3"/>
  <c r="N14" i="3"/>
  <c r="N15" i="3"/>
  <c r="N16" i="3"/>
  <c r="N17" i="3"/>
  <c r="N18" i="3"/>
  <c r="N19" i="3"/>
  <c r="N20" i="3"/>
  <c r="N21" i="3"/>
  <c r="N22" i="3"/>
  <c r="N23" i="3"/>
  <c r="N24" i="3"/>
  <c r="N25" i="3"/>
  <c r="N26" i="3"/>
  <c r="N27" i="3"/>
  <c r="N28" i="3"/>
  <c r="N29" i="3"/>
  <c r="N30" i="3"/>
  <c r="N31" i="3"/>
  <c r="N32" i="3"/>
  <c r="K6" i="3"/>
  <c r="K7" i="3"/>
  <c r="K8" i="3"/>
  <c r="K9" i="3"/>
  <c r="K10" i="3"/>
  <c r="K11" i="3"/>
  <c r="K12" i="3"/>
  <c r="K13" i="3"/>
  <c r="K14" i="3"/>
  <c r="K15" i="3"/>
  <c r="K16" i="3"/>
  <c r="K17" i="3"/>
  <c r="K18" i="3"/>
  <c r="K19" i="3"/>
  <c r="K20" i="3"/>
  <c r="K21" i="3"/>
  <c r="K22" i="3"/>
  <c r="K23" i="3"/>
  <c r="K24" i="3"/>
  <c r="K25" i="3"/>
  <c r="K26" i="3"/>
  <c r="K27" i="3"/>
  <c r="K28" i="3"/>
  <c r="K29" i="3"/>
  <c r="K30" i="3"/>
  <c r="K31" i="3"/>
  <c r="K32" i="3"/>
  <c r="S7" i="3"/>
  <c r="S19" i="3"/>
  <c r="S23" i="3"/>
  <c r="S27" i="3"/>
  <c r="S28" i="3"/>
  <c r="D6" i="3"/>
  <c r="O6" i="3" s="1"/>
  <c r="D7" i="3"/>
  <c r="O7" i="3" s="1"/>
  <c r="D8" i="3"/>
  <c r="O8" i="3" s="1"/>
  <c r="D9" i="3"/>
  <c r="L9" i="3" s="1"/>
  <c r="R9" i="3" s="1"/>
  <c r="D10" i="3"/>
  <c r="O10" i="3" s="1"/>
  <c r="D11" i="3"/>
  <c r="O11" i="3" s="1"/>
  <c r="D12" i="3"/>
  <c r="O12" i="3" s="1"/>
  <c r="D13" i="3"/>
  <c r="L13" i="3" s="1"/>
  <c r="R13" i="3" s="1"/>
  <c r="D14" i="3"/>
  <c r="O14" i="3" s="1"/>
  <c r="D15" i="3"/>
  <c r="O15" i="3" s="1"/>
  <c r="D16" i="3"/>
  <c r="O16" i="3" s="1"/>
  <c r="D17" i="3"/>
  <c r="L17" i="3" s="1"/>
  <c r="R17" i="3" s="1"/>
  <c r="D18" i="3"/>
  <c r="O18" i="3" s="1"/>
  <c r="D19" i="3"/>
  <c r="O19" i="3" s="1"/>
  <c r="D20" i="3"/>
  <c r="O20" i="3" s="1"/>
  <c r="D21" i="3"/>
  <c r="L21" i="3" s="1"/>
  <c r="R21" i="3" s="1"/>
  <c r="D22" i="3"/>
  <c r="O22" i="3" s="1"/>
  <c r="D23" i="3"/>
  <c r="O23" i="3" s="1"/>
  <c r="D24" i="3"/>
  <c r="O24" i="3" s="1"/>
  <c r="D25" i="3"/>
  <c r="L25" i="3" s="1"/>
  <c r="R25" i="3" s="1"/>
  <c r="D26" i="3"/>
  <c r="O26" i="3" s="1"/>
  <c r="D27" i="3"/>
  <c r="O27" i="3" s="1"/>
  <c r="D28" i="3"/>
  <c r="O28" i="3" s="1"/>
  <c r="D29" i="3"/>
  <c r="L29" i="3" s="1"/>
  <c r="R29" i="3" s="1"/>
  <c r="D30" i="3"/>
  <c r="O30" i="3" s="1"/>
  <c r="D31" i="3"/>
  <c r="O31" i="3" s="1"/>
  <c r="D32" i="3"/>
  <c r="O32" i="3" s="1"/>
  <c r="N5" i="3"/>
  <c r="L34" i="4"/>
  <c r="L35" i="4"/>
  <c r="L36" i="4"/>
  <c r="L37" i="4"/>
  <c r="L38" i="4"/>
  <c r="L39" i="4"/>
  <c r="L40" i="4"/>
  <c r="L41" i="4"/>
  <c r="L42" i="4"/>
  <c r="L43" i="4"/>
  <c r="L44" i="4"/>
  <c r="L45" i="4"/>
  <c r="L46" i="4"/>
  <c r="F39" i="4"/>
  <c r="F40" i="4"/>
  <c r="F41" i="4"/>
  <c r="F42" i="4"/>
  <c r="F43" i="4"/>
  <c r="F44" i="4"/>
  <c r="F45" i="4"/>
  <c r="F46" i="4"/>
  <c r="G39" i="4"/>
  <c r="G40" i="4"/>
  <c r="K40" i="4" s="1"/>
  <c r="G41" i="4"/>
  <c r="G42" i="4"/>
  <c r="G43" i="4"/>
  <c r="K43" i="4" s="1"/>
  <c r="G44" i="4"/>
  <c r="K44" i="4" s="1"/>
  <c r="G45" i="4"/>
  <c r="G46" i="4"/>
  <c r="H39" i="4"/>
  <c r="H40" i="4"/>
  <c r="H41" i="4"/>
  <c r="H42" i="4"/>
  <c r="H43" i="4"/>
  <c r="H44" i="4"/>
  <c r="H45" i="4"/>
  <c r="H46" i="4"/>
  <c r="I39" i="4"/>
  <c r="I40" i="4"/>
  <c r="I41" i="4"/>
  <c r="I42" i="4"/>
  <c r="I43" i="4"/>
  <c r="I44" i="4"/>
  <c r="I45" i="4"/>
  <c r="I46" i="4"/>
  <c r="J39" i="4"/>
  <c r="J40" i="4"/>
  <c r="J41" i="4"/>
  <c r="J42" i="4"/>
  <c r="J43" i="4"/>
  <c r="J44" i="4"/>
  <c r="J45" i="4"/>
  <c r="J46" i="4"/>
  <c r="F38" i="4"/>
  <c r="G38" i="4"/>
  <c r="H38" i="4"/>
  <c r="I38" i="4"/>
  <c r="J38" i="4"/>
  <c r="L30" i="4"/>
  <c r="L31" i="4"/>
  <c r="L32" i="4"/>
  <c r="L33" i="4"/>
  <c r="F30" i="4"/>
  <c r="F31" i="4"/>
  <c r="F32" i="4"/>
  <c r="F33" i="4"/>
  <c r="F34" i="4"/>
  <c r="F35" i="4"/>
  <c r="F36" i="4"/>
  <c r="F37" i="4"/>
  <c r="J37" i="4" s="1"/>
  <c r="G30" i="4"/>
  <c r="K30" i="4" s="1"/>
  <c r="G31" i="4"/>
  <c r="G32" i="4"/>
  <c r="G33" i="4"/>
  <c r="G34" i="4"/>
  <c r="G35" i="4"/>
  <c r="G36" i="4"/>
  <c r="G37" i="4"/>
  <c r="H30" i="4"/>
  <c r="H31" i="4"/>
  <c r="H32" i="4"/>
  <c r="H33" i="4"/>
  <c r="H34" i="4"/>
  <c r="H35" i="4"/>
  <c r="H36" i="4"/>
  <c r="H37" i="4"/>
  <c r="I30" i="4"/>
  <c r="I31" i="4"/>
  <c r="I32" i="4"/>
  <c r="I33" i="4"/>
  <c r="I34" i="4"/>
  <c r="I35" i="4"/>
  <c r="I36" i="4"/>
  <c r="I37" i="4"/>
  <c r="J30" i="4"/>
  <c r="J31" i="4"/>
  <c r="J32" i="4"/>
  <c r="J33" i="4"/>
  <c r="J34" i="4"/>
  <c r="J35" i="4"/>
  <c r="J36" i="4"/>
  <c r="K33" i="4"/>
  <c r="K34" i="4"/>
  <c r="K35" i="4"/>
  <c r="K36" i="4"/>
  <c r="L23" i="4"/>
  <c r="L24" i="4"/>
  <c r="L25" i="4"/>
  <c r="L26" i="4"/>
  <c r="L27" i="4"/>
  <c r="L28" i="4"/>
  <c r="L29" i="4"/>
  <c r="L22" i="4"/>
  <c r="F6" i="4"/>
  <c r="G6" i="4"/>
  <c r="F7" i="4"/>
  <c r="G7" i="4"/>
  <c r="F8" i="4"/>
  <c r="G8" i="4"/>
  <c r="F9" i="4"/>
  <c r="G9" i="4"/>
  <c r="F10" i="4"/>
  <c r="G10" i="4"/>
  <c r="F11" i="4"/>
  <c r="G11" i="4"/>
  <c r="F12" i="4"/>
  <c r="G12" i="4"/>
  <c r="F13" i="4"/>
  <c r="G13" i="4"/>
  <c r="F14" i="4"/>
  <c r="G14" i="4"/>
  <c r="F15" i="4"/>
  <c r="G15" i="4"/>
  <c r="F16" i="4"/>
  <c r="G16" i="4"/>
  <c r="F17" i="4"/>
  <c r="G17" i="4"/>
  <c r="F18" i="4"/>
  <c r="G18" i="4"/>
  <c r="F19" i="4"/>
  <c r="G19" i="4"/>
  <c r="F20" i="4"/>
  <c r="G20" i="4"/>
  <c r="F21" i="4"/>
  <c r="G21" i="4"/>
  <c r="F22" i="4"/>
  <c r="G22" i="4"/>
  <c r="F23" i="4"/>
  <c r="G23" i="4"/>
  <c r="F24" i="4"/>
  <c r="G24" i="4"/>
  <c r="F25" i="4"/>
  <c r="G25" i="4"/>
  <c r="F26" i="4"/>
  <c r="G26" i="4"/>
  <c r="F27" i="4"/>
  <c r="G27" i="4"/>
  <c r="F28" i="4"/>
  <c r="G28" i="4"/>
  <c r="F29" i="4"/>
  <c r="G29" i="4"/>
  <c r="G5" i="4"/>
  <c r="I29" i="4"/>
  <c r="H29" i="4"/>
  <c r="I28" i="4"/>
  <c r="H28" i="4"/>
  <c r="I27" i="4"/>
  <c r="H27" i="4"/>
  <c r="I26" i="4"/>
  <c r="H26" i="4"/>
  <c r="I25" i="4"/>
  <c r="H25" i="4"/>
  <c r="I24" i="4"/>
  <c r="H24" i="4"/>
  <c r="I23" i="4"/>
  <c r="H23" i="4"/>
  <c r="I22" i="4"/>
  <c r="H22" i="4"/>
  <c r="I21" i="4"/>
  <c r="H21" i="4"/>
  <c r="I20" i="4"/>
  <c r="H20" i="4"/>
  <c r="I19" i="4"/>
  <c r="H19" i="4"/>
  <c r="I18" i="4"/>
  <c r="H18" i="4"/>
  <c r="I17" i="4"/>
  <c r="H17" i="4"/>
  <c r="I16" i="4"/>
  <c r="H16" i="4"/>
  <c r="I15" i="4"/>
  <c r="H15" i="4"/>
  <c r="I14" i="4"/>
  <c r="H14" i="4"/>
  <c r="I13" i="4"/>
  <c r="H13" i="4"/>
  <c r="I12" i="4"/>
  <c r="H12" i="4"/>
  <c r="I11" i="4"/>
  <c r="H11" i="4"/>
  <c r="I10" i="4"/>
  <c r="H10" i="4"/>
  <c r="I9" i="4"/>
  <c r="H9" i="4"/>
  <c r="I8" i="4"/>
  <c r="H8" i="4"/>
  <c r="I7" i="4"/>
  <c r="H7" i="4"/>
  <c r="I6" i="4"/>
  <c r="H6" i="4"/>
  <c r="I5" i="4"/>
  <c r="H5" i="4"/>
  <c r="F5" i="4"/>
  <c r="J5" i="4" s="1"/>
  <c r="D5" i="3"/>
  <c r="L18" i="2"/>
  <c r="M18" i="2"/>
  <c r="L19" i="2"/>
  <c r="M19" i="2" s="1"/>
  <c r="L20" i="2"/>
  <c r="M20" i="2" s="1"/>
  <c r="L21" i="2"/>
  <c r="M21" i="2" s="1"/>
  <c r="L22" i="2"/>
  <c r="M22" i="2" s="1"/>
  <c r="L17" i="2"/>
  <c r="M17" i="2" s="1"/>
  <c r="N6" i="2"/>
  <c r="O6" i="2" s="1"/>
  <c r="P6" i="2" s="1"/>
  <c r="Q6" i="2" s="1"/>
  <c r="N7" i="2"/>
  <c r="O7" i="2" s="1"/>
  <c r="P7" i="2" s="1"/>
  <c r="Q7" i="2" s="1"/>
  <c r="N8" i="2"/>
  <c r="N9" i="2"/>
  <c r="O9" i="2" s="1"/>
  <c r="P9" i="2" s="1"/>
  <c r="Q9" i="2" s="1"/>
  <c r="N10" i="2"/>
  <c r="O10" i="2" s="1"/>
  <c r="P10" i="2" s="1"/>
  <c r="Q10" i="2" s="1"/>
  <c r="N11" i="2"/>
  <c r="O11" i="2" s="1"/>
  <c r="P11" i="2" s="1"/>
  <c r="Q11" i="2" s="1"/>
  <c r="N12" i="2"/>
  <c r="O12" i="2" s="1"/>
  <c r="P12" i="2" s="1"/>
  <c r="Q12" i="2" s="1"/>
  <c r="N13" i="2"/>
  <c r="O13" i="2" s="1"/>
  <c r="P13" i="2" s="1"/>
  <c r="Q13" i="2" s="1"/>
  <c r="N14" i="2"/>
  <c r="O14" i="2" s="1"/>
  <c r="P14" i="2" s="1"/>
  <c r="Q14" i="2" s="1"/>
  <c r="N15" i="2"/>
  <c r="O15" i="2" s="1"/>
  <c r="P15" i="2" s="1"/>
  <c r="Q15" i="2" s="1"/>
  <c r="N16" i="2"/>
  <c r="O16" i="2" s="1"/>
  <c r="P16" i="2" s="1"/>
  <c r="Q16" i="2" s="1"/>
  <c r="N17" i="2"/>
  <c r="O17" i="2" s="1"/>
  <c r="P17" i="2" s="1"/>
  <c r="Q17" i="2" s="1"/>
  <c r="N18" i="2"/>
  <c r="O18" i="2" s="1"/>
  <c r="P18" i="2" s="1"/>
  <c r="Q18" i="2" s="1"/>
  <c r="N19" i="2"/>
  <c r="O19" i="2" s="1"/>
  <c r="P19" i="2" s="1"/>
  <c r="Q19" i="2" s="1"/>
  <c r="N20" i="2"/>
  <c r="O20" i="2" s="1"/>
  <c r="P20" i="2" s="1"/>
  <c r="Q20" i="2" s="1"/>
  <c r="N21" i="2"/>
  <c r="O21" i="2" s="1"/>
  <c r="P21" i="2" s="1"/>
  <c r="Q21" i="2" s="1"/>
  <c r="N22" i="2"/>
  <c r="O22" i="2" s="1"/>
  <c r="P22" i="2" s="1"/>
  <c r="Q22" i="2" s="1"/>
  <c r="N5" i="2"/>
  <c r="O5" i="2" s="1"/>
  <c r="P5" i="2" s="1"/>
  <c r="Q5" i="2" s="1"/>
  <c r="O8" i="2"/>
  <c r="P8" i="2" s="1"/>
  <c r="Q8" i="2" s="1"/>
  <c r="C11" i="2"/>
  <c r="G11" i="2" s="1"/>
  <c r="C6" i="2"/>
  <c r="G6" i="2" s="1"/>
  <c r="C7" i="2"/>
  <c r="G7" i="2" s="1"/>
  <c r="C8" i="2"/>
  <c r="G8" i="2" s="1"/>
  <c r="C9" i="2"/>
  <c r="G9" i="2" s="1"/>
  <c r="C10" i="2"/>
  <c r="G10" i="2" s="1"/>
  <c r="C12" i="2"/>
  <c r="G12" i="2" s="1"/>
  <c r="C13" i="2"/>
  <c r="G13" i="2" s="1"/>
  <c r="C14" i="2"/>
  <c r="G14" i="2" s="1"/>
  <c r="C15" i="2"/>
  <c r="G15" i="2" s="1"/>
  <c r="C16" i="2"/>
  <c r="C17" i="2"/>
  <c r="G17" i="2" s="1"/>
  <c r="C18" i="2"/>
  <c r="G18" i="2" s="1"/>
  <c r="C19" i="2"/>
  <c r="G19" i="2" s="1"/>
  <c r="C20" i="2"/>
  <c r="G20" i="2" s="1"/>
  <c r="C21" i="2"/>
  <c r="G21" i="2" s="1"/>
  <c r="C22" i="2"/>
  <c r="G22" i="2" s="1"/>
  <c r="F6" i="2"/>
  <c r="F7" i="2"/>
  <c r="F8" i="2"/>
  <c r="F9" i="2"/>
  <c r="F10" i="2"/>
  <c r="F11" i="2"/>
  <c r="F12" i="2"/>
  <c r="F13" i="2"/>
  <c r="F14" i="2"/>
  <c r="F15" i="2"/>
  <c r="F16" i="2"/>
  <c r="F17" i="2"/>
  <c r="F18" i="2"/>
  <c r="F19" i="2"/>
  <c r="F20" i="2"/>
  <c r="F21" i="2"/>
  <c r="F22" i="2"/>
  <c r="G16" i="2"/>
  <c r="H6" i="2"/>
  <c r="H7" i="2"/>
  <c r="H8" i="2"/>
  <c r="H9" i="2"/>
  <c r="H10" i="2"/>
  <c r="H11" i="2"/>
  <c r="H12" i="2"/>
  <c r="H13" i="2"/>
  <c r="H14" i="2"/>
  <c r="H15" i="2"/>
  <c r="H16" i="2"/>
  <c r="H17" i="2"/>
  <c r="H18" i="2"/>
  <c r="H19" i="2"/>
  <c r="H20" i="2"/>
  <c r="H21" i="2"/>
  <c r="H22" i="2"/>
  <c r="C5" i="2"/>
  <c r="G5" i="2" s="1"/>
  <c r="F5" i="2"/>
  <c r="H5" i="2"/>
  <c r="J19" i="1"/>
  <c r="K19" i="1" s="1"/>
  <c r="L19" i="1" s="1"/>
  <c r="M19" i="1" s="1"/>
  <c r="J18" i="1"/>
  <c r="K18" i="1" s="1"/>
  <c r="L18" i="1" s="1"/>
  <c r="M18" i="1" s="1"/>
  <c r="J15" i="1"/>
  <c r="K15" i="1" s="1"/>
  <c r="L15" i="1" s="1"/>
  <c r="M15" i="1" s="1"/>
  <c r="J14" i="1"/>
  <c r="K14" i="1" s="1"/>
  <c r="L14" i="1" s="1"/>
  <c r="M14" i="1" s="1"/>
  <c r="J11" i="1"/>
  <c r="K11" i="1" s="1"/>
  <c r="L11" i="1" s="1"/>
  <c r="M11" i="1" s="1"/>
  <c r="J10" i="1"/>
  <c r="K10" i="1" s="1"/>
  <c r="L10" i="1" s="1"/>
  <c r="M10" i="1" s="1"/>
  <c r="J7" i="1"/>
  <c r="K7" i="1" s="1"/>
  <c r="L7" i="1" s="1"/>
  <c r="M7" i="1" s="1"/>
  <c r="J6" i="1"/>
  <c r="K6" i="1" s="1"/>
  <c r="L6" i="1" s="1"/>
  <c r="M6" i="1" s="1"/>
  <c r="J26" i="1"/>
  <c r="K26" i="1" s="1"/>
  <c r="L26" i="1" s="1"/>
  <c r="M26" i="1" s="1"/>
  <c r="J25" i="1"/>
  <c r="K25" i="1" s="1"/>
  <c r="L25" i="1" s="1"/>
  <c r="M25" i="1" s="1"/>
  <c r="J23" i="1"/>
  <c r="K23" i="1" s="1"/>
  <c r="L23" i="1" s="1"/>
  <c r="M23" i="1" s="1"/>
  <c r="G8" i="1"/>
  <c r="E6" i="1"/>
  <c r="H6" i="1" s="1"/>
  <c r="F6" i="1"/>
  <c r="G6" i="1"/>
  <c r="E7" i="1"/>
  <c r="H7" i="1" s="1"/>
  <c r="F7" i="1"/>
  <c r="G7" i="1"/>
  <c r="E8" i="1"/>
  <c r="J8" i="1" s="1"/>
  <c r="K8" i="1" s="1"/>
  <c r="L8" i="1" s="1"/>
  <c r="M8" i="1" s="1"/>
  <c r="F8" i="1"/>
  <c r="E9" i="1"/>
  <c r="H9" i="1" s="1"/>
  <c r="F9" i="1"/>
  <c r="G9" i="1"/>
  <c r="E10" i="1"/>
  <c r="H10" i="1" s="1"/>
  <c r="F10" i="1"/>
  <c r="G10" i="1"/>
  <c r="E11" i="1"/>
  <c r="H11" i="1" s="1"/>
  <c r="F11" i="1"/>
  <c r="G11" i="1"/>
  <c r="E12" i="1"/>
  <c r="H12" i="1" s="1"/>
  <c r="F12" i="1"/>
  <c r="G12" i="1"/>
  <c r="E13" i="1"/>
  <c r="H13" i="1" s="1"/>
  <c r="F13" i="1"/>
  <c r="G13" i="1"/>
  <c r="E14" i="1"/>
  <c r="H14" i="1" s="1"/>
  <c r="F14" i="1"/>
  <c r="G14" i="1"/>
  <c r="E15" i="1"/>
  <c r="H15" i="1" s="1"/>
  <c r="F15" i="1"/>
  <c r="G15" i="1"/>
  <c r="E16" i="1"/>
  <c r="H16" i="1" s="1"/>
  <c r="F16" i="1"/>
  <c r="G16" i="1"/>
  <c r="E17" i="1"/>
  <c r="H17" i="1" s="1"/>
  <c r="F17" i="1"/>
  <c r="G17" i="1"/>
  <c r="E18" i="1"/>
  <c r="H18" i="1" s="1"/>
  <c r="F18" i="1"/>
  <c r="G18" i="1"/>
  <c r="E19" i="1"/>
  <c r="H19" i="1" s="1"/>
  <c r="F19" i="1"/>
  <c r="G19" i="1"/>
  <c r="E20" i="1"/>
  <c r="H20" i="1" s="1"/>
  <c r="F20" i="1"/>
  <c r="G20" i="1"/>
  <c r="E21" i="1"/>
  <c r="H21" i="1" s="1"/>
  <c r="F21" i="1"/>
  <c r="G21" i="1"/>
  <c r="E22" i="1"/>
  <c r="H22" i="1" s="1"/>
  <c r="F22" i="1"/>
  <c r="G22" i="1"/>
  <c r="E23" i="1"/>
  <c r="H23" i="1" s="1"/>
  <c r="F23" i="1"/>
  <c r="G23" i="1"/>
  <c r="E24" i="1"/>
  <c r="H24" i="1" s="1"/>
  <c r="F24" i="1"/>
  <c r="G24" i="1"/>
  <c r="E25" i="1"/>
  <c r="H25" i="1" s="1"/>
  <c r="F25" i="1"/>
  <c r="G25" i="1"/>
  <c r="E26" i="1"/>
  <c r="H26" i="1" s="1"/>
  <c r="F26" i="1"/>
  <c r="G26" i="1"/>
  <c r="E27" i="1"/>
  <c r="H27" i="1" s="1"/>
  <c r="F27" i="1"/>
  <c r="G27" i="1"/>
  <c r="E28" i="1"/>
  <c r="H28" i="1" s="1"/>
  <c r="F28" i="1"/>
  <c r="G28" i="1"/>
  <c r="E29" i="1"/>
  <c r="H29" i="1" s="1"/>
  <c r="F29" i="1"/>
  <c r="G29" i="1"/>
  <c r="G5" i="1"/>
  <c r="F5" i="1"/>
  <c r="E5" i="1"/>
  <c r="H5" i="1" s="1"/>
  <c r="S41" i="3" l="1"/>
  <c r="S11" i="3"/>
  <c r="S33" i="3"/>
  <c r="S14" i="3"/>
  <c r="S10" i="3"/>
  <c r="M41" i="3"/>
  <c r="L12" i="3"/>
  <c r="R12" i="3" s="1"/>
  <c r="S12" i="3"/>
  <c r="O17" i="3"/>
  <c r="S13" i="3"/>
  <c r="S9" i="3"/>
  <c r="Q31" i="3"/>
  <c r="Q15" i="3"/>
  <c r="L28" i="3"/>
  <c r="R28" i="3" s="1"/>
  <c r="L24" i="3"/>
  <c r="R24" i="3" s="1"/>
  <c r="L8" i="3"/>
  <c r="R8" i="3" s="1"/>
  <c r="O29" i="3"/>
  <c r="O13" i="3"/>
  <c r="Q27" i="3"/>
  <c r="L20" i="3"/>
  <c r="R20" i="3" s="1"/>
  <c r="O25" i="3"/>
  <c r="Q11" i="3"/>
  <c r="Q29" i="3"/>
  <c r="Q25" i="3"/>
  <c r="Q21" i="3"/>
  <c r="Q17" i="3"/>
  <c r="Q13" i="3"/>
  <c r="L32" i="3"/>
  <c r="R32" i="3" s="1"/>
  <c r="L16" i="3"/>
  <c r="R16" i="3" s="1"/>
  <c r="O21" i="3"/>
  <c r="O9" i="3"/>
  <c r="Q9" i="3"/>
  <c r="Q32" i="3"/>
  <c r="Q28" i="3"/>
  <c r="Q24" i="3"/>
  <c r="Q20" i="3"/>
  <c r="Q16" i="3"/>
  <c r="Q12" i="3"/>
  <c r="Q8" i="3"/>
  <c r="L31" i="3"/>
  <c r="R31" i="3" s="1"/>
  <c r="L27" i="3"/>
  <c r="L23" i="3"/>
  <c r="R23" i="3" s="1"/>
  <c r="L19" i="3"/>
  <c r="R19" i="3" s="1"/>
  <c r="L15" i="3"/>
  <c r="R15" i="3" s="1"/>
  <c r="L11" i="3"/>
  <c r="L7" i="3"/>
  <c r="R7" i="3" s="1"/>
  <c r="Q23" i="3"/>
  <c r="Q7" i="3"/>
  <c r="L30" i="3"/>
  <c r="R30" i="3" s="1"/>
  <c r="L26" i="3"/>
  <c r="R26" i="3" s="1"/>
  <c r="L22" i="3"/>
  <c r="R22" i="3" s="1"/>
  <c r="L18" i="3"/>
  <c r="R18" i="3" s="1"/>
  <c r="L14" i="3"/>
  <c r="R14" i="3" s="1"/>
  <c r="L10" i="3"/>
  <c r="R10" i="3" s="1"/>
  <c r="L6" i="3"/>
  <c r="R6" i="3" s="1"/>
  <c r="Q19" i="3"/>
  <c r="S31" i="3"/>
  <c r="S15" i="3"/>
  <c r="Q30" i="3"/>
  <c r="Q26" i="3"/>
  <c r="Q22" i="3"/>
  <c r="Q18" i="3"/>
  <c r="Q14" i="3"/>
  <c r="Q10" i="3"/>
  <c r="Q6" i="3"/>
  <c r="M29" i="3"/>
  <c r="M25" i="3"/>
  <c r="M21" i="3"/>
  <c r="M17" i="3"/>
  <c r="M13" i="3"/>
  <c r="M9" i="3"/>
  <c r="M32" i="3"/>
  <c r="M20" i="3"/>
  <c r="M12" i="3"/>
  <c r="K5" i="3"/>
  <c r="Q5" i="3" s="1"/>
  <c r="P5" i="3"/>
  <c r="S5" i="3"/>
  <c r="L5" i="3"/>
  <c r="R5" i="3" s="1"/>
  <c r="K42" i="4"/>
  <c r="K46" i="4"/>
  <c r="K45" i="4"/>
  <c r="K41" i="4"/>
  <c r="K39" i="4"/>
  <c r="K38" i="4"/>
  <c r="K20" i="4"/>
  <c r="K18" i="4"/>
  <c r="K16" i="4"/>
  <c r="K14" i="4"/>
  <c r="K12" i="4"/>
  <c r="K10" i="4"/>
  <c r="K8" i="4"/>
  <c r="K6" i="4"/>
  <c r="K32" i="4"/>
  <c r="K25" i="4"/>
  <c r="K21" i="4"/>
  <c r="K19" i="4"/>
  <c r="K17" i="4"/>
  <c r="K15" i="4"/>
  <c r="K13" i="4"/>
  <c r="K11" i="4"/>
  <c r="K9" i="4"/>
  <c r="K7" i="4"/>
  <c r="K31" i="4"/>
  <c r="K37" i="4"/>
  <c r="K28" i="4"/>
  <c r="K26" i="4"/>
  <c r="K27" i="4"/>
  <c r="K29" i="4"/>
  <c r="K24" i="4"/>
  <c r="K5" i="4"/>
  <c r="K23" i="4"/>
  <c r="K22" i="4"/>
  <c r="J6" i="4"/>
  <c r="J7" i="4"/>
  <c r="J8" i="4"/>
  <c r="J9" i="4"/>
  <c r="J10" i="4"/>
  <c r="J11" i="4"/>
  <c r="J12" i="4"/>
  <c r="J13" i="4"/>
  <c r="J14" i="4"/>
  <c r="J15" i="4"/>
  <c r="J16" i="4"/>
  <c r="J17" i="4"/>
  <c r="J18" i="4"/>
  <c r="J19" i="4"/>
  <c r="J20" i="4"/>
  <c r="J21" i="4"/>
  <c r="J22" i="4"/>
  <c r="J23" i="4"/>
  <c r="J24" i="4"/>
  <c r="J25" i="4"/>
  <c r="J26" i="4"/>
  <c r="J27" i="4"/>
  <c r="J28" i="4"/>
  <c r="J29" i="4"/>
  <c r="O5" i="3"/>
  <c r="J28" i="1"/>
  <c r="K28" i="1" s="1"/>
  <c r="L28" i="1" s="1"/>
  <c r="M28" i="1" s="1"/>
  <c r="H8" i="1"/>
  <c r="J24" i="1"/>
  <c r="K24" i="1" s="1"/>
  <c r="L24" i="1" s="1"/>
  <c r="M24" i="1" s="1"/>
  <c r="J22" i="1"/>
  <c r="K22" i="1" s="1"/>
  <c r="L22" i="1" s="1"/>
  <c r="M22" i="1" s="1"/>
  <c r="J12" i="1"/>
  <c r="K12" i="1" s="1"/>
  <c r="L12" i="1" s="1"/>
  <c r="M12" i="1" s="1"/>
  <c r="J16" i="1"/>
  <c r="K16" i="1" s="1"/>
  <c r="L16" i="1" s="1"/>
  <c r="M16" i="1" s="1"/>
  <c r="J20" i="1"/>
  <c r="K20" i="1" s="1"/>
  <c r="L20" i="1" s="1"/>
  <c r="M20" i="1" s="1"/>
  <c r="J29" i="1"/>
  <c r="K29" i="1" s="1"/>
  <c r="L29" i="1" s="1"/>
  <c r="M29" i="1" s="1"/>
  <c r="J27" i="1"/>
  <c r="K27" i="1" s="1"/>
  <c r="L27" i="1" s="1"/>
  <c r="M27" i="1" s="1"/>
  <c r="J5" i="1"/>
  <c r="K5" i="1" s="1"/>
  <c r="L5" i="1" s="1"/>
  <c r="M5" i="1" s="1"/>
  <c r="J9" i="1"/>
  <c r="K9" i="1" s="1"/>
  <c r="L9" i="1" s="1"/>
  <c r="M9" i="1" s="1"/>
  <c r="J13" i="1"/>
  <c r="K13" i="1" s="1"/>
  <c r="L13" i="1" s="1"/>
  <c r="M13" i="1" s="1"/>
  <c r="J17" i="1"/>
  <c r="K17" i="1" s="1"/>
  <c r="L17" i="1" s="1"/>
  <c r="M17" i="1" s="1"/>
  <c r="J21" i="1"/>
  <c r="K21" i="1" s="1"/>
  <c r="L21" i="1" s="1"/>
  <c r="M21" i="1" s="1"/>
  <c r="M8" i="3" l="1"/>
  <c r="M26" i="3"/>
  <c r="M18" i="3"/>
  <c r="M16" i="3"/>
  <c r="M14" i="3"/>
  <c r="M28" i="3"/>
  <c r="M10" i="3"/>
  <c r="M24" i="3"/>
  <c r="M15" i="3"/>
  <c r="M30" i="3"/>
  <c r="M19" i="3"/>
  <c r="R11" i="3"/>
  <c r="M11" i="3"/>
  <c r="R27" i="3"/>
  <c r="M27" i="3"/>
  <c r="M23" i="3"/>
  <c r="M6" i="3"/>
  <c r="M22" i="3"/>
  <c r="M7" i="3"/>
  <c r="M31" i="3"/>
  <c r="M5" i="3"/>
</calcChain>
</file>

<file path=xl/sharedStrings.xml><?xml version="1.0" encoding="utf-8"?>
<sst xmlns="http://schemas.openxmlformats.org/spreadsheetml/2006/main" count="56" uniqueCount="39">
  <si>
    <t>R1 (Ω)</t>
  </si>
  <si>
    <t>VD1 (V)</t>
  </si>
  <si>
    <t>Vs (V)</t>
  </si>
  <si>
    <t>Is * R1(V)</t>
  </si>
  <si>
    <t>Ps (W)</t>
  </si>
  <si>
    <t>PD1 (W)</t>
  </si>
  <si>
    <t>PR1 (W)</t>
  </si>
  <si>
    <t>Is (A)</t>
  </si>
  <si>
    <t>Testing red LED THT with resistor and Kungber power supply. Resistance includes ~0.6Ω of headers, but NOT cables on DMM, nor cables on power supply. I measured Is with Klein Tools auto-ranging DMM 400. I measured VD1 with Klein Tools DMM 300 on 200mV, 2V and 20V setting. Is here is same as If because R1 and D1 in series with power supply.</t>
  </si>
  <si>
    <t>VR1 (V)</t>
  </si>
  <si>
    <t>Vs1 (V)</t>
  </si>
  <si>
    <t>Vs2 (V)</t>
  </si>
  <si>
    <t>Testing input and output of PC817X optocoupler containing an IR LED with resistor and Kungber power supply. Resistance includes ~0.6Ω of headers, but NOT cables on DMM, nor cables on power supply. I measured Is with Klein Tools auto-ranging DMM 400. I measured VR1 with Klein Tools DMM 300 on 200mV, 2V and 20V setting. Is here is same as If because R1 and D1 in series with power supply. I measured VR1 instead of VD1 because optocoupler pins do not allow for accurate readings with DMM leads while inside breadboard. To test output, I left the DMM400 to measure Is, but DMM300 on right side to measure IE. I found VR2 = IE * R2, then VCE = Vs2 - VR1</t>
  </si>
  <si>
    <t>VR2 (V)</t>
  </si>
  <si>
    <t>IE</t>
  </si>
  <si>
    <t>R2 (Ω)</t>
  </si>
  <si>
    <t>VCE (V)</t>
  </si>
  <si>
    <t>IB (A)</t>
  </si>
  <si>
    <t>RB (Ω)</t>
  </si>
  <si>
    <t>IC (A)</t>
  </si>
  <si>
    <t>IE (A)</t>
  </si>
  <si>
    <t>β (IC/IB)</t>
  </si>
  <si>
    <t>VBE (V)</t>
  </si>
  <si>
    <t>VCB ( V)</t>
  </si>
  <si>
    <t>PRB (W)</t>
  </si>
  <si>
    <t>PCE (W)</t>
  </si>
  <si>
    <t>PBE ( W)</t>
  </si>
  <si>
    <t>VRB (V)</t>
  </si>
  <si>
    <t>Vs - VD1 (V)</t>
  </si>
  <si>
    <t>% Difference in VR1</t>
  </si>
  <si>
    <t>Is from Kungber (A)</t>
  </si>
  <si>
    <t>% Difference in Is</t>
  </si>
  <si>
    <t>Testing Schottky Diode SB5100 THT with resistor and Kungber power supply. I measured Is with Klein Tools auto-ranging DMM 400. I measured VD1 with Klein Tools DMM 300 on 200mV, 2V and 20V setting. Is here is same as If because R1 and D1 in series with power supply. At times, there was a 3-40% discrepancy between the current measured by the power supply and DMM 400.</t>
  </si>
  <si>
    <t>VRE (V)</t>
  </si>
  <si>
    <t>PRE (W)</t>
  </si>
  <si>
    <t>Testing the MJE3055T NPN BJT with two resistors, RB and RE, and Kungber power supply. I verified RB and RE with Klein Tools auto-ranging DMM 400. Both resistors are rated for 2W, so I need to ensure I don't exceed this. I measured IB with Klein Tools auto-ranging DMM 400. I measured VRE with Klein Tools DMM 300. IE will be IS in this common collector configuration (no resistor on collector), and the power supply will measure this current. I aim to have VC&gt;VB&gt;VE for current amplification.</t>
  </si>
  <si>
    <t>%Error</t>
  </si>
  <si>
    <t>RE (Ω)</t>
  </si>
  <si>
    <t>VRE (V)/RE (Ω)</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</si>
</sst>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164" formatCode="0.0"/>
    <numFmt numFmtId="165" formatCode="0.000"/>
    <numFmt numFmtId="166" formatCode="0.0000"/>
    <numFmt numFmtId="167" formatCode="0.00000"/>
    <numFmt numFmtId="168" formatCode="0.000000"/>
    <numFmt numFmtId="169" formatCode="0.0000000"/>
    <numFmt numFmtId="170" formatCode="0.0000000000"/>
    <numFmt numFmtId="171" formatCode="0.00000000000000"/>
  </numFmts>
  <fonts count="5" x14ac:knownFonts="1">
    <font>
      <sz val="11"/>
      <color theme="1"/>
      <name val="Calibri"/>
      <family val="2"/>
      <scheme val="minor"/>
    </font>
    <font>
      <sz val="11"/>
      <color theme="1"/>
      <name val="Calibri"/>
      <family val="2"/>
      <scheme val="minor"/>
    </font>
    <font>
      <sz val="11"/>
      <color theme="1"/>
      <name val="Calibri"/>
      <family val="2"/>
    </font>
    <font>
      <sz val="10"/>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9" fontId="1" fillId="0" borderId="0" applyFont="0" applyFill="0" applyBorder="0" applyAlignment="0" applyProtection="0"/>
  </cellStyleXfs>
  <cellXfs count="19">
    <xf numFmtId="0" fontId="0" fillId="0" borderId="0" xfId="0"/>
    <xf numFmtId="0" fontId="0" fillId="0" borderId="0" xfId="0" applyAlignment="1">
      <alignment horizontal="center" vertical="center"/>
    </xf>
    <xf numFmtId="165" fontId="0" fillId="0" borderId="0" xfId="0" applyNumberFormat="1"/>
    <xf numFmtId="166" fontId="0" fillId="0" borderId="0" xfId="0" applyNumberFormat="1"/>
    <xf numFmtId="167" fontId="0" fillId="0" borderId="0" xfId="0" applyNumberFormat="1"/>
    <xf numFmtId="168" fontId="0" fillId="0" borderId="0" xfId="0" applyNumberFormat="1"/>
    <xf numFmtId="169" fontId="0" fillId="0" borderId="0" xfId="0" applyNumberFormat="1"/>
    <xf numFmtId="170" fontId="0" fillId="0" borderId="0" xfId="0" applyNumberFormat="1"/>
    <xf numFmtId="171" fontId="0" fillId="0" borderId="0" xfId="0" applyNumberFormat="1"/>
    <xf numFmtId="9" fontId="0" fillId="0" borderId="0" xfId="1" applyFont="1"/>
    <xf numFmtId="0" fontId="2" fillId="0" borderId="0" xfId="0" applyFont="1" applyAlignment="1">
      <alignment horizontal="center" vertical="center"/>
    </xf>
    <xf numFmtId="166" fontId="0" fillId="0" borderId="0" xfId="0" applyNumberFormat="1" applyAlignment="1">
      <alignment horizontal="center" vertical="center"/>
    </xf>
    <xf numFmtId="169" fontId="0" fillId="0" borderId="0" xfId="0" applyNumberFormat="1" applyAlignment="1">
      <alignment horizontal="center" vertical="center"/>
    </xf>
    <xf numFmtId="164" fontId="0" fillId="0" borderId="0" xfId="0" applyNumberFormat="1" applyAlignment="1">
      <alignment horizontal="center" vertical="center"/>
    </xf>
    <xf numFmtId="165" fontId="0" fillId="0" borderId="0" xfId="0" applyNumberFormat="1" applyAlignment="1">
      <alignment horizontal="center" vertical="center"/>
    </xf>
    <xf numFmtId="170" fontId="0" fillId="0" borderId="0" xfId="0" applyNumberFormat="1" applyAlignment="1">
      <alignment horizontal="center" vertical="center"/>
    </xf>
    <xf numFmtId="171" fontId="0" fillId="0" borderId="0" xfId="0" applyNumberFormat="1" applyAlignment="1">
      <alignment horizontal="center" vertical="center"/>
    </xf>
    <xf numFmtId="10" fontId="0" fillId="0" borderId="0" xfId="0" applyNumberFormat="1" applyAlignment="1">
      <alignment horizontal="center" vertical="center"/>
    </xf>
    <xf numFmtId="0" fontId="3" fillId="0" borderId="0" xfId="0" applyFont="1" applyAlignment="1">
      <alignment horizontal="center" vertical="center" wrapText="1"/>
    </xf>
  </cellXfs>
  <cellStyles count="2">
    <cellStyle name="Normal" xfId="0" builtinId="0"/>
    <cellStyle name="Percent" xfId="1" builtinId="5"/>
  </cellStyles>
  <dxfs count="60">
    <dxf>
      <numFmt numFmtId="14" formatCode="0.00%"/>
      <alignment horizontal="center" vertical="center" textRotation="0" wrapText="0" indent="0" justifyLastLine="0" shrinkToFit="0" readingOrder="0"/>
    </dxf>
    <dxf>
      <numFmt numFmtId="165" formatCode="0.000"/>
      <alignment horizontal="center" vertical="center" textRotation="0" wrapText="0" indent="0" justifyLastLine="0" shrinkToFit="0" readingOrder="0"/>
    </dxf>
    <dxf>
      <numFmt numFmtId="171" formatCode="0.00000000000000"/>
      <alignment horizontal="center" vertical="center" textRotation="0" wrapText="0" indent="0" justifyLastLine="0" shrinkToFit="0" readingOrder="0"/>
    </dxf>
    <dxf>
      <numFmt numFmtId="171" formatCode="0.00000000000000"/>
      <alignment horizontal="center" vertical="center" textRotation="0" wrapText="0" indent="0" justifyLastLine="0" shrinkToFit="0" readingOrder="0"/>
    </dxf>
    <dxf>
      <numFmt numFmtId="171" formatCode="0.00000000000000"/>
      <alignment horizontal="center" vertical="center" textRotation="0" wrapText="0" indent="0" justifyLastLine="0" shrinkToFit="0" readingOrder="0"/>
    </dxf>
    <dxf>
      <numFmt numFmtId="170" formatCode="0.0000000000"/>
      <alignment horizontal="center" vertical="center" textRotation="0" wrapText="0" indent="0" justifyLastLine="0" shrinkToFit="0" readingOrder="0"/>
    </dxf>
    <dxf>
      <numFmt numFmtId="170" formatCode="0.0000000000"/>
      <alignment horizontal="center" vertical="center" textRotation="0" wrapText="0" indent="0" justifyLastLine="0" shrinkToFit="0" readingOrder="0"/>
    </dxf>
    <dxf>
      <numFmt numFmtId="166" formatCode="0.0000"/>
      <alignment horizontal="center" vertical="center" textRotation="0" wrapText="0" indent="0" justifyLastLine="0" shrinkToFit="0" readingOrder="0"/>
    </dxf>
    <dxf>
      <numFmt numFmtId="166" formatCode="0.0000"/>
      <alignment horizontal="center" vertical="center" textRotation="0" wrapText="0" indent="0" justifyLastLine="0" shrinkToFit="0" readingOrder="0"/>
    </dxf>
    <dxf>
      <numFmt numFmtId="169" formatCode="0.0000000"/>
      <alignment horizontal="center" vertical="center" textRotation="0" wrapText="0" indent="0" justifyLastLine="0" shrinkToFit="0" readingOrder="0"/>
    </dxf>
    <dxf>
      <numFmt numFmtId="166" formatCode="0.0000"/>
      <alignment horizontal="center" vertical="center" textRotation="0" wrapText="0" indent="0" justifyLastLine="0" shrinkToFit="0" readingOrder="0"/>
    </dxf>
    <dxf>
      <numFmt numFmtId="166" formatCode="0.0000"/>
      <alignment horizontal="center" vertical="center" textRotation="0" wrapText="0" indent="0" justifyLastLine="0" shrinkToFit="0" readingOrder="0"/>
    </dxf>
    <dxf>
      <numFmt numFmtId="165" formatCode="0.000"/>
      <alignment horizontal="center" vertical="center" textRotation="0" wrapText="0" indent="0" justifyLastLine="0" shrinkToFit="0" readingOrder="0"/>
    </dxf>
    <dxf>
      <alignment horizontal="center" vertical="center" textRotation="0" wrapText="0" indent="0" justifyLastLine="0" shrinkToFit="0" readingOrder="0"/>
    </dxf>
    <dxf>
      <numFmt numFmtId="165" formatCode="0.000"/>
      <alignment horizontal="center" vertical="center" textRotation="0" wrapText="0" indent="0" justifyLastLine="0" shrinkToFit="0" readingOrder="0"/>
    </dxf>
    <dxf>
      <numFmt numFmtId="169" formatCode="0.0000000"/>
      <alignment horizontal="center" vertical="center" textRotation="0" wrapText="0" indent="0" justifyLastLine="0" shrinkToFit="0" readingOrder="0"/>
    </dxf>
    <dxf>
      <numFmt numFmtId="169" formatCode="0.0000000"/>
      <alignment horizontal="center" vertical="center" textRotation="0" wrapText="0" indent="0" justifyLastLine="0" shrinkToFit="0" readingOrder="0"/>
    </dxf>
    <dxf>
      <numFmt numFmtId="169" formatCode="0.0000000"/>
      <alignment horizontal="center" vertical="center" textRotation="0" wrapText="0" indent="0" justifyLastLine="0" shrinkToFit="0" readingOrder="0"/>
    </dxf>
    <dxf>
      <numFmt numFmtId="169" formatCode="0.0000000"/>
      <alignment horizontal="center" vertical="center" textRotation="0" wrapText="0" indent="0" justifyLastLine="0" shrinkToFit="0" readingOrder="0"/>
    </dxf>
    <dxf>
      <numFmt numFmtId="169" formatCode="0.0000000"/>
      <alignment horizontal="center" vertical="center" textRotation="0" wrapText="0" indent="0" justifyLastLine="0" shrinkToFit="0" readingOrder="0"/>
    </dxf>
    <dxf>
      <numFmt numFmtId="169" formatCode="0.0000000"/>
      <alignment horizontal="center" vertical="center" textRotation="0" wrapText="0" indent="0" justifyLastLine="0" shrinkToFit="0" readingOrder="0"/>
    </dxf>
    <dxf>
      <numFmt numFmtId="169" formatCode="0.0000000"/>
      <alignment horizontal="center" vertical="center" textRotation="0" wrapText="0" indent="0" justifyLastLine="0" shrinkToFit="0" readingOrder="0"/>
    </dxf>
    <dxf>
      <numFmt numFmtId="169" formatCode="0.0000000"/>
      <alignment horizontal="center" vertical="center" textRotation="0" wrapText="0" indent="0" justifyLastLine="0" shrinkToFit="0" readingOrder="0"/>
    </dxf>
    <dxf>
      <numFmt numFmtId="169" formatCode="0.0000000"/>
      <alignment horizontal="center" vertical="center" textRotation="0" wrapText="0" indent="0" justifyLastLine="0" shrinkToFit="0" readingOrder="0"/>
    </dxf>
    <dxf>
      <numFmt numFmtId="14" formatCode="0.00%"/>
      <alignment horizontal="center" vertical="center" textRotation="0" wrapText="0" indent="0" justifyLastLine="0" shrinkToFit="0" readingOrder="0"/>
    </dxf>
    <dxf>
      <numFmt numFmtId="169" formatCode="0.0000000"/>
      <alignment horizontal="center" vertical="center" textRotation="0" wrapText="0" indent="0" justifyLastLine="0" shrinkToFit="0" readingOrder="0"/>
    </dxf>
    <dxf>
      <numFmt numFmtId="169" formatCode="0.0000000"/>
      <alignment horizontal="center" vertical="center" textRotation="0" wrapText="0" indent="0" justifyLastLine="0" shrinkToFit="0" readingOrder="0"/>
    </dxf>
    <dxf>
      <numFmt numFmtId="169" formatCode="0.0000000"/>
      <alignment horizontal="center" vertical="center" textRotation="0" wrapText="0" indent="0" justifyLastLine="0" shrinkToFit="0" readingOrder="0"/>
    </dxf>
    <dxf>
      <numFmt numFmtId="169" formatCode="0.0000000"/>
      <alignment horizontal="center" vertical="center" textRotation="0" wrapText="0" indent="0" justifyLastLine="0" shrinkToFit="0" readingOrder="0"/>
    </dxf>
    <dxf>
      <numFmt numFmtId="169" formatCode="0.0000000"/>
      <alignment horizontal="center" vertical="center" textRotation="0" wrapText="0" indent="0" justifyLastLine="0" shrinkToFit="0" readingOrder="0"/>
    </dxf>
    <dxf>
      <numFmt numFmtId="169" formatCode="0.0000000"/>
      <alignment horizontal="center" vertical="center" textRotation="0" wrapText="0" indent="0" justifyLastLine="0" shrinkToFit="0" readingOrder="0"/>
    </dxf>
    <dxf>
      <numFmt numFmtId="169" formatCode="0.0000000"/>
      <alignment horizontal="center" vertical="center" textRotation="0" wrapText="0" indent="0" justifyLastLine="0" shrinkToFit="0" readingOrder="0"/>
    </dxf>
    <dxf>
      <numFmt numFmtId="166" formatCode="0.0000"/>
      <alignment horizontal="center" vertical="center" textRotation="0" wrapText="0" indent="0" justifyLastLine="0" shrinkToFit="0" readingOrder="0"/>
    </dxf>
    <dxf>
      <numFmt numFmtId="165" formatCode="0.000"/>
      <alignment horizontal="center" vertical="center" textRotation="0" wrapText="0" indent="0" justifyLastLine="0" shrinkToFit="0" readingOrder="0"/>
    </dxf>
    <dxf>
      <alignment horizontal="center" vertical="center" textRotation="0" wrapText="0" indent="0" justifyLastLine="0" shrinkToFit="0" readingOrder="0"/>
    </dxf>
    <dxf>
      <numFmt numFmtId="165" formatCode="0.000"/>
    </dxf>
    <dxf>
      <numFmt numFmtId="165" formatCode="0.000"/>
    </dxf>
    <dxf>
      <numFmt numFmtId="165" formatCode="0.000"/>
    </dxf>
    <dxf>
      <numFmt numFmtId="165" formatCode="0.000"/>
    </dxf>
    <dxf>
      <numFmt numFmtId="165" formatCode="0.000"/>
    </dxf>
    <dxf>
      <numFmt numFmtId="171" formatCode="0.00000000000000"/>
    </dxf>
    <dxf>
      <numFmt numFmtId="171" formatCode="0.00000000000000"/>
    </dxf>
    <dxf>
      <numFmt numFmtId="171" formatCode="0.00000000000000"/>
    </dxf>
    <dxf>
      <numFmt numFmtId="170" formatCode="0.0000000000"/>
    </dxf>
    <dxf>
      <numFmt numFmtId="166" formatCode="0.0000"/>
    </dxf>
    <dxf>
      <numFmt numFmtId="168" formatCode="0.000000"/>
    </dxf>
    <dxf>
      <numFmt numFmtId="166" formatCode="0.0000"/>
    </dxf>
    <dxf>
      <numFmt numFmtId="166" formatCode="0.0000"/>
    </dxf>
    <dxf>
      <numFmt numFmtId="165" formatCode="0.000"/>
    </dxf>
    <dxf>
      <alignment horizontal="center" vertical="center" textRotation="0" wrapText="0" indent="0" justifyLastLine="0" shrinkToFit="0" readingOrder="0"/>
    </dxf>
    <dxf>
      <numFmt numFmtId="171" formatCode="0.00000000000000"/>
    </dxf>
    <dxf>
      <numFmt numFmtId="171" formatCode="0.00000000000000"/>
    </dxf>
    <dxf>
      <numFmt numFmtId="171" formatCode="0.00000000000000"/>
    </dxf>
    <dxf>
      <numFmt numFmtId="170" formatCode="0.0000000000"/>
    </dxf>
    <dxf>
      <numFmt numFmtId="166" formatCode="0.0000"/>
    </dxf>
    <dxf>
      <numFmt numFmtId="166" formatCode="0.0000"/>
    </dxf>
    <dxf>
      <numFmt numFmtId="166" formatCode="0.0000"/>
    </dxf>
    <dxf>
      <numFmt numFmtId="166" formatCode="0.0000"/>
    </dxf>
    <dxf>
      <numFmt numFmtId="165" formatCode="0.000"/>
    </dxf>
    <dxf>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calcChain" Target="calcChain.xml"/></Relationships>
</file>

<file path=xl/persons/person.xml><?xml version="1.0" encoding="utf-8"?>
<personList xmlns="http://schemas.microsoft.com/office/spreadsheetml/2018/threadedcomments" xmlns:x="http://schemas.openxmlformats.org/spreadsheetml/2006/mai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5E44184-D4F1-4E3D-B162-C7C9897779FE}" name="RedLEDTable" displayName="RedLEDTable" ref="A4:H29" totalsRowShown="0" headerRowDxfId="59" dataDxfId="58">
  <autoFilter ref="A4:H29" xr:uid="{15E44184-D4F1-4E3D-B162-C7C9897779FE}">
    <filterColumn colId="0" hiddenButton="1"/>
    <filterColumn colId="1" hiddenButton="1"/>
    <filterColumn colId="2" hiddenButton="1"/>
    <filterColumn colId="3" hiddenButton="1"/>
    <filterColumn colId="4" hiddenButton="1"/>
    <filterColumn colId="5" hiddenButton="1"/>
    <filterColumn colId="6" hiddenButton="1"/>
    <filterColumn colId="7" hiddenButton="1"/>
  </autoFilter>
  <tableColumns count="8">
    <tableColumn id="1" xr3:uid="{04529F34-515B-4A33-8C98-1F82CD756D1A}" name="Vs (V)" dataDxfId="57"/>
    <tableColumn id="2" xr3:uid="{45396338-9F25-4048-92FC-91977556B13D}" name="Is (A)" dataDxfId="56"/>
    <tableColumn id="3" xr3:uid="{6A970718-029C-474F-9002-66AB1EA41C56}" name="VD1 (V)" dataDxfId="55"/>
    <tableColumn id="4" xr3:uid="{8CC84B61-C50D-48ED-9224-21F24146D6EA}" name="R1 (Ω)" dataDxfId="54"/>
    <tableColumn id="5" xr3:uid="{4E5D29AF-74E9-4E54-A035-6CF604902263}" name="Is * R1(V)" dataDxfId="53">
      <calculatedColumnFormula>RedLEDTable[[#This Row],[Is (A)]]*RedLEDTable[[#This Row],[R1 (Ω)]]</calculatedColumnFormula>
    </tableColumn>
    <tableColumn id="7" xr3:uid="{808FF71F-6296-4023-B7CD-E61F1A6392F3}" name="Ps (W)" dataDxfId="52">
      <calculatedColumnFormula>RedLEDTable[[#This Row],[Vs (V)]]*RedLEDTable[[#This Row],[Is (A)]]</calculatedColumnFormula>
    </tableColumn>
    <tableColumn id="8" xr3:uid="{80524E6A-7DF7-44FB-93D5-90770D76DD42}" name="PD1 (W)" dataDxfId="51">
      <calculatedColumnFormula>RedLEDTable[[#This Row],[Is (A)]]*RedLEDTable[[#This Row],[VD1 (V)]]</calculatedColumnFormula>
    </tableColumn>
    <tableColumn id="9" xr3:uid="{992DA607-E9F6-4E26-B69E-2E96DC2F85A5}" name="PR1 (W)" dataDxfId="50">
      <calculatedColumnFormula>RedLEDTable[[#This Row],[Is (A)]]*RedLEDTable[[#This Row],[Is * R1(V)]]</calculatedColumnFormula>
    </tableColumn>
  </tableColumns>
  <tableStyleInfo name="TableStyleMedium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BFE347BD-9013-46F1-8DCB-4A7A15201366}" name="OptocouplerTable" displayName="OptocouplerTable" ref="A4:M22" totalsRowShown="0" headerRowDxfId="49" dataDxfId="48">
  <autoFilter ref="A4:M22" xr:uid="{15E44184-D4F1-4E3D-B162-C7C9897779FE}">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autoFilter>
  <tableColumns count="13">
    <tableColumn id="1" xr3:uid="{1BE608A5-B7B4-44DF-8451-C1A54B6F5AC5}" name="Vs1 (V)" dataDxfId="47"/>
    <tableColumn id="2" xr3:uid="{99DD35CE-618A-4A24-AAA9-376F0A2114B9}" name="Is (A)" dataDxfId="46"/>
    <tableColumn id="3" xr3:uid="{5BA76C19-747B-41BC-AF1F-81AB1484DCC9}" name="VD1 (V)" dataDxfId="45">
      <calculatedColumnFormula>OptocouplerTable[[#This Row],[Vs1 (V)]]-OptocouplerTable[[#This Row],[VR1 (V)]]</calculatedColumnFormula>
    </tableColumn>
    <tableColumn id="4" xr3:uid="{ED659CA5-3475-4B86-A20B-D943DC88AA38}" name="R1 (Ω)" dataDxfId="44"/>
    <tableColumn id="5" xr3:uid="{D2729B80-ACB3-498B-90D5-5C49295CCD7F}" name="VR1 (V)" dataDxfId="43"/>
    <tableColumn id="7" xr3:uid="{4E61642C-E787-470C-9C63-4A33547B40FF}" name="Ps (W)" dataDxfId="42">
      <calculatedColumnFormula>OptocouplerTable[[#This Row],[Vs1 (V)]]*OptocouplerTable[[#This Row],[Is (A)]]</calculatedColumnFormula>
    </tableColumn>
    <tableColumn id="8" xr3:uid="{9D034D43-CB8A-46AB-ABC7-5664411EC13D}" name="PD1 (W)" dataDxfId="41">
      <calculatedColumnFormula>OptocouplerTable[[#This Row],[Is (A)]]*OptocouplerTable[[#This Row],[VD1 (V)]]</calculatedColumnFormula>
    </tableColumn>
    <tableColumn id="9" xr3:uid="{72CAFE6F-55E5-41BE-9870-25DAD856B7F3}" name="PR1 (W)" dataDxfId="40">
      <calculatedColumnFormula>OptocouplerTable[[#This Row],[Is (A)]]*OptocouplerTable[[#This Row],[VR1 (V)]]</calculatedColumnFormula>
    </tableColumn>
    <tableColumn id="10" xr3:uid="{D0459241-D7A5-499A-ADD0-226F495046FA}" name="Vs2 (V)" dataDxfId="39"/>
    <tableColumn id="11" xr3:uid="{5256345E-C157-40D3-B96A-BC3F16BFE612}" name="R2 (Ω)" dataDxfId="38"/>
    <tableColumn id="13" xr3:uid="{D40684AE-7FDF-4A39-84BB-EB5C2414117F}" name="IE" dataDxfId="37"/>
    <tableColumn id="12" xr3:uid="{ED926D42-330D-49E0-8351-E4311020CCB8}" name="VR2 (V)" dataDxfId="36"/>
    <tableColumn id="14" xr3:uid="{362FEF2A-D6A0-44CE-8B5D-BCAA919AFC63}" name="VCE (V)" dataDxfId="35"/>
  </tableColumns>
  <tableStyleInfo name="TableStyleMedium9"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420BEB99-DFB1-4F45-82FF-3D09B0C78969}" name="RedLEDTable4" displayName="RedLEDTable4" ref="A4:S41" totalsRowShown="0" headerRowDxfId="34" dataDxfId="33">
  <autoFilter ref="A4:S41" xr:uid="{15E44184-D4F1-4E3D-B162-C7C9897779FE}">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autoFilter>
  <tableColumns count="19">
    <tableColumn id="1" xr3:uid="{DACB88FF-A88C-462C-915A-8B4C6AFC65F9}" name="Vs (V)" dataDxfId="32"/>
    <tableColumn id="2" xr3:uid="{B2092565-3A04-41D4-8BA5-68F5A54FF8BD}" name="IB (A)" dataDxfId="31"/>
    <tableColumn id="4" xr3:uid="{B527E529-1198-48FF-B81E-0377169101B8}" name="RB (Ω)" dataDxfId="30"/>
    <tableColumn id="10" xr3:uid="{2BA1DADC-C2A0-4C65-BB1B-11BDFE5E327D}" name="VRB (V)" dataDxfId="29">
      <calculatedColumnFormula>RedLEDTable4[[#This Row],[IB (A)]]*RedLEDTable4[[#This Row],[RB (Ω)]]</calculatedColumnFormula>
    </tableColumn>
    <tableColumn id="11" xr3:uid="{0402D09A-1DDA-4BF7-A4E5-299A7433987D}" name="IE (A)" dataDxfId="28"/>
    <tableColumn id="12" xr3:uid="{8AF741BF-EEB6-4639-BAC7-6F41545D1A78}" name="RE (Ω)" dataDxfId="27"/>
    <tableColumn id="13" xr3:uid="{A3E8B072-B86E-4338-9E56-94BD8B5F5A07}" name="VRE (V)" dataDxfId="26"/>
    <tableColumn id="6" xr3:uid="{2738481D-0557-421B-A8D0-B9E52F7C70FD}" name="VRE (V)/RE (Ω)" dataDxfId="25">
      <calculatedColumnFormula>RedLEDTable4[[#This Row],[VRE (V)]]/RedLEDTable4[[#This Row],[RE (Ω)]]</calculatedColumnFormula>
    </tableColumn>
    <tableColumn id="5" xr3:uid="{B96DEADE-F5DA-4FE7-9041-C7C8DF2CF987}" name="%Error" dataDxfId="24">
      <calculatedColumnFormula>2*(RedLEDTable4[[#This Row],[VRE (V)/RE (Ω)]]-RedLEDTable4[[#This Row],[IE (A)]])/(RedLEDTable4[[#This Row],[VRE (V)/RE (Ω)]]+RedLEDTable4[[#This Row],[IE (A)]])</calculatedColumnFormula>
    </tableColumn>
    <tableColumn id="14" xr3:uid="{755EEF80-51BA-4622-93D2-8B1D41AF2436}" name="IC (A)" dataDxfId="23">
      <calculatedColumnFormula>RedLEDTable4[[#This Row],[IE (A)]]-RedLEDTable4[[#This Row],[IB (A)]]</calculatedColumnFormula>
    </tableColumn>
    <tableColumn id="20" xr3:uid="{E7236171-9900-47B3-8066-EB2D3E30010D}" name="VCE (V)" dataDxfId="22">
      <calculatedColumnFormula>RedLEDTable4[[#This Row],[Vs (V)]]-RedLEDTable4[[#This Row],[VRE (V)]]</calculatedColumnFormula>
    </tableColumn>
    <tableColumn id="19" xr3:uid="{C45DB42C-80E4-427B-AA9C-DA6565DC2BF3}" name="VBE (V)" dataDxfId="21">
      <calculatedColumnFormula>RedLEDTable4[[#This Row],[Vs (V)]]-RedLEDTable4[[#This Row],[VRB (V)]]-RedLEDTable4[[#This Row],[VRE (V)]]</calculatedColumnFormula>
    </tableColumn>
    <tableColumn id="18" xr3:uid="{26E34734-E29A-41A6-B9CD-4F67D855C58E}" name="VCB ( V)" dataDxfId="20">
      <calculatedColumnFormula>RedLEDTable4[[#This Row],[VCE (V)]]-RedLEDTable4[[#This Row],[VBE (V)]]</calculatedColumnFormula>
    </tableColumn>
    <tableColumn id="24" xr3:uid="{07802CAA-605A-47EB-9CF1-9B7691506AC7}" name="Ps (W)" dataDxfId="19">
      <calculatedColumnFormula>RedLEDTable4[[#This Row],[Vs (V)]]*RedLEDTable4[[#This Row],[IE (A)]]</calculatedColumnFormula>
    </tableColumn>
    <tableColumn id="23" xr3:uid="{9C6210D8-A287-457A-8157-D26928B73D09}" name="PRB (W)" dataDxfId="18">
      <calculatedColumnFormula>RedLEDTable4[[#This Row],[IB (A)]]*RedLEDTable4[[#This Row],[VRB (V)]]</calculatedColumnFormula>
    </tableColumn>
    <tableColumn id="3" xr3:uid="{4D2AC4D0-2A0F-4904-BC44-B56A1ECB55C9}" name="PRE (W)" dataDxfId="17">
      <calculatedColumnFormula>RedLEDTable4[[#This Row],[IE (A)]]*RedLEDTable4[[#This Row],[VRE (V)]]</calculatedColumnFormula>
    </tableColumn>
    <tableColumn id="26" xr3:uid="{F3BF1761-E405-42DA-859E-17A9B7526774}" name="PCE (W)" dataDxfId="16">
      <calculatedColumnFormula>RedLEDTable4[[#This Row],[IC (A)]]*RedLEDTable4[[#This Row],[VCE (V)]]</calculatedColumnFormula>
    </tableColumn>
    <tableColumn id="25" xr3:uid="{AAE6FC9A-8710-4BF2-914E-3DA53A0CF017}" name="PBE ( W)" dataDxfId="15">
      <calculatedColumnFormula>RedLEDTable4[[#This Row],[IE (A)]]*RedLEDTable4[[#This Row],[VBE (V)]]</calculatedColumnFormula>
    </tableColumn>
    <tableColumn id="16" xr3:uid="{1EC70FE9-9B1B-4740-8EA4-8982773684A9}" name="β (IC/IB)" dataDxfId="14">
      <calculatedColumnFormula>RedLEDTable4[[#This Row],[IC (A)]]/RedLEDTable4[[#This Row],[IB (A)]]</calculatedColumnFormula>
    </tableColumn>
  </tableColumns>
  <tableStyleInfo name="TableStyleMedium9"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28EB591B-3064-4849-AF32-7813639E6621}" name="SchottkyDiodeSB5100" displayName="SchottkyDiodeSB5100" ref="A4:L46" totalsRowShown="0" headerRowDxfId="13" dataDxfId="12">
  <autoFilter ref="A4:L46" xr:uid="{15E44184-D4F1-4E3D-B162-C7C9897779FE}">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autoFilter>
  <tableColumns count="12">
    <tableColumn id="1" xr3:uid="{287FD809-66D6-410F-8D12-40ECCB946A8B}" name="Vs (V)" dataDxfId="11"/>
    <tableColumn id="2" xr3:uid="{6417378D-C6B0-4011-8676-544D67D60C68}" name="Is (A)" dataDxfId="10"/>
    <tableColumn id="12" xr3:uid="{41A46A63-1BB2-4134-A0EB-521B51D19CF0}" name="Is from Kungber (A)" dataDxfId="9"/>
    <tableColumn id="3" xr3:uid="{D6B7BD91-3095-4568-A530-E2A7972D03D2}" name="VD1 (V)" dataDxfId="8"/>
    <tableColumn id="4" xr3:uid="{564A38A3-BCEC-4F19-8251-725683B56FEC}" name="R1 (Ω)" dataDxfId="7"/>
    <tableColumn id="5" xr3:uid="{3B39F7A4-F3B2-486A-A0FC-C8075802BFF7}" name="Is * R1(V)" dataDxfId="6">
      <calculatedColumnFormula>SchottkyDiodeSB5100[[#This Row],[Is (A)]]*SchottkyDiodeSB5100[[#This Row],[R1 (Ω)]]</calculatedColumnFormula>
    </tableColumn>
    <tableColumn id="6" xr3:uid="{05F80A55-A121-41E4-8662-AD1EB8B51120}" name="Vs - VD1 (V)" dataDxfId="5">
      <calculatedColumnFormula>SchottkyDiodeSB5100[[#This Row],[Vs (V)]]-SchottkyDiodeSB5100[[#This Row],[VD1 (V)]]</calculatedColumnFormula>
    </tableColumn>
    <tableColumn id="7" xr3:uid="{833A431A-9665-49B5-8DCC-626EC40E6E14}" name="Ps (W)" dataDxfId="4">
      <calculatedColumnFormula>SchottkyDiodeSB5100[[#This Row],[Vs (V)]]*SchottkyDiodeSB5100[[#This Row],[Is (A)]]</calculatedColumnFormula>
    </tableColumn>
    <tableColumn id="8" xr3:uid="{97A879EB-107E-411F-B6D7-14E2310E9435}" name="PD1 (W)" dataDxfId="3">
      <calculatedColumnFormula>SchottkyDiodeSB5100[[#This Row],[Is (A)]]*SchottkyDiodeSB5100[[#This Row],[VD1 (V)]]</calculatedColumnFormula>
    </tableColumn>
    <tableColumn id="9" xr3:uid="{97629C26-50F2-49C8-97DF-E7E0F5F68838}" name="PR1 (W)" dataDxfId="2">
      <calculatedColumnFormula>SchottkyDiodeSB5100[[#This Row],[Is (A)]]*SchottkyDiodeSB5100[[#This Row],[Is * R1(V)]]</calculatedColumnFormula>
    </tableColumn>
    <tableColumn id="10" xr3:uid="{A44D718A-532B-41FF-B83E-90AFE438E5D8}" name="% Difference in VR1" dataDxfId="1">
      <calculatedColumnFormula>2*(SchottkyDiodeSB5100[[#This Row],[Is * R1(V)]]-SchottkyDiodeSB5100[[#This Row],[Vs - VD1 (V)]])/(SchottkyDiodeSB5100[[#This Row],[Is * R1(V)]]+SchottkyDiodeSB5100[[#This Row],[Vs - VD1 (V)]])</calculatedColumnFormula>
    </tableColumn>
    <tableColumn id="13" xr3:uid="{58420DB6-E857-47B7-8A69-5CC12A6E92B0}" name="% Difference in Is" dataDxfId="0">
      <calculatedColumnFormula>2*(SchottkyDiodeSB5100[[#This Row],[Is (A)]]-SchottkyDiodeSB5100[[#This Row],[Is * R1(V)]])/(SchottkyDiodeSB5100[[#This Row],[Is (A)]]+SchottkyDiodeSB5100[[#This Row],[Is * R1(V)]])</calculatedColumnFormula>
    </tableColumn>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3C92CD-413B-47D6-A3F2-6C384314726B}">
  <dimension ref="A1:M29"/>
  <sheetViews>
    <sheetView topLeftCell="A10" workbookViewId="0">
      <selection activeCell="C24" sqref="C24"/>
    </sheetView>
  </sheetViews>
  <sheetFormatPr defaultRowHeight="15" x14ac:dyDescent="0.25"/>
  <cols>
    <col min="1" max="1" width="6.5703125" bestFit="1" customWidth="1"/>
    <col min="2" max="2" width="9.5703125" bestFit="1" customWidth="1"/>
    <col min="3" max="3" width="7.85546875" bestFit="1" customWidth="1"/>
    <col min="4" max="4" width="8.5703125" bestFit="1" customWidth="1"/>
    <col min="5" max="5" width="12.5703125" bestFit="1" customWidth="1"/>
    <col min="6" max="8" width="16.7109375" bestFit="1" customWidth="1"/>
    <col min="9" max="9" width="13.7109375" bestFit="1" customWidth="1"/>
    <col min="10" max="10" width="12.5703125" bestFit="1" customWidth="1"/>
    <col min="11" max="11" width="13.42578125" bestFit="1" customWidth="1"/>
  </cols>
  <sheetData>
    <row r="1" spans="1:13" x14ac:dyDescent="0.25">
      <c r="A1" s="18" t="s">
        <v>8</v>
      </c>
      <c r="B1" s="18"/>
      <c r="C1" s="18"/>
      <c r="D1" s="18"/>
      <c r="E1" s="18"/>
      <c r="F1" s="18"/>
      <c r="G1" s="18"/>
      <c r="H1" s="18"/>
      <c r="I1" s="18"/>
    </row>
    <row r="2" spans="1:13" x14ac:dyDescent="0.25">
      <c r="A2" s="18"/>
      <c r="B2" s="18"/>
      <c r="C2" s="18"/>
      <c r="D2" s="18"/>
      <c r="E2" s="18"/>
      <c r="F2" s="18"/>
      <c r="G2" s="18"/>
      <c r="H2" s="18"/>
      <c r="I2" s="18"/>
    </row>
    <row r="3" spans="1:13" x14ac:dyDescent="0.25">
      <c r="A3" s="18"/>
      <c r="B3" s="18"/>
      <c r="C3" s="18"/>
      <c r="D3" s="18"/>
      <c r="E3" s="18"/>
      <c r="F3" s="18"/>
      <c r="G3" s="18"/>
      <c r="H3" s="18"/>
      <c r="I3" s="18"/>
    </row>
    <row r="4" spans="1:13" x14ac:dyDescent="0.25">
      <c r="A4" s="1" t="s">
        <v>2</v>
      </c>
      <c r="B4" s="1" t="s">
        <v>7</v>
      </c>
      <c r="C4" s="1" t="s">
        <v>1</v>
      </c>
      <c r="D4" s="1" t="s">
        <v>0</v>
      </c>
      <c r="E4" s="1" t="s">
        <v>3</v>
      </c>
      <c r="F4" s="1" t="s">
        <v>4</v>
      </c>
      <c r="G4" s="1" t="s">
        <v>5</v>
      </c>
      <c r="H4" s="1" t="s">
        <v>6</v>
      </c>
    </row>
    <row r="5" spans="1:13" x14ac:dyDescent="0.25">
      <c r="A5" s="3">
        <v>0</v>
      </c>
      <c r="B5" s="6">
        <v>0</v>
      </c>
      <c r="C5" s="3">
        <v>3.7000000000000002E-3</v>
      </c>
      <c r="D5" s="3">
        <v>150.1</v>
      </c>
      <c r="E5" s="7">
        <f>RedLEDTable[[#This Row],[Is (A)]]*RedLEDTable[[#This Row],[R1 (Ω)]]</f>
        <v>0</v>
      </c>
      <c r="F5" s="8">
        <f>RedLEDTable[[#This Row],[Vs (V)]]*RedLEDTable[[#This Row],[Is (A)]]</f>
        <v>0</v>
      </c>
      <c r="G5" s="8">
        <f>RedLEDTable[[#This Row],[Is (A)]]*RedLEDTable[[#This Row],[VD1 (V)]]</f>
        <v>0</v>
      </c>
      <c r="H5" s="8">
        <f>RedLEDTable[[#This Row],[Is (A)]]*RedLEDTable[[#This Row],[Is * R1(V)]]</f>
        <v>0</v>
      </c>
      <c r="J5" s="7">
        <f>RedLEDTable[[#This Row],[Is * R1(V)]]+RedLEDTable[[#This Row],[VD1 (V)]]</f>
        <v>3.7000000000000002E-3</v>
      </c>
      <c r="K5" s="7">
        <f>RedLEDTable[[#This Row],[Vs (V)]]-J5</f>
        <v>-3.7000000000000002E-3</v>
      </c>
      <c r="L5" t="e">
        <f>K5/RedLEDTable[[#This Row],[Vs (V)]]</f>
        <v>#DIV/0!</v>
      </c>
      <c r="M5" s="9" t="e">
        <f>L5*100</f>
        <v>#DIV/0!</v>
      </c>
    </row>
    <row r="6" spans="1:13" x14ac:dyDescent="0.25">
      <c r="A6" s="3">
        <v>0.1</v>
      </c>
      <c r="B6" s="6">
        <v>0</v>
      </c>
      <c r="C6" s="3">
        <v>0.12</v>
      </c>
      <c r="D6" s="3">
        <v>150.1</v>
      </c>
      <c r="E6" s="7">
        <f>RedLEDTable[[#This Row],[Is (A)]]*RedLEDTable[[#This Row],[R1 (Ω)]]</f>
        <v>0</v>
      </c>
      <c r="F6" s="8">
        <f>RedLEDTable[[#This Row],[Vs (V)]]*RedLEDTable[[#This Row],[Is (A)]]</f>
        <v>0</v>
      </c>
      <c r="G6" s="8">
        <f>RedLEDTable[[#This Row],[Is (A)]]*RedLEDTable[[#This Row],[VD1 (V)]]</f>
        <v>0</v>
      </c>
      <c r="H6" s="8">
        <f>RedLEDTable[[#This Row],[Is (A)]]*RedLEDTable[[#This Row],[Is * R1(V)]]</f>
        <v>0</v>
      </c>
      <c r="J6" s="7">
        <f>RedLEDTable[[#This Row],[Is * R1(V)]]+RedLEDTable[[#This Row],[VD1 (V)]]</f>
        <v>0.12</v>
      </c>
      <c r="K6" s="7">
        <f>RedLEDTable[[#This Row],[Vs (V)]]-J6</f>
        <v>-1.999999999999999E-2</v>
      </c>
      <c r="L6">
        <f>K6/RedLEDTable[[#This Row],[Vs (V)]]</f>
        <v>-0.1999999999999999</v>
      </c>
      <c r="M6" s="9">
        <f>L6</f>
        <v>-0.1999999999999999</v>
      </c>
    </row>
    <row r="7" spans="1:13" x14ac:dyDescent="0.25">
      <c r="A7" s="3">
        <v>0.2</v>
      </c>
      <c r="B7" s="6">
        <v>9.9999999999999995E-8</v>
      </c>
      <c r="C7" s="3">
        <v>0.215</v>
      </c>
      <c r="D7" s="3">
        <v>150.1</v>
      </c>
      <c r="E7" s="7">
        <f>RedLEDTable[[#This Row],[Is (A)]]*RedLEDTable[[#This Row],[R1 (Ω)]]</f>
        <v>1.5009999999999999E-5</v>
      </c>
      <c r="F7" s="8">
        <f>RedLEDTable[[#This Row],[Vs (V)]]*RedLEDTable[[#This Row],[Is (A)]]</f>
        <v>2E-8</v>
      </c>
      <c r="G7" s="8">
        <f>RedLEDTable[[#This Row],[Is (A)]]*RedLEDTable[[#This Row],[VD1 (V)]]</f>
        <v>2.1499999999999997E-8</v>
      </c>
      <c r="H7" s="8">
        <f>RedLEDTable[[#This Row],[Is (A)]]*RedLEDTable[[#This Row],[Is * R1(V)]]</f>
        <v>1.5009999999999998E-12</v>
      </c>
      <c r="J7" s="7">
        <f>RedLEDTable[[#This Row],[Is * R1(V)]]+RedLEDTable[[#This Row],[VD1 (V)]]</f>
        <v>0.21501501000000001</v>
      </c>
      <c r="K7" s="7">
        <f>RedLEDTable[[#This Row],[Vs (V)]]-J7</f>
        <v>-1.5015009999999995E-2</v>
      </c>
      <c r="L7">
        <f>K7/RedLEDTable[[#This Row],[Vs (V)]]</f>
        <v>-7.5075049999999977E-2</v>
      </c>
      <c r="M7" s="9">
        <f t="shared" ref="M7:M29" si="0">L7</f>
        <v>-7.5075049999999977E-2</v>
      </c>
    </row>
    <row r="8" spans="1:13" x14ac:dyDescent="0.25">
      <c r="A8" s="3">
        <v>0.3</v>
      </c>
      <c r="B8" s="6">
        <v>1.9999999999999999E-7</v>
      </c>
      <c r="C8" s="3">
        <v>0.316</v>
      </c>
      <c r="D8" s="3">
        <v>150.1</v>
      </c>
      <c r="E8" s="7">
        <f>RedLEDTable[[#This Row],[Is (A)]]*RedLEDTable[[#This Row],[R1 (Ω)]]</f>
        <v>3.0019999999999997E-5</v>
      </c>
      <c r="F8" s="8">
        <f>RedLEDTable[[#This Row],[Vs (V)]]*RedLEDTable[[#This Row],[Is (A)]]</f>
        <v>5.9999999999999995E-8</v>
      </c>
      <c r="G8" s="8">
        <f>RedLEDTable[[#This Row],[Is (A)]]*RedLEDTable[[#This Row],[VD1 (V)]]</f>
        <v>6.3199999999999997E-8</v>
      </c>
      <c r="H8" s="8">
        <f>RedLEDTable[[#This Row],[Is (A)]]*RedLEDTable[[#This Row],[Is * R1(V)]]</f>
        <v>6.0039999999999991E-12</v>
      </c>
      <c r="J8" s="7">
        <f>RedLEDTable[[#This Row],[Is * R1(V)]]+RedLEDTable[[#This Row],[VD1 (V)]]</f>
        <v>0.31603002000000002</v>
      </c>
      <c r="K8" s="7">
        <f>RedLEDTable[[#This Row],[Vs (V)]]-J8</f>
        <v>-1.6030020000000034E-2</v>
      </c>
      <c r="L8">
        <f>K8/RedLEDTable[[#This Row],[Vs (V)]]</f>
        <v>-5.3433400000000117E-2</v>
      </c>
      <c r="M8" s="9">
        <f t="shared" si="0"/>
        <v>-5.3433400000000117E-2</v>
      </c>
    </row>
    <row r="9" spans="1:13" x14ac:dyDescent="0.25">
      <c r="A9" s="3">
        <v>0.4</v>
      </c>
      <c r="B9" s="6">
        <v>2.9999999999999999E-7</v>
      </c>
      <c r="C9" s="3">
        <v>0.41299999999999998</v>
      </c>
      <c r="D9" s="3">
        <v>150.1</v>
      </c>
      <c r="E9" s="7">
        <f>RedLEDTable[[#This Row],[Is (A)]]*RedLEDTable[[#This Row],[R1 (Ω)]]</f>
        <v>4.5029999999999994E-5</v>
      </c>
      <c r="F9" s="8">
        <f>RedLEDTable[[#This Row],[Vs (V)]]*RedLEDTable[[#This Row],[Is (A)]]</f>
        <v>1.1999999999999999E-7</v>
      </c>
      <c r="G9" s="8">
        <f>RedLEDTable[[#This Row],[Is (A)]]*RedLEDTable[[#This Row],[VD1 (V)]]</f>
        <v>1.2389999999999999E-7</v>
      </c>
      <c r="H9" s="8">
        <f>RedLEDTable[[#This Row],[Is (A)]]*RedLEDTable[[#This Row],[Is * R1(V)]]</f>
        <v>1.3508999999999998E-11</v>
      </c>
      <c r="J9" s="7">
        <f>RedLEDTable[[#This Row],[Is * R1(V)]]+RedLEDTable[[#This Row],[VD1 (V)]]</f>
        <v>0.41304502999999998</v>
      </c>
      <c r="K9" s="7">
        <f>RedLEDTable[[#This Row],[Vs (V)]]-J9</f>
        <v>-1.3045029999999957E-2</v>
      </c>
      <c r="L9">
        <f>K9/RedLEDTable[[#This Row],[Vs (V)]]</f>
        <v>-3.2612574999999894E-2</v>
      </c>
      <c r="M9" s="9">
        <f t="shared" si="0"/>
        <v>-3.2612574999999894E-2</v>
      </c>
    </row>
    <row r="10" spans="1:13" x14ac:dyDescent="0.25">
      <c r="A10" s="3">
        <v>0.5</v>
      </c>
      <c r="B10" s="6">
        <v>3.9999999999999998E-7</v>
      </c>
      <c r="C10" s="3">
        <v>0.52500000000000002</v>
      </c>
      <c r="D10" s="3">
        <v>150.1</v>
      </c>
      <c r="E10" s="7">
        <f>RedLEDTable[[#This Row],[Is (A)]]*RedLEDTable[[#This Row],[R1 (Ω)]]</f>
        <v>6.0039999999999994E-5</v>
      </c>
      <c r="F10" s="8">
        <f>RedLEDTable[[#This Row],[Vs (V)]]*RedLEDTable[[#This Row],[Is (A)]]</f>
        <v>1.9999999999999999E-7</v>
      </c>
      <c r="G10" s="8">
        <f>RedLEDTable[[#This Row],[Is (A)]]*RedLEDTable[[#This Row],[VD1 (V)]]</f>
        <v>2.1E-7</v>
      </c>
      <c r="H10" s="8">
        <f>RedLEDTable[[#This Row],[Is (A)]]*RedLEDTable[[#This Row],[Is * R1(V)]]</f>
        <v>2.4015999999999996E-11</v>
      </c>
      <c r="J10" s="7">
        <f>RedLEDTable[[#This Row],[Is * R1(V)]]+RedLEDTable[[#This Row],[VD1 (V)]]</f>
        <v>0.52506004000000006</v>
      </c>
      <c r="K10" s="7">
        <f>RedLEDTable[[#This Row],[Vs (V)]]-J10</f>
        <v>-2.5060040000000061E-2</v>
      </c>
      <c r="L10">
        <f>K10/RedLEDTable[[#This Row],[Vs (V)]]</f>
        <v>-5.0120080000000122E-2</v>
      </c>
      <c r="M10" s="9">
        <f t="shared" si="0"/>
        <v>-5.0120080000000122E-2</v>
      </c>
    </row>
    <row r="11" spans="1:13" x14ac:dyDescent="0.25">
      <c r="A11" s="3">
        <v>0.6</v>
      </c>
      <c r="B11" s="6">
        <v>4.9999999999999998E-7</v>
      </c>
      <c r="C11" s="3">
        <v>0.61099999999999999</v>
      </c>
      <c r="D11" s="3">
        <v>150.1</v>
      </c>
      <c r="E11" s="7">
        <f>RedLEDTable[[#This Row],[Is (A)]]*RedLEDTable[[#This Row],[R1 (Ω)]]</f>
        <v>7.5049999999999995E-5</v>
      </c>
      <c r="F11" s="8">
        <f>RedLEDTable[[#This Row],[Vs (V)]]*RedLEDTable[[#This Row],[Is (A)]]</f>
        <v>2.9999999999999999E-7</v>
      </c>
      <c r="G11" s="8">
        <f>RedLEDTable[[#This Row],[Is (A)]]*RedLEDTable[[#This Row],[VD1 (V)]]</f>
        <v>3.0549999999999998E-7</v>
      </c>
      <c r="H11" s="8">
        <f>RedLEDTable[[#This Row],[Is (A)]]*RedLEDTable[[#This Row],[Is * R1(V)]]</f>
        <v>3.7524999999999994E-11</v>
      </c>
      <c r="J11" s="7">
        <f>RedLEDTable[[#This Row],[Is * R1(V)]]+RedLEDTable[[#This Row],[VD1 (V)]]</f>
        <v>0.61107504999999995</v>
      </c>
      <c r="K11" s="7">
        <f>RedLEDTable[[#This Row],[Vs (V)]]-J11</f>
        <v>-1.1075049999999975E-2</v>
      </c>
      <c r="L11">
        <f>K11/RedLEDTable[[#This Row],[Vs (V)]]</f>
        <v>-1.8458416666666626E-2</v>
      </c>
      <c r="M11" s="9">
        <f t="shared" si="0"/>
        <v>-1.8458416666666626E-2</v>
      </c>
    </row>
    <row r="12" spans="1:13" x14ac:dyDescent="0.25">
      <c r="A12" s="3">
        <v>0.7</v>
      </c>
      <c r="B12" s="6">
        <v>5.9999999999999997E-7</v>
      </c>
      <c r="C12" s="3">
        <v>0.71099999999999997</v>
      </c>
      <c r="D12" s="3">
        <v>150.1</v>
      </c>
      <c r="E12" s="7">
        <f>RedLEDTable[[#This Row],[Is (A)]]*RedLEDTable[[#This Row],[R1 (Ω)]]</f>
        <v>9.0059999999999988E-5</v>
      </c>
      <c r="F12" s="8">
        <f>RedLEDTable[[#This Row],[Vs (V)]]*RedLEDTable[[#This Row],[Is (A)]]</f>
        <v>4.1999999999999995E-7</v>
      </c>
      <c r="G12" s="8">
        <f>RedLEDTable[[#This Row],[Is (A)]]*RedLEDTable[[#This Row],[VD1 (V)]]</f>
        <v>4.2659999999999997E-7</v>
      </c>
      <c r="H12" s="8">
        <f>RedLEDTable[[#This Row],[Is (A)]]*RedLEDTable[[#This Row],[Is * R1(V)]]</f>
        <v>5.4035999999999993E-11</v>
      </c>
      <c r="J12" s="7">
        <f>RedLEDTable[[#This Row],[Is * R1(V)]]+RedLEDTable[[#This Row],[VD1 (V)]]</f>
        <v>0.71109005999999997</v>
      </c>
      <c r="K12" s="7">
        <f>RedLEDTable[[#This Row],[Vs (V)]]-J12</f>
        <v>-1.1090060000000013E-2</v>
      </c>
      <c r="L12">
        <f>K12/RedLEDTable[[#This Row],[Vs (V)]]</f>
        <v>-1.5842942857142876E-2</v>
      </c>
      <c r="M12" s="9">
        <f t="shared" si="0"/>
        <v>-1.5842942857142876E-2</v>
      </c>
    </row>
    <row r="13" spans="1:13" x14ac:dyDescent="0.25">
      <c r="A13" s="3">
        <v>0.8</v>
      </c>
      <c r="B13" s="6">
        <v>6.9999999999999997E-7</v>
      </c>
      <c r="C13" s="3">
        <v>0.81100000000000005</v>
      </c>
      <c r="D13" s="3">
        <v>150.1</v>
      </c>
      <c r="E13" s="7">
        <f>RedLEDTable[[#This Row],[Is (A)]]*RedLEDTable[[#This Row],[R1 (Ω)]]</f>
        <v>1.0507E-4</v>
      </c>
      <c r="F13" s="8">
        <f>RedLEDTable[[#This Row],[Vs (V)]]*RedLEDTable[[#This Row],[Is (A)]]</f>
        <v>5.6000000000000004E-7</v>
      </c>
      <c r="G13" s="8">
        <f>RedLEDTable[[#This Row],[Is (A)]]*RedLEDTable[[#This Row],[VD1 (V)]]</f>
        <v>5.6769999999999998E-7</v>
      </c>
      <c r="H13" s="8">
        <f>RedLEDTable[[#This Row],[Is (A)]]*RedLEDTable[[#This Row],[Is * R1(V)]]</f>
        <v>7.3548999999999999E-11</v>
      </c>
      <c r="J13" s="7">
        <f>RedLEDTable[[#This Row],[Is * R1(V)]]+RedLEDTable[[#This Row],[VD1 (V)]]</f>
        <v>0.81110507000000009</v>
      </c>
      <c r="K13" s="7">
        <f>RedLEDTable[[#This Row],[Vs (V)]]-J13</f>
        <v>-1.110507000000005E-2</v>
      </c>
      <c r="L13">
        <f>K13/RedLEDTable[[#This Row],[Vs (V)]]</f>
        <v>-1.3881337500000063E-2</v>
      </c>
      <c r="M13" s="9">
        <f t="shared" si="0"/>
        <v>-1.3881337500000063E-2</v>
      </c>
    </row>
    <row r="14" spans="1:13" x14ac:dyDescent="0.25">
      <c r="A14" s="3">
        <v>0.9</v>
      </c>
      <c r="B14" s="6">
        <v>7.9999999999999996E-7</v>
      </c>
      <c r="C14" s="3">
        <v>0.91800000000000004</v>
      </c>
      <c r="D14" s="3">
        <v>150.1</v>
      </c>
      <c r="E14" s="7">
        <f>RedLEDTable[[#This Row],[Is (A)]]*RedLEDTable[[#This Row],[R1 (Ω)]]</f>
        <v>1.2007999999999999E-4</v>
      </c>
      <c r="F14" s="8">
        <f>RedLEDTable[[#This Row],[Vs (V)]]*RedLEDTable[[#This Row],[Is (A)]]</f>
        <v>7.1999999999999999E-7</v>
      </c>
      <c r="G14" s="8">
        <f>RedLEDTable[[#This Row],[Is (A)]]*RedLEDTable[[#This Row],[VD1 (V)]]</f>
        <v>7.3440000000000001E-7</v>
      </c>
      <c r="H14" s="8">
        <f>RedLEDTable[[#This Row],[Is (A)]]*RedLEDTable[[#This Row],[Is * R1(V)]]</f>
        <v>9.6063999999999985E-11</v>
      </c>
      <c r="J14" s="7">
        <f>RedLEDTable[[#This Row],[Is * R1(V)]]+RedLEDTable[[#This Row],[VD1 (V)]]</f>
        <v>0.91812008000000001</v>
      </c>
      <c r="K14" s="7">
        <f>RedLEDTable[[#This Row],[Vs (V)]]-J14</f>
        <v>-1.8120079999999983E-2</v>
      </c>
      <c r="L14">
        <f>K14/RedLEDTable[[#This Row],[Vs (V)]]</f>
        <v>-2.0133422222222204E-2</v>
      </c>
      <c r="M14" s="9">
        <f t="shared" si="0"/>
        <v>-2.0133422222222204E-2</v>
      </c>
    </row>
    <row r="15" spans="1:13" x14ac:dyDescent="0.25">
      <c r="A15" s="3">
        <v>1</v>
      </c>
      <c r="B15" s="6">
        <v>8.9999999999999996E-7</v>
      </c>
      <c r="C15" s="3">
        <v>0.998</v>
      </c>
      <c r="D15" s="3">
        <v>150.1</v>
      </c>
      <c r="E15" s="7">
        <f>RedLEDTable[[#This Row],[Is (A)]]*RedLEDTable[[#This Row],[R1 (Ω)]]</f>
        <v>1.3508999999999998E-4</v>
      </c>
      <c r="F15" s="8">
        <f>RedLEDTable[[#This Row],[Vs (V)]]*RedLEDTable[[#This Row],[Is (A)]]</f>
        <v>8.9999999999999996E-7</v>
      </c>
      <c r="G15" s="8">
        <f>RedLEDTable[[#This Row],[Is (A)]]*RedLEDTable[[#This Row],[VD1 (V)]]</f>
        <v>8.9819999999999993E-7</v>
      </c>
      <c r="H15" s="8">
        <f>RedLEDTable[[#This Row],[Is (A)]]*RedLEDTable[[#This Row],[Is * R1(V)]]</f>
        <v>1.2158099999999999E-10</v>
      </c>
      <c r="J15" s="7">
        <f>RedLEDTable[[#This Row],[Is * R1(V)]]+RedLEDTable[[#This Row],[VD1 (V)]]</f>
        <v>0.99813509</v>
      </c>
      <c r="K15" s="7">
        <f>RedLEDTable[[#This Row],[Vs (V)]]-J15</f>
        <v>1.8649099999999974E-3</v>
      </c>
      <c r="L15">
        <f>K15/RedLEDTable[[#This Row],[Vs (V)]]</f>
        <v>1.8649099999999974E-3</v>
      </c>
      <c r="M15" s="9">
        <f t="shared" si="0"/>
        <v>1.8649099999999974E-3</v>
      </c>
    </row>
    <row r="16" spans="1:13" x14ac:dyDescent="0.25">
      <c r="A16" s="3">
        <v>1.1000000000000001</v>
      </c>
      <c r="B16" s="6">
        <v>9.9999999999999995E-7</v>
      </c>
      <c r="C16" s="3">
        <v>1.1080000000000001</v>
      </c>
      <c r="D16" s="3">
        <v>150.1</v>
      </c>
      <c r="E16" s="7">
        <f>RedLEDTable[[#This Row],[Is (A)]]*RedLEDTable[[#This Row],[R1 (Ω)]]</f>
        <v>1.5009999999999999E-4</v>
      </c>
      <c r="F16" s="8">
        <f>RedLEDTable[[#This Row],[Vs (V)]]*RedLEDTable[[#This Row],[Is (A)]]</f>
        <v>1.1000000000000001E-6</v>
      </c>
      <c r="G16" s="8">
        <f>RedLEDTable[[#This Row],[Is (A)]]*RedLEDTable[[#This Row],[VD1 (V)]]</f>
        <v>1.108E-6</v>
      </c>
      <c r="H16" s="8">
        <f>RedLEDTable[[#This Row],[Is (A)]]*RedLEDTable[[#This Row],[Is * R1(V)]]</f>
        <v>1.5009999999999998E-10</v>
      </c>
      <c r="J16" s="7">
        <f>RedLEDTable[[#This Row],[Is * R1(V)]]+RedLEDTable[[#This Row],[VD1 (V)]]</f>
        <v>1.1081501</v>
      </c>
      <c r="K16" s="7">
        <f>RedLEDTable[[#This Row],[Vs (V)]]-J16</f>
        <v>-8.1500999999999379E-3</v>
      </c>
      <c r="L16">
        <f>K16/RedLEDTable[[#This Row],[Vs (V)]]</f>
        <v>-7.409181818181761E-3</v>
      </c>
      <c r="M16" s="9">
        <f t="shared" si="0"/>
        <v>-7.409181818181761E-3</v>
      </c>
    </row>
    <row r="17" spans="1:13" x14ac:dyDescent="0.25">
      <c r="A17" s="3">
        <v>1.2</v>
      </c>
      <c r="B17" s="6">
        <v>1.1000000000000001E-6</v>
      </c>
      <c r="C17" s="3">
        <v>1.2</v>
      </c>
      <c r="D17" s="3">
        <v>150.1</v>
      </c>
      <c r="E17" s="7">
        <f>RedLEDTable[[#This Row],[Is (A)]]*RedLEDTable[[#This Row],[R1 (Ω)]]</f>
        <v>1.6511E-4</v>
      </c>
      <c r="F17" s="8">
        <f>RedLEDTable[[#This Row],[Vs (V)]]*RedLEDTable[[#This Row],[Is (A)]]</f>
        <v>1.3200000000000001E-6</v>
      </c>
      <c r="G17" s="8">
        <f>RedLEDTable[[#This Row],[Is (A)]]*RedLEDTable[[#This Row],[VD1 (V)]]</f>
        <v>1.3200000000000001E-6</v>
      </c>
      <c r="H17" s="8">
        <f>RedLEDTable[[#This Row],[Is (A)]]*RedLEDTable[[#This Row],[Is * R1(V)]]</f>
        <v>1.81621E-10</v>
      </c>
      <c r="J17" s="7">
        <f>RedLEDTable[[#This Row],[Is * R1(V)]]+RedLEDTable[[#This Row],[VD1 (V)]]</f>
        <v>1.2001651099999999</v>
      </c>
      <c r="K17" s="7">
        <f>RedLEDTable[[#This Row],[Vs (V)]]-J17</f>
        <v>-1.6510999999996834E-4</v>
      </c>
      <c r="L17">
        <f>K17/RedLEDTable[[#This Row],[Vs (V)]]</f>
        <v>-1.375916666666403E-4</v>
      </c>
      <c r="M17" s="9">
        <f t="shared" si="0"/>
        <v>-1.375916666666403E-4</v>
      </c>
    </row>
    <row r="18" spans="1:13" x14ac:dyDescent="0.25">
      <c r="A18" s="3">
        <v>1.3</v>
      </c>
      <c r="B18" s="6">
        <v>1.3E-6</v>
      </c>
      <c r="C18" s="3">
        <v>1.327</v>
      </c>
      <c r="D18" s="3">
        <v>150.1</v>
      </c>
      <c r="E18" s="7">
        <f>RedLEDTable[[#This Row],[Is (A)]]*RedLEDTable[[#This Row],[R1 (Ω)]]</f>
        <v>1.9513000000000001E-4</v>
      </c>
      <c r="F18" s="8">
        <f>RedLEDTable[[#This Row],[Vs (V)]]*RedLEDTable[[#This Row],[Is (A)]]</f>
        <v>1.6900000000000001E-6</v>
      </c>
      <c r="G18" s="8">
        <f>RedLEDTable[[#This Row],[Is (A)]]*RedLEDTable[[#This Row],[VD1 (V)]]</f>
        <v>1.7251E-6</v>
      </c>
      <c r="H18" s="8">
        <f>RedLEDTable[[#This Row],[Is (A)]]*RedLEDTable[[#This Row],[Is * R1(V)]]</f>
        <v>2.5366900000000001E-10</v>
      </c>
      <c r="J18" s="7">
        <f>RedLEDTable[[#This Row],[Is * R1(V)]]+RedLEDTable[[#This Row],[VD1 (V)]]</f>
        <v>1.32719513</v>
      </c>
      <c r="K18" s="7">
        <f>RedLEDTable[[#This Row],[Vs (V)]]-J18</f>
        <v>-2.7195129999999956E-2</v>
      </c>
      <c r="L18">
        <f>K18/RedLEDTable[[#This Row],[Vs (V)]]</f>
        <v>-2.0919330769230735E-2</v>
      </c>
      <c r="M18" s="9">
        <f t="shared" si="0"/>
        <v>-2.0919330769230735E-2</v>
      </c>
    </row>
    <row r="19" spans="1:13" x14ac:dyDescent="0.25">
      <c r="A19" s="3">
        <v>1.4</v>
      </c>
      <c r="B19" s="6">
        <v>1.5999999999999999E-6</v>
      </c>
      <c r="C19" s="3">
        <v>1.407</v>
      </c>
      <c r="D19" s="3">
        <v>150.1</v>
      </c>
      <c r="E19" s="7">
        <f>RedLEDTable[[#This Row],[Is (A)]]*RedLEDTable[[#This Row],[R1 (Ω)]]</f>
        <v>2.4015999999999998E-4</v>
      </c>
      <c r="F19" s="8">
        <f>RedLEDTable[[#This Row],[Vs (V)]]*RedLEDTable[[#This Row],[Is (A)]]</f>
        <v>2.2399999999999997E-6</v>
      </c>
      <c r="G19" s="8">
        <f>RedLEDTable[[#This Row],[Is (A)]]*RedLEDTable[[#This Row],[VD1 (V)]]</f>
        <v>2.2512000000000001E-6</v>
      </c>
      <c r="H19" s="8">
        <f>RedLEDTable[[#This Row],[Is (A)]]*RedLEDTable[[#This Row],[Is * R1(V)]]</f>
        <v>3.8425599999999994E-10</v>
      </c>
      <c r="J19" s="7">
        <f>RedLEDTable[[#This Row],[Is * R1(V)]]+RedLEDTable[[#This Row],[VD1 (V)]]</f>
        <v>1.40724016</v>
      </c>
      <c r="K19" s="7">
        <f>RedLEDTable[[#This Row],[Vs (V)]]-J19</f>
        <v>-7.240160000000051E-3</v>
      </c>
      <c r="L19">
        <f>K19/RedLEDTable[[#This Row],[Vs (V)]]</f>
        <v>-5.1715428571428943E-3</v>
      </c>
      <c r="M19" s="9">
        <f t="shared" si="0"/>
        <v>-5.1715428571428943E-3</v>
      </c>
    </row>
    <row r="20" spans="1:13" x14ac:dyDescent="0.25">
      <c r="A20" s="3">
        <v>1.5</v>
      </c>
      <c r="B20" s="6">
        <v>3.4000000000000001E-6</v>
      </c>
      <c r="C20" s="3">
        <v>1.51</v>
      </c>
      <c r="D20" s="3">
        <v>150.1</v>
      </c>
      <c r="E20" s="7">
        <f>RedLEDTable[[#This Row],[Is (A)]]*RedLEDTable[[#This Row],[R1 (Ω)]]</f>
        <v>5.1033999999999997E-4</v>
      </c>
      <c r="F20" s="8">
        <f>RedLEDTable[[#This Row],[Vs (V)]]*RedLEDTable[[#This Row],[Is (A)]]</f>
        <v>5.1000000000000003E-6</v>
      </c>
      <c r="G20" s="8">
        <f>RedLEDTable[[#This Row],[Is (A)]]*RedLEDTable[[#This Row],[VD1 (V)]]</f>
        <v>5.1340000000000003E-6</v>
      </c>
      <c r="H20" s="8">
        <f>RedLEDTable[[#This Row],[Is (A)]]*RedLEDTable[[#This Row],[Is * R1(V)]]</f>
        <v>1.735156E-9</v>
      </c>
      <c r="J20" s="7">
        <f>RedLEDTable[[#This Row],[Is * R1(V)]]+RedLEDTable[[#This Row],[VD1 (V)]]</f>
        <v>1.51051034</v>
      </c>
      <c r="K20" s="7">
        <f>RedLEDTable[[#This Row],[Vs (V)]]-J20</f>
        <v>-1.0510339999999951E-2</v>
      </c>
      <c r="L20">
        <f>K20/RedLEDTable[[#This Row],[Vs (V)]]</f>
        <v>-7.0068933333333012E-3</v>
      </c>
      <c r="M20" s="9">
        <f t="shared" si="0"/>
        <v>-7.0068933333333012E-3</v>
      </c>
    </row>
    <row r="21" spans="1:13" x14ac:dyDescent="0.25">
      <c r="A21" s="3">
        <v>1.6</v>
      </c>
      <c r="B21" s="6">
        <v>1.5400000000000002E-5</v>
      </c>
      <c r="C21" s="3">
        <v>1.603</v>
      </c>
      <c r="D21" s="3">
        <v>150.1</v>
      </c>
      <c r="E21" s="7">
        <f>RedLEDTable[[#This Row],[Is (A)]]*RedLEDTable[[#This Row],[R1 (Ω)]]</f>
        <v>2.3115399999999999E-3</v>
      </c>
      <c r="F21" s="8">
        <f>RedLEDTable[[#This Row],[Vs (V)]]*RedLEDTable[[#This Row],[Is (A)]]</f>
        <v>2.4640000000000005E-5</v>
      </c>
      <c r="G21" s="8">
        <f>RedLEDTable[[#This Row],[Is (A)]]*RedLEDTable[[#This Row],[VD1 (V)]]</f>
        <v>2.4686200000000001E-5</v>
      </c>
      <c r="H21" s="8">
        <f>RedLEDTable[[#This Row],[Is (A)]]*RedLEDTable[[#This Row],[Is * R1(V)]]</f>
        <v>3.5597716000000001E-8</v>
      </c>
      <c r="J21" s="7">
        <f>RedLEDTable[[#This Row],[Is * R1(V)]]+RedLEDTable[[#This Row],[VD1 (V)]]</f>
        <v>1.60531154</v>
      </c>
      <c r="K21" s="7">
        <f>RedLEDTable[[#This Row],[Vs (V)]]-J21</f>
        <v>-5.3115399999998925E-3</v>
      </c>
      <c r="L21">
        <f>K21/RedLEDTable[[#This Row],[Vs (V)]]</f>
        <v>-3.3197124999999328E-3</v>
      </c>
      <c r="M21" s="9">
        <f t="shared" si="0"/>
        <v>-3.3197124999999328E-3</v>
      </c>
    </row>
    <row r="22" spans="1:13" x14ac:dyDescent="0.25">
      <c r="A22" s="3">
        <v>1.7</v>
      </c>
      <c r="B22" s="6">
        <v>1.3469999999999999E-4</v>
      </c>
      <c r="C22" s="3">
        <v>1.7</v>
      </c>
      <c r="D22" s="3">
        <v>150.1</v>
      </c>
      <c r="E22" s="7">
        <f>RedLEDTable[[#This Row],[Is (A)]]*RedLEDTable[[#This Row],[R1 (Ω)]]</f>
        <v>2.0218469999999999E-2</v>
      </c>
      <c r="F22" s="8">
        <f>RedLEDTable[[#This Row],[Vs (V)]]*RedLEDTable[[#This Row],[Is (A)]]</f>
        <v>2.2898999999999999E-4</v>
      </c>
      <c r="G22" s="8">
        <f>RedLEDTable[[#This Row],[Is (A)]]*RedLEDTable[[#This Row],[VD1 (V)]]</f>
        <v>2.2898999999999999E-4</v>
      </c>
      <c r="H22" s="8">
        <f>RedLEDTable[[#This Row],[Is (A)]]*RedLEDTable[[#This Row],[Is * R1(V)]]</f>
        <v>2.7234279089999995E-6</v>
      </c>
      <c r="J22" s="7">
        <f>RedLEDTable[[#This Row],[Is * R1(V)]]+RedLEDTable[[#This Row],[VD1 (V)]]</f>
        <v>1.7202184700000001</v>
      </c>
      <c r="K22" s="7">
        <f>RedLEDTable[[#This Row],[Vs (V)]]-J22</f>
        <v>-2.0218470000000099E-2</v>
      </c>
      <c r="L22">
        <f>K22/RedLEDTable[[#This Row],[Vs (V)]]</f>
        <v>-1.1893217647058882E-2</v>
      </c>
      <c r="M22" s="9">
        <f t="shared" si="0"/>
        <v>-1.1893217647058882E-2</v>
      </c>
    </row>
    <row r="23" spans="1:13" x14ac:dyDescent="0.25">
      <c r="A23" s="3">
        <v>1.78</v>
      </c>
      <c r="B23" s="6">
        <v>2.5000000000000001E-4</v>
      </c>
      <c r="C23" s="3">
        <v>1.7250000000000001</v>
      </c>
      <c r="D23" s="3">
        <v>150.1</v>
      </c>
      <c r="E23" s="7">
        <f>RedLEDTable[[#This Row],[Is (A)]]*RedLEDTable[[#This Row],[R1 (Ω)]]</f>
        <v>3.7525000000000003E-2</v>
      </c>
      <c r="F23" s="8">
        <f>RedLEDTable[[#This Row],[Vs (V)]]*RedLEDTable[[#This Row],[Is (A)]]</f>
        <v>4.4500000000000003E-4</v>
      </c>
      <c r="G23" s="8">
        <f>RedLEDTable[[#This Row],[Is (A)]]*RedLEDTable[[#This Row],[VD1 (V)]]</f>
        <v>4.3125000000000005E-4</v>
      </c>
      <c r="H23" s="8">
        <f>RedLEDTable[[#This Row],[Is (A)]]*RedLEDTable[[#This Row],[Is * R1(V)]]</f>
        <v>9.381250000000001E-6</v>
      </c>
      <c r="J23" s="7">
        <f>RedLEDTable[[#This Row],[Is * R1(V)]]+RedLEDTable[[#This Row],[VD1 (V)]]</f>
        <v>1.7625250000000001</v>
      </c>
      <c r="K23" s="7">
        <f>RedLEDTable[[#This Row],[Vs (V)]]-J23</f>
        <v>1.7474999999999907E-2</v>
      </c>
      <c r="L23">
        <f>K23/RedLEDTable[[#This Row],[Vs (V)]]</f>
        <v>9.8174157303370264E-3</v>
      </c>
      <c r="M23" s="9">
        <f t="shared" si="0"/>
        <v>9.8174157303370264E-3</v>
      </c>
    </row>
    <row r="24" spans="1:13" x14ac:dyDescent="0.25">
      <c r="A24" s="3">
        <v>1.82</v>
      </c>
      <c r="B24" s="6">
        <v>4.0000000000000002E-4</v>
      </c>
      <c r="C24" s="3">
        <v>1.7450000000000001</v>
      </c>
      <c r="D24" s="3">
        <v>150.1</v>
      </c>
      <c r="E24" s="7">
        <f>RedLEDTable[[#This Row],[Is (A)]]*RedLEDTable[[#This Row],[R1 (Ω)]]</f>
        <v>6.0040000000000003E-2</v>
      </c>
      <c r="F24" s="8">
        <f>RedLEDTable[[#This Row],[Vs (V)]]*RedLEDTable[[#This Row],[Is (A)]]</f>
        <v>7.2800000000000002E-4</v>
      </c>
      <c r="G24" s="8">
        <f>RedLEDTable[[#This Row],[Is (A)]]*RedLEDTable[[#This Row],[VD1 (V)]]</f>
        <v>6.9800000000000005E-4</v>
      </c>
      <c r="H24" s="8">
        <f>RedLEDTable[[#This Row],[Is (A)]]*RedLEDTable[[#This Row],[Is * R1(V)]]</f>
        <v>2.4016000000000002E-5</v>
      </c>
      <c r="J24" s="7">
        <f>RedLEDTable[[#This Row],[Is * R1(V)]]+RedLEDTable[[#This Row],[VD1 (V)]]</f>
        <v>1.8050400000000002</v>
      </c>
      <c r="K24" s="7">
        <f>RedLEDTable[[#This Row],[Vs (V)]]-J24</f>
        <v>1.4959999999999862E-2</v>
      </c>
      <c r="L24">
        <f>K24/RedLEDTable[[#This Row],[Vs (V)]]</f>
        <v>8.2197802197801432E-3</v>
      </c>
      <c r="M24" s="9">
        <f t="shared" si="0"/>
        <v>8.2197802197801432E-3</v>
      </c>
    </row>
    <row r="25" spans="1:13" x14ac:dyDescent="0.25">
      <c r="A25" s="3">
        <v>2.0099999999999998</v>
      </c>
      <c r="B25" s="6">
        <v>1E-3</v>
      </c>
      <c r="C25" s="3">
        <v>1.7849999999999999</v>
      </c>
      <c r="D25" s="3">
        <v>150.1</v>
      </c>
      <c r="E25" s="7">
        <f>RedLEDTable[[#This Row],[Is (A)]]*RedLEDTable[[#This Row],[R1 (Ω)]]</f>
        <v>0.15010000000000001</v>
      </c>
      <c r="F25" s="8">
        <f>RedLEDTable[[#This Row],[Vs (V)]]*RedLEDTable[[#This Row],[Is (A)]]</f>
        <v>2.0099999999999996E-3</v>
      </c>
      <c r="G25" s="8">
        <f>RedLEDTable[[#This Row],[Is (A)]]*RedLEDTable[[#This Row],[VD1 (V)]]</f>
        <v>1.7849999999999999E-3</v>
      </c>
      <c r="H25" s="8">
        <f>RedLEDTable[[#This Row],[Is (A)]]*RedLEDTable[[#This Row],[Is * R1(V)]]</f>
        <v>1.5010000000000002E-4</v>
      </c>
      <c r="J25" s="7">
        <f>RedLEDTable[[#This Row],[Is * R1(V)]]+RedLEDTable[[#This Row],[VD1 (V)]]</f>
        <v>1.9350999999999998</v>
      </c>
      <c r="K25" s="7">
        <f>RedLEDTable[[#This Row],[Vs (V)]]-J25</f>
        <v>7.4899999999999967E-2</v>
      </c>
      <c r="L25">
        <f>K25/RedLEDTable[[#This Row],[Vs (V)]]</f>
        <v>3.7263681592039785E-2</v>
      </c>
      <c r="M25" s="9">
        <f t="shared" si="0"/>
        <v>3.7263681592039785E-2</v>
      </c>
    </row>
    <row r="26" spans="1:13" x14ac:dyDescent="0.25">
      <c r="A26" s="3">
        <v>2.62</v>
      </c>
      <c r="B26" s="6">
        <v>5.0000000000000001E-3</v>
      </c>
      <c r="C26" s="3">
        <v>1.8759999999999999</v>
      </c>
      <c r="D26" s="3">
        <v>150.1</v>
      </c>
      <c r="E26" s="7">
        <f>RedLEDTable[[#This Row],[Is (A)]]*RedLEDTable[[#This Row],[R1 (Ω)]]</f>
        <v>0.75049999999999994</v>
      </c>
      <c r="F26" s="8">
        <f>RedLEDTable[[#This Row],[Vs (V)]]*RedLEDTable[[#This Row],[Is (A)]]</f>
        <v>1.3100000000000001E-2</v>
      </c>
      <c r="G26" s="8">
        <f>RedLEDTable[[#This Row],[Is (A)]]*RedLEDTable[[#This Row],[VD1 (V)]]</f>
        <v>9.3799999999999994E-3</v>
      </c>
      <c r="H26" s="8">
        <f>RedLEDTable[[#This Row],[Is (A)]]*RedLEDTable[[#This Row],[Is * R1(V)]]</f>
        <v>3.7524999999999998E-3</v>
      </c>
      <c r="J26" s="7">
        <f>RedLEDTable[[#This Row],[Is * R1(V)]]+RedLEDTable[[#This Row],[VD1 (V)]]</f>
        <v>2.6265000000000001</v>
      </c>
      <c r="K26" s="7">
        <f>RedLEDTable[[#This Row],[Vs (V)]]-J26</f>
        <v>-6.4999999999999503E-3</v>
      </c>
      <c r="L26">
        <f>K26/RedLEDTable[[#This Row],[Vs (V)]]</f>
        <v>-2.4809160305343321E-3</v>
      </c>
      <c r="M26" s="9">
        <f t="shared" si="0"/>
        <v>-2.4809160305343321E-3</v>
      </c>
    </row>
    <row r="27" spans="1:13" x14ac:dyDescent="0.25">
      <c r="A27" s="3">
        <v>3.43</v>
      </c>
      <c r="B27" s="6">
        <v>0.01</v>
      </c>
      <c r="C27" s="3">
        <v>1.929</v>
      </c>
      <c r="D27" s="3">
        <v>150.1</v>
      </c>
      <c r="E27" s="7">
        <f>RedLEDTable[[#This Row],[Is (A)]]*RedLEDTable[[#This Row],[R1 (Ω)]]</f>
        <v>1.5009999999999999</v>
      </c>
      <c r="F27" s="8">
        <f>RedLEDTable[[#This Row],[Vs (V)]]*RedLEDTable[[#This Row],[Is (A)]]</f>
        <v>3.4300000000000004E-2</v>
      </c>
      <c r="G27" s="8">
        <f>RedLEDTable[[#This Row],[Is (A)]]*RedLEDTable[[#This Row],[VD1 (V)]]</f>
        <v>1.9290000000000002E-2</v>
      </c>
      <c r="H27" s="8">
        <f>RedLEDTable[[#This Row],[Is (A)]]*RedLEDTable[[#This Row],[Is * R1(V)]]</f>
        <v>1.5009999999999999E-2</v>
      </c>
      <c r="J27" s="7">
        <f>RedLEDTable[[#This Row],[Is * R1(V)]]+RedLEDTable[[#This Row],[VD1 (V)]]</f>
        <v>3.4299999999999997</v>
      </c>
      <c r="K27" s="7">
        <f>RedLEDTable[[#This Row],[Vs (V)]]-J27</f>
        <v>0</v>
      </c>
      <c r="L27">
        <f>K27/RedLEDTable[[#This Row],[Vs (V)]]</f>
        <v>0</v>
      </c>
      <c r="M27" s="9">
        <f t="shared" si="0"/>
        <v>0</v>
      </c>
    </row>
    <row r="28" spans="1:13" x14ac:dyDescent="0.25">
      <c r="A28" s="3">
        <v>4.2300000000000004</v>
      </c>
      <c r="B28" s="6">
        <v>1.4999999999999999E-2</v>
      </c>
      <c r="C28" s="3">
        <v>1.964</v>
      </c>
      <c r="D28" s="3">
        <v>150.1</v>
      </c>
      <c r="E28" s="7">
        <f>RedLEDTable[[#This Row],[Is (A)]]*RedLEDTable[[#This Row],[R1 (Ω)]]</f>
        <v>2.2514999999999996</v>
      </c>
      <c r="F28" s="8">
        <f>RedLEDTable[[#This Row],[Vs (V)]]*RedLEDTable[[#This Row],[Is (A)]]</f>
        <v>6.3450000000000006E-2</v>
      </c>
      <c r="G28" s="8">
        <f>RedLEDTable[[#This Row],[Is (A)]]*RedLEDTable[[#This Row],[VD1 (V)]]</f>
        <v>2.946E-2</v>
      </c>
      <c r="H28" s="8">
        <f>RedLEDTable[[#This Row],[Is (A)]]*RedLEDTable[[#This Row],[Is * R1(V)]]</f>
        <v>3.377249999999999E-2</v>
      </c>
      <c r="J28" s="7">
        <f>RedLEDTable[[#This Row],[Is * R1(V)]]+RedLEDTable[[#This Row],[VD1 (V)]]</f>
        <v>4.2154999999999996</v>
      </c>
      <c r="K28" s="7">
        <f>RedLEDTable[[#This Row],[Vs (V)]]-J28</f>
        <v>1.4500000000000846E-2</v>
      </c>
      <c r="L28">
        <f>K28/RedLEDTable[[#This Row],[Vs (V)]]</f>
        <v>3.4278959810876701E-3</v>
      </c>
      <c r="M28" s="9">
        <f t="shared" si="0"/>
        <v>3.4278959810876701E-3</v>
      </c>
    </row>
    <row r="29" spans="1:13" x14ac:dyDescent="0.25">
      <c r="A29" s="3">
        <v>4.99</v>
      </c>
      <c r="B29" s="6">
        <v>0.02</v>
      </c>
      <c r="C29" s="3">
        <v>1.994</v>
      </c>
      <c r="D29" s="3">
        <v>150.1</v>
      </c>
      <c r="E29" s="7">
        <f>RedLEDTable[[#This Row],[Is (A)]]*RedLEDTable[[#This Row],[R1 (Ω)]]</f>
        <v>3.0019999999999998</v>
      </c>
      <c r="F29" s="8">
        <f>RedLEDTable[[#This Row],[Vs (V)]]*RedLEDTable[[#This Row],[Is (A)]]</f>
        <v>9.98E-2</v>
      </c>
      <c r="G29" s="8">
        <f>RedLEDTable[[#This Row],[Is (A)]]*RedLEDTable[[#This Row],[VD1 (V)]]</f>
        <v>3.9879999999999999E-2</v>
      </c>
      <c r="H29" s="8">
        <f>RedLEDTable[[#This Row],[Is (A)]]*RedLEDTable[[#This Row],[Is * R1(V)]]</f>
        <v>6.0039999999999996E-2</v>
      </c>
      <c r="J29" s="7">
        <f>RedLEDTable[[#This Row],[Is * R1(V)]]+RedLEDTable[[#This Row],[VD1 (V)]]</f>
        <v>4.9959999999999996</v>
      </c>
      <c r="K29" s="7">
        <f>RedLEDTable[[#This Row],[Vs (V)]]-J29</f>
        <v>-5.9999999999993392E-3</v>
      </c>
      <c r="L29">
        <f>K29/RedLEDTable[[#This Row],[Vs (V)]]</f>
        <v>-1.2024048096191059E-3</v>
      </c>
      <c r="M29" s="9">
        <f t="shared" si="0"/>
        <v>-1.2024048096191059E-3</v>
      </c>
    </row>
  </sheetData>
  <mergeCells count="1">
    <mergeCell ref="A1:I3"/>
  </mergeCells>
  <pageMargins left="0.7" right="0.7" top="0.75" bottom="0.75" header="0.3" footer="0.3"/>
  <pageSetup orientation="portrait" horizontalDpi="4294967293" verticalDpi="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619350-29BA-404C-8C48-B70BCD78AD11}">
  <dimension ref="A1:Q22"/>
  <sheetViews>
    <sheetView tabSelected="1" topLeftCell="A7" workbookViewId="0">
      <selection activeCell="M18" sqref="M18"/>
    </sheetView>
  </sheetViews>
  <sheetFormatPr defaultRowHeight="15" x14ac:dyDescent="0.25"/>
  <cols>
    <col min="1" max="1" width="7.28515625" bestFit="1" customWidth="1"/>
    <col min="2" max="2" width="9.5703125" bestFit="1" customWidth="1"/>
    <col min="3" max="4" width="8.5703125" bestFit="1" customWidth="1"/>
    <col min="5" max="5" width="12.5703125" bestFit="1" customWidth="1"/>
    <col min="6" max="8" width="16.7109375" bestFit="1" customWidth="1"/>
    <col min="9" max="9" width="13.7109375" bestFit="1" customWidth="1"/>
    <col min="10" max="10" width="12.5703125" bestFit="1" customWidth="1"/>
    <col min="11" max="11" width="13.42578125" bestFit="1" customWidth="1"/>
    <col min="12" max="12" width="12.5703125" bestFit="1" customWidth="1"/>
    <col min="13" max="13" width="13.42578125" bestFit="1" customWidth="1"/>
    <col min="14" max="14" width="12.7109375" bestFit="1" customWidth="1"/>
    <col min="15" max="15" width="13.42578125" bestFit="1" customWidth="1"/>
  </cols>
  <sheetData>
    <row r="1" spans="1:17" x14ac:dyDescent="0.25">
      <c r="A1" s="18" t="s">
        <v>12</v>
      </c>
      <c r="B1" s="18"/>
      <c r="C1" s="18"/>
      <c r="D1" s="18"/>
      <c r="E1" s="18"/>
      <c r="F1" s="18"/>
      <c r="G1" s="18"/>
      <c r="H1" s="18"/>
      <c r="I1" s="18"/>
    </row>
    <row r="2" spans="1:17" x14ac:dyDescent="0.25">
      <c r="A2" s="18"/>
      <c r="B2" s="18"/>
      <c r="C2" s="18"/>
      <c r="D2" s="18"/>
      <c r="E2" s="18"/>
      <c r="F2" s="18"/>
      <c r="G2" s="18"/>
      <c r="H2" s="18"/>
      <c r="I2" s="18"/>
    </row>
    <row r="3" spans="1:17" ht="39.75" customHeight="1" x14ac:dyDescent="0.25">
      <c r="A3" s="18"/>
      <c r="B3" s="18"/>
      <c r="C3" s="18"/>
      <c r="D3" s="18"/>
      <c r="E3" s="18"/>
      <c r="F3" s="18"/>
      <c r="G3" s="18"/>
      <c r="H3" s="18"/>
      <c r="I3" s="18"/>
    </row>
    <row r="4" spans="1:17" x14ac:dyDescent="0.25">
      <c r="A4" s="1" t="s">
        <v>10</v>
      </c>
      <c r="B4" s="1" t="s">
        <v>7</v>
      </c>
      <c r="C4" s="1" t="s">
        <v>1</v>
      </c>
      <c r="D4" s="1" t="s">
        <v>0</v>
      </c>
      <c r="E4" s="1" t="s">
        <v>9</v>
      </c>
      <c r="F4" s="1" t="s">
        <v>4</v>
      </c>
      <c r="G4" s="1" t="s">
        <v>5</v>
      </c>
      <c r="H4" s="1" t="s">
        <v>6</v>
      </c>
      <c r="I4" s="1" t="s">
        <v>11</v>
      </c>
      <c r="J4" s="1" t="s">
        <v>15</v>
      </c>
      <c r="K4" s="1" t="s">
        <v>14</v>
      </c>
      <c r="L4" s="1" t="s">
        <v>13</v>
      </c>
      <c r="M4" s="1" t="s">
        <v>16</v>
      </c>
    </row>
    <row r="5" spans="1:17" x14ac:dyDescent="0.25">
      <c r="A5" s="3">
        <v>0</v>
      </c>
      <c r="B5" s="6">
        <v>0</v>
      </c>
      <c r="C5" s="5">
        <f>OptocouplerTable[[#This Row],[Vs1 (V)]]-OptocouplerTable[[#This Row],[VR1 (V)]]</f>
        <v>0</v>
      </c>
      <c r="D5" s="3">
        <v>150.1</v>
      </c>
      <c r="E5" s="7">
        <v>0</v>
      </c>
      <c r="F5" s="8">
        <f>OptocouplerTable[[#This Row],[Vs1 (V)]]*OptocouplerTable[[#This Row],[Is (A)]]</f>
        <v>0</v>
      </c>
      <c r="G5" s="8">
        <f>OptocouplerTable[[#This Row],[Is (A)]]*OptocouplerTable[[#This Row],[VD1 (V)]]</f>
        <v>0</v>
      </c>
      <c r="H5" s="8">
        <f>OptocouplerTable[[#This Row],[Is (A)]]*OptocouplerTable[[#This Row],[VR1 (V)]]</f>
        <v>0</v>
      </c>
      <c r="I5" s="2"/>
      <c r="J5" s="2"/>
      <c r="K5" s="2"/>
      <c r="L5" s="2"/>
      <c r="M5" s="2"/>
      <c r="N5" s="7">
        <f>OptocouplerTable[[#This Row],[VR1 (V)]]/OptocouplerTable[[#This Row],[R1 (Ω)]]</f>
        <v>0</v>
      </c>
      <c r="O5" s="7">
        <f>N5-OptocouplerTable[[#This Row],[Is (A)]]</f>
        <v>0</v>
      </c>
      <c r="P5" t="e">
        <f>O5/OptocouplerTable[[#This Row],[Is (A)]]</f>
        <v>#DIV/0!</v>
      </c>
      <c r="Q5" s="9" t="e">
        <f>P5</f>
        <v>#DIV/0!</v>
      </c>
    </row>
    <row r="6" spans="1:17" x14ac:dyDescent="0.25">
      <c r="A6" s="3">
        <v>0.1</v>
      </c>
      <c r="B6" s="6">
        <v>0</v>
      </c>
      <c r="C6" s="5">
        <f>OptocouplerTable[[#This Row],[Vs1 (V)]]-OptocouplerTable[[#This Row],[VR1 (V)]]</f>
        <v>0.1</v>
      </c>
      <c r="D6" s="3">
        <v>150.1</v>
      </c>
      <c r="E6" s="7">
        <v>0</v>
      </c>
      <c r="F6" s="8">
        <f>OptocouplerTable[[#This Row],[Vs1 (V)]]*OptocouplerTable[[#This Row],[Is (A)]]</f>
        <v>0</v>
      </c>
      <c r="G6" s="8">
        <f>OptocouplerTable[[#This Row],[Is (A)]]*OptocouplerTable[[#This Row],[VD1 (V)]]</f>
        <v>0</v>
      </c>
      <c r="H6" s="8">
        <f>OptocouplerTable[[#This Row],[Is (A)]]*OptocouplerTable[[#This Row],[VR1 (V)]]</f>
        <v>0</v>
      </c>
      <c r="I6" s="2"/>
      <c r="J6" s="2"/>
      <c r="K6" s="2"/>
      <c r="L6" s="2"/>
      <c r="M6" s="2"/>
      <c r="N6" s="7">
        <f>OptocouplerTable[[#This Row],[VR1 (V)]]/OptocouplerTable[[#This Row],[R1 (Ω)]]</f>
        <v>0</v>
      </c>
      <c r="O6" s="7">
        <f>N6-OptocouplerTable[[#This Row],[Is (A)]]</f>
        <v>0</v>
      </c>
      <c r="P6" t="e">
        <f>O6/OptocouplerTable[[#This Row],[Is (A)]]</f>
        <v>#DIV/0!</v>
      </c>
      <c r="Q6" s="9" t="e">
        <f t="shared" ref="Q6:Q22" si="0">P6</f>
        <v>#DIV/0!</v>
      </c>
    </row>
    <row r="7" spans="1:17" x14ac:dyDescent="0.25">
      <c r="A7" s="3">
        <v>0.2</v>
      </c>
      <c r="B7" s="6">
        <v>0</v>
      </c>
      <c r="C7" s="5">
        <f>OptocouplerTable[[#This Row],[Vs1 (V)]]-OptocouplerTable[[#This Row],[VR1 (V)]]</f>
        <v>0.2</v>
      </c>
      <c r="D7" s="3">
        <v>150.1</v>
      </c>
      <c r="E7" s="7">
        <v>0</v>
      </c>
      <c r="F7" s="8">
        <f>OptocouplerTable[[#This Row],[Vs1 (V)]]*OptocouplerTable[[#This Row],[Is (A)]]</f>
        <v>0</v>
      </c>
      <c r="G7" s="8">
        <f>OptocouplerTable[[#This Row],[Is (A)]]*OptocouplerTable[[#This Row],[VD1 (V)]]</f>
        <v>0</v>
      </c>
      <c r="H7" s="8">
        <f>OptocouplerTable[[#This Row],[Is (A)]]*OptocouplerTable[[#This Row],[VR1 (V)]]</f>
        <v>0</v>
      </c>
      <c r="I7" s="2"/>
      <c r="J7" s="2"/>
      <c r="K7" s="2"/>
      <c r="L7" s="2"/>
      <c r="M7" s="2"/>
      <c r="N7" s="7">
        <f>OptocouplerTable[[#This Row],[VR1 (V)]]/OptocouplerTable[[#This Row],[R1 (Ω)]]</f>
        <v>0</v>
      </c>
      <c r="O7" s="7">
        <f>N7-OptocouplerTable[[#This Row],[Is (A)]]</f>
        <v>0</v>
      </c>
      <c r="P7" t="e">
        <f>O7/OptocouplerTable[[#This Row],[Is (A)]]</f>
        <v>#DIV/0!</v>
      </c>
      <c r="Q7" s="9" t="e">
        <f t="shared" si="0"/>
        <v>#DIV/0!</v>
      </c>
    </row>
    <row r="8" spans="1:17" x14ac:dyDescent="0.25">
      <c r="A8" s="3">
        <v>0.3</v>
      </c>
      <c r="B8" s="6">
        <v>0</v>
      </c>
      <c r="C8" s="5">
        <f>OptocouplerTable[[#This Row],[Vs1 (V)]]-OptocouplerTable[[#This Row],[VR1 (V)]]</f>
        <v>0.3</v>
      </c>
      <c r="D8" s="3">
        <v>150.1</v>
      </c>
      <c r="E8" s="7">
        <v>0</v>
      </c>
      <c r="F8" s="8">
        <f>OptocouplerTable[[#This Row],[Vs1 (V)]]*OptocouplerTable[[#This Row],[Is (A)]]</f>
        <v>0</v>
      </c>
      <c r="G8" s="8">
        <f>OptocouplerTable[[#This Row],[Is (A)]]*OptocouplerTable[[#This Row],[VD1 (V)]]</f>
        <v>0</v>
      </c>
      <c r="H8" s="8">
        <f>OptocouplerTable[[#This Row],[Is (A)]]*OptocouplerTable[[#This Row],[VR1 (V)]]</f>
        <v>0</v>
      </c>
      <c r="I8" s="2"/>
      <c r="J8" s="2"/>
      <c r="K8" s="2"/>
      <c r="L8" s="2"/>
      <c r="M8" s="2"/>
      <c r="N8" s="7">
        <f>OptocouplerTable[[#This Row],[VR1 (V)]]/OptocouplerTable[[#This Row],[R1 (Ω)]]</f>
        <v>0</v>
      </c>
      <c r="O8" s="7">
        <f>N8-OptocouplerTable[[#This Row],[Is (A)]]</f>
        <v>0</v>
      </c>
      <c r="P8" t="e">
        <f>O8/OptocouplerTable[[#This Row],[Is (A)]]</f>
        <v>#DIV/0!</v>
      </c>
      <c r="Q8" s="9" t="e">
        <f t="shared" si="0"/>
        <v>#DIV/0!</v>
      </c>
    </row>
    <row r="9" spans="1:17" x14ac:dyDescent="0.25">
      <c r="A9" s="3">
        <v>0.4</v>
      </c>
      <c r="B9" s="6">
        <v>0</v>
      </c>
      <c r="C9" s="5">
        <f>OptocouplerTable[[#This Row],[Vs1 (V)]]-OptocouplerTable[[#This Row],[VR1 (V)]]</f>
        <v>0.4</v>
      </c>
      <c r="D9" s="3">
        <v>150.1</v>
      </c>
      <c r="E9" s="7">
        <v>0</v>
      </c>
      <c r="F9" s="8">
        <f>OptocouplerTable[[#This Row],[Vs1 (V)]]*OptocouplerTable[[#This Row],[Is (A)]]</f>
        <v>0</v>
      </c>
      <c r="G9" s="8">
        <f>OptocouplerTable[[#This Row],[Is (A)]]*OptocouplerTable[[#This Row],[VD1 (V)]]</f>
        <v>0</v>
      </c>
      <c r="H9" s="8">
        <f>OptocouplerTable[[#This Row],[Is (A)]]*OptocouplerTable[[#This Row],[VR1 (V)]]</f>
        <v>0</v>
      </c>
      <c r="I9" s="2"/>
      <c r="J9" s="2"/>
      <c r="K9" s="2"/>
      <c r="L9" s="2"/>
      <c r="M9" s="2"/>
      <c r="N9" s="7">
        <f>OptocouplerTable[[#This Row],[VR1 (V)]]/OptocouplerTable[[#This Row],[R1 (Ω)]]</f>
        <v>0</v>
      </c>
      <c r="O9" s="7">
        <f>N9-OptocouplerTable[[#This Row],[Is (A)]]</f>
        <v>0</v>
      </c>
      <c r="P9" t="e">
        <f>O9/OptocouplerTable[[#This Row],[Is (A)]]</f>
        <v>#DIV/0!</v>
      </c>
      <c r="Q9" s="9" t="e">
        <f t="shared" si="0"/>
        <v>#DIV/0!</v>
      </c>
    </row>
    <row r="10" spans="1:17" x14ac:dyDescent="0.25">
      <c r="A10" s="3">
        <v>0.5</v>
      </c>
      <c r="B10" s="6">
        <v>0</v>
      </c>
      <c r="C10" s="5">
        <f>OptocouplerTable[[#This Row],[Vs1 (V)]]-OptocouplerTable[[#This Row],[VR1 (V)]]</f>
        <v>0.5</v>
      </c>
      <c r="D10" s="3">
        <v>150.1</v>
      </c>
      <c r="E10" s="7">
        <v>0</v>
      </c>
      <c r="F10" s="8">
        <f>OptocouplerTable[[#This Row],[Vs1 (V)]]*OptocouplerTable[[#This Row],[Is (A)]]</f>
        <v>0</v>
      </c>
      <c r="G10" s="8">
        <f>OptocouplerTable[[#This Row],[Is (A)]]*OptocouplerTable[[#This Row],[VD1 (V)]]</f>
        <v>0</v>
      </c>
      <c r="H10" s="8">
        <f>OptocouplerTable[[#This Row],[Is (A)]]*OptocouplerTable[[#This Row],[VR1 (V)]]</f>
        <v>0</v>
      </c>
      <c r="I10" s="2"/>
      <c r="J10" s="2"/>
      <c r="K10" s="2"/>
      <c r="L10" s="2"/>
      <c r="M10" s="2"/>
      <c r="N10" s="7">
        <f>OptocouplerTable[[#This Row],[VR1 (V)]]/OptocouplerTable[[#This Row],[R1 (Ω)]]</f>
        <v>0</v>
      </c>
      <c r="O10" s="7">
        <f>N10-OptocouplerTable[[#This Row],[Is (A)]]</f>
        <v>0</v>
      </c>
      <c r="P10" t="e">
        <f>O10/OptocouplerTable[[#This Row],[Is (A)]]</f>
        <v>#DIV/0!</v>
      </c>
      <c r="Q10" s="9" t="e">
        <f t="shared" si="0"/>
        <v>#DIV/0!</v>
      </c>
    </row>
    <row r="11" spans="1:17" x14ac:dyDescent="0.25">
      <c r="A11" s="3">
        <v>0.6</v>
      </c>
      <c r="B11" s="6">
        <v>0</v>
      </c>
      <c r="C11" s="5">
        <f>OptocouplerTable[[#This Row],[Vs1 (V)]]-OptocouplerTable[[#This Row],[VR1 (V)]]</f>
        <v>0.6</v>
      </c>
      <c r="D11" s="3">
        <v>150.1</v>
      </c>
      <c r="E11" s="7">
        <v>0</v>
      </c>
      <c r="F11" s="8">
        <f>OptocouplerTable[[#This Row],[Vs1 (V)]]*OptocouplerTable[[#This Row],[Is (A)]]</f>
        <v>0</v>
      </c>
      <c r="G11" s="8">
        <f>OptocouplerTable[[#This Row],[Is (A)]]*OptocouplerTable[[#This Row],[VD1 (V)]]</f>
        <v>0</v>
      </c>
      <c r="H11" s="8">
        <f>OptocouplerTable[[#This Row],[Is (A)]]*OptocouplerTable[[#This Row],[VR1 (V)]]</f>
        <v>0</v>
      </c>
      <c r="I11" s="2"/>
      <c r="J11" s="2"/>
      <c r="K11" s="2"/>
      <c r="L11" s="2"/>
      <c r="M11" s="2"/>
      <c r="N11" s="7">
        <f>OptocouplerTable[[#This Row],[VR1 (V)]]/OptocouplerTable[[#This Row],[R1 (Ω)]]</f>
        <v>0</v>
      </c>
      <c r="O11" s="7">
        <f>N11-OptocouplerTable[[#This Row],[Is (A)]]</f>
        <v>0</v>
      </c>
      <c r="P11" t="e">
        <f>O11/OptocouplerTable[[#This Row],[Is (A)]]</f>
        <v>#DIV/0!</v>
      </c>
      <c r="Q11" s="9" t="e">
        <f t="shared" si="0"/>
        <v>#DIV/0!</v>
      </c>
    </row>
    <row r="12" spans="1:17" x14ac:dyDescent="0.25">
      <c r="A12" s="3">
        <v>0.7</v>
      </c>
      <c r="B12" s="6">
        <v>3.9999999999999998E-7</v>
      </c>
      <c r="C12" s="5">
        <f>OptocouplerTable[[#This Row],[Vs1 (V)]]-OptocouplerTable[[#This Row],[VR1 (V)]]</f>
        <v>0.7</v>
      </c>
      <c r="D12" s="3">
        <v>150.1</v>
      </c>
      <c r="E12" s="7">
        <v>0</v>
      </c>
      <c r="F12" s="8">
        <f>OptocouplerTable[[#This Row],[Vs1 (V)]]*OptocouplerTable[[#This Row],[Is (A)]]</f>
        <v>2.7999999999999997E-7</v>
      </c>
      <c r="G12" s="8">
        <f>OptocouplerTable[[#This Row],[Is (A)]]*OptocouplerTable[[#This Row],[VD1 (V)]]</f>
        <v>2.7999999999999997E-7</v>
      </c>
      <c r="H12" s="8">
        <f>OptocouplerTable[[#This Row],[Is (A)]]*OptocouplerTable[[#This Row],[VR1 (V)]]</f>
        <v>0</v>
      </c>
      <c r="I12" s="2"/>
      <c r="J12" s="2"/>
      <c r="K12" s="2"/>
      <c r="L12" s="2"/>
      <c r="M12" s="2"/>
      <c r="N12" s="7">
        <f>OptocouplerTable[[#This Row],[VR1 (V)]]/OptocouplerTable[[#This Row],[R1 (Ω)]]</f>
        <v>0</v>
      </c>
      <c r="O12" s="7">
        <f>N12-OptocouplerTable[[#This Row],[Is (A)]]</f>
        <v>-3.9999999999999998E-7</v>
      </c>
      <c r="P12">
        <f>O12/OptocouplerTable[[#This Row],[Is (A)]]</f>
        <v>-1</v>
      </c>
      <c r="Q12" s="9">
        <f t="shared" si="0"/>
        <v>-1</v>
      </c>
    </row>
    <row r="13" spans="1:17" x14ac:dyDescent="0.25">
      <c r="A13" s="3">
        <v>0.8</v>
      </c>
      <c r="B13" s="6">
        <v>3.5999999999999998E-6</v>
      </c>
      <c r="C13" s="5">
        <f>OptocouplerTable[[#This Row],[Vs1 (V)]]-OptocouplerTable[[#This Row],[VR1 (V)]]</f>
        <v>0.7995000000000001</v>
      </c>
      <c r="D13" s="3">
        <v>150.1</v>
      </c>
      <c r="E13" s="7">
        <v>5.0000000000000001E-4</v>
      </c>
      <c r="F13" s="8">
        <f>OptocouplerTable[[#This Row],[Vs1 (V)]]*OptocouplerTable[[#This Row],[Is (A)]]</f>
        <v>2.88E-6</v>
      </c>
      <c r="G13" s="8">
        <f>OptocouplerTable[[#This Row],[Is (A)]]*OptocouplerTable[[#This Row],[VD1 (V)]]</f>
        <v>2.8782000000000002E-6</v>
      </c>
      <c r="H13" s="8">
        <f>OptocouplerTable[[#This Row],[Is (A)]]*OptocouplerTable[[#This Row],[VR1 (V)]]</f>
        <v>1.8E-9</v>
      </c>
      <c r="I13" s="2"/>
      <c r="J13" s="2"/>
      <c r="K13" s="2"/>
      <c r="L13" s="2"/>
      <c r="M13" s="2"/>
      <c r="N13" s="7">
        <f>OptocouplerTable[[#This Row],[VR1 (V)]]/OptocouplerTable[[#This Row],[R1 (Ω)]]</f>
        <v>3.3311125916055966E-6</v>
      </c>
      <c r="O13" s="7">
        <f>N13-OptocouplerTable[[#This Row],[Is (A)]]</f>
        <v>-2.6888740839440325E-7</v>
      </c>
      <c r="P13">
        <f>O13/OptocouplerTable[[#This Row],[Is (A)]]</f>
        <v>-7.4690946776223135E-2</v>
      </c>
      <c r="Q13" s="9">
        <f t="shared" si="0"/>
        <v>-7.4690946776223135E-2</v>
      </c>
    </row>
    <row r="14" spans="1:17" x14ac:dyDescent="0.25">
      <c r="A14" s="3">
        <v>0.9</v>
      </c>
      <c r="B14" s="6">
        <v>3.1199999999999999E-5</v>
      </c>
      <c r="C14" s="5">
        <f>OptocouplerTable[[#This Row],[Vs1 (V)]]-OptocouplerTable[[#This Row],[VR1 (V)]]</f>
        <v>0.89539999999999997</v>
      </c>
      <c r="D14" s="3">
        <v>150.1</v>
      </c>
      <c r="E14" s="7">
        <v>4.5999999999999999E-3</v>
      </c>
      <c r="F14" s="8">
        <f>OptocouplerTable[[#This Row],[Vs1 (V)]]*OptocouplerTable[[#This Row],[Is (A)]]</f>
        <v>2.8079999999999999E-5</v>
      </c>
      <c r="G14" s="8">
        <f>OptocouplerTable[[#This Row],[Is (A)]]*OptocouplerTable[[#This Row],[VD1 (V)]]</f>
        <v>2.7936479999999998E-5</v>
      </c>
      <c r="H14" s="8">
        <f>OptocouplerTable[[#This Row],[Is (A)]]*OptocouplerTable[[#This Row],[VR1 (V)]]</f>
        <v>1.4352E-7</v>
      </c>
      <c r="I14" s="2"/>
      <c r="J14" s="2"/>
      <c r="K14" s="2"/>
      <c r="L14" s="2"/>
      <c r="M14" s="2"/>
      <c r="N14" s="7">
        <f>OptocouplerTable[[#This Row],[VR1 (V)]]/OptocouplerTable[[#This Row],[R1 (Ω)]]</f>
        <v>3.0646235842771484E-5</v>
      </c>
      <c r="O14" s="7">
        <f>N14-OptocouplerTable[[#This Row],[Is (A)]]</f>
        <v>-5.5376415722851508E-7</v>
      </c>
      <c r="P14">
        <f>O14/OptocouplerTable[[#This Row],[Is (A)]]</f>
        <v>-1.7748851193221636E-2</v>
      </c>
      <c r="Q14" s="9">
        <f t="shared" si="0"/>
        <v>-1.7748851193221636E-2</v>
      </c>
    </row>
    <row r="15" spans="1:17" x14ac:dyDescent="0.25">
      <c r="A15" s="3">
        <v>1</v>
      </c>
      <c r="B15" s="6">
        <v>1.0900000000000001E-4</v>
      </c>
      <c r="C15" s="5">
        <f>OptocouplerTable[[#This Row],[Vs1 (V)]]-OptocouplerTable[[#This Row],[VR1 (V)]]</f>
        <v>0.98380000000000001</v>
      </c>
      <c r="D15" s="3">
        <v>150.1</v>
      </c>
      <c r="E15" s="7">
        <v>1.6199999999999999E-2</v>
      </c>
      <c r="F15" s="8">
        <f>OptocouplerTable[[#This Row],[Vs1 (V)]]*OptocouplerTable[[#This Row],[Is (A)]]</f>
        <v>1.0900000000000001E-4</v>
      </c>
      <c r="G15" s="8">
        <f>OptocouplerTable[[#This Row],[Is (A)]]*OptocouplerTable[[#This Row],[VD1 (V)]]</f>
        <v>1.0723420000000001E-4</v>
      </c>
      <c r="H15" s="8">
        <f>OptocouplerTable[[#This Row],[Is (A)]]*OptocouplerTable[[#This Row],[VR1 (V)]]</f>
        <v>1.7658000000000001E-6</v>
      </c>
      <c r="I15" s="2"/>
      <c r="J15" s="2"/>
      <c r="K15" s="2"/>
      <c r="L15" s="2"/>
      <c r="M15" s="2"/>
      <c r="N15" s="7">
        <f>OptocouplerTable[[#This Row],[VR1 (V)]]/OptocouplerTable[[#This Row],[R1 (Ω)]]</f>
        <v>1.0792804796802132E-4</v>
      </c>
      <c r="O15" s="7">
        <f>N15-OptocouplerTable[[#This Row],[Is (A)]]</f>
        <v>-1.0719520319786867E-6</v>
      </c>
      <c r="P15">
        <f>O15/OptocouplerTable[[#This Row],[Is (A)]]</f>
        <v>-9.8344223117310704E-3</v>
      </c>
      <c r="Q15" s="9">
        <f t="shared" si="0"/>
        <v>-9.8344223117310704E-3</v>
      </c>
    </row>
    <row r="16" spans="1:17" x14ac:dyDescent="0.25">
      <c r="A16" s="3">
        <v>1.06</v>
      </c>
      <c r="B16" s="6">
        <v>2.5000000000000001E-4</v>
      </c>
      <c r="C16" s="5">
        <f>OptocouplerTable[[#This Row],[Vs1 (V)]]-OptocouplerTable[[#This Row],[VR1 (V)]]</f>
        <v>1.0228000000000002</v>
      </c>
      <c r="D16" s="3">
        <v>150.1</v>
      </c>
      <c r="E16" s="7">
        <v>3.7199999999999997E-2</v>
      </c>
      <c r="F16" s="8">
        <f>OptocouplerTable[[#This Row],[Vs1 (V)]]*OptocouplerTable[[#This Row],[Is (A)]]</f>
        <v>2.6500000000000004E-4</v>
      </c>
      <c r="G16" s="8">
        <f>OptocouplerTable[[#This Row],[Is (A)]]*OptocouplerTable[[#This Row],[VD1 (V)]]</f>
        <v>2.5570000000000004E-4</v>
      </c>
      <c r="H16" s="8">
        <f>OptocouplerTable[[#This Row],[Is (A)]]*OptocouplerTable[[#This Row],[VR1 (V)]]</f>
        <v>9.299999999999999E-6</v>
      </c>
      <c r="I16" s="2"/>
      <c r="J16" s="2"/>
      <c r="K16" s="2"/>
      <c r="L16" s="2"/>
      <c r="M16" s="2"/>
      <c r="N16" s="7">
        <f>OptocouplerTable[[#This Row],[VR1 (V)]]/OptocouplerTable[[#This Row],[R1 (Ω)]]</f>
        <v>2.4783477681545636E-4</v>
      </c>
      <c r="O16" s="7">
        <f>N16-OptocouplerTable[[#This Row],[Is (A)]]</f>
        <v>-2.1652231845436447E-6</v>
      </c>
      <c r="P16">
        <f>O16/OptocouplerTable[[#This Row],[Is (A)]]</f>
        <v>-8.6608927381745787E-3</v>
      </c>
      <c r="Q16" s="9">
        <f t="shared" si="0"/>
        <v>-8.6608927381745787E-3</v>
      </c>
    </row>
    <row r="17" spans="1:17" x14ac:dyDescent="0.25">
      <c r="A17" s="3">
        <v>1.1299999999999999</v>
      </c>
      <c r="B17" s="6">
        <v>4.0000000000000002E-4</v>
      </c>
      <c r="C17" s="5">
        <f>OptocouplerTable[[#This Row],[Vs1 (V)]]-OptocouplerTable[[#This Row],[VR1 (V)]]</f>
        <v>1.0702999999999998</v>
      </c>
      <c r="D17" s="3">
        <v>150.1</v>
      </c>
      <c r="E17" s="7">
        <v>5.9700000000000003E-2</v>
      </c>
      <c r="F17" s="8">
        <f>OptocouplerTable[[#This Row],[Vs1 (V)]]*OptocouplerTable[[#This Row],[Is (A)]]</f>
        <v>4.5199999999999998E-4</v>
      </c>
      <c r="G17" s="8">
        <f>OptocouplerTable[[#This Row],[Is (A)]]*OptocouplerTable[[#This Row],[VD1 (V)]]</f>
        <v>4.2811999999999993E-4</v>
      </c>
      <c r="H17" s="8">
        <f>OptocouplerTable[[#This Row],[Is (A)]]*OptocouplerTable[[#This Row],[VR1 (V)]]</f>
        <v>2.3880000000000002E-5</v>
      </c>
      <c r="I17" s="2">
        <v>3.06</v>
      </c>
      <c r="J17" s="2">
        <v>150</v>
      </c>
      <c r="K17" s="4">
        <v>2.3000000000000001E-4</v>
      </c>
      <c r="L17" s="2">
        <f>OptocouplerTable[[#This Row],[R2 (Ω)]]*OptocouplerTable[[#This Row],[IE]]</f>
        <v>3.4500000000000003E-2</v>
      </c>
      <c r="M17" s="2">
        <f>OptocouplerTable[[#This Row],[Vs2 (V)]]-OptocouplerTable[[#This Row],[VR2 (V)]]</f>
        <v>3.0255000000000001</v>
      </c>
      <c r="N17" s="7">
        <f>OptocouplerTable[[#This Row],[VR1 (V)]]/OptocouplerTable[[#This Row],[R1 (Ω)]]</f>
        <v>3.9773484343770825E-4</v>
      </c>
      <c r="O17" s="7">
        <f>N17-OptocouplerTable[[#This Row],[Is (A)]]</f>
        <v>-2.2651565622917695E-6</v>
      </c>
      <c r="P17">
        <f>O17/OptocouplerTable[[#This Row],[Is (A)]]</f>
        <v>-5.6628914057294238E-3</v>
      </c>
      <c r="Q17" s="9">
        <f t="shared" si="0"/>
        <v>-5.6628914057294238E-3</v>
      </c>
    </row>
    <row r="18" spans="1:17" x14ac:dyDescent="0.25">
      <c r="A18" s="3">
        <v>1.3</v>
      </c>
      <c r="B18" s="6">
        <v>1E-3</v>
      </c>
      <c r="C18" s="5">
        <f>OptocouplerTable[[#This Row],[Vs1 (V)]]-OptocouplerTable[[#This Row],[VR1 (V)]]</f>
        <v>1.151</v>
      </c>
      <c r="D18" s="3">
        <v>150.1</v>
      </c>
      <c r="E18" s="7">
        <v>0.14899999999999999</v>
      </c>
      <c r="F18" s="8">
        <f>OptocouplerTable[[#This Row],[Vs1 (V)]]*OptocouplerTable[[#This Row],[Is (A)]]</f>
        <v>1.3000000000000002E-3</v>
      </c>
      <c r="G18" s="8">
        <f>OptocouplerTable[[#This Row],[Is (A)]]*OptocouplerTable[[#This Row],[VD1 (V)]]</f>
        <v>1.1510000000000001E-3</v>
      </c>
      <c r="H18" s="8">
        <f>OptocouplerTable[[#This Row],[Is (A)]]*OptocouplerTable[[#This Row],[VR1 (V)]]</f>
        <v>1.4899999999999999E-4</v>
      </c>
      <c r="I18" s="2">
        <v>3.06</v>
      </c>
      <c r="J18" s="2">
        <v>150</v>
      </c>
      <c r="K18" s="4">
        <v>1.2999999999999999E-3</v>
      </c>
      <c r="L18" s="2">
        <f>OptocouplerTable[[#This Row],[R2 (Ω)]]*OptocouplerTable[[#This Row],[IE]]</f>
        <v>0.19499999999999998</v>
      </c>
      <c r="M18" s="2">
        <f>OptocouplerTable[[#This Row],[Vs2 (V)]]-OptocouplerTable[[#This Row],[VR2 (V)]]</f>
        <v>2.8650000000000002</v>
      </c>
      <c r="N18" s="7">
        <f>OptocouplerTable[[#This Row],[VR1 (V)]]/OptocouplerTable[[#This Row],[R1 (Ω)]]</f>
        <v>9.9267155229846769E-4</v>
      </c>
      <c r="O18" s="7">
        <f>N18-OptocouplerTable[[#This Row],[Is (A)]]</f>
        <v>-7.3284477015323358E-6</v>
      </c>
      <c r="P18">
        <f>O18/OptocouplerTable[[#This Row],[Is (A)]]</f>
        <v>-7.3284477015323358E-3</v>
      </c>
      <c r="Q18" s="9">
        <f t="shared" si="0"/>
        <v>-7.3284477015323358E-3</v>
      </c>
    </row>
    <row r="19" spans="1:17" x14ac:dyDescent="0.25">
      <c r="A19" s="3">
        <v>1.88</v>
      </c>
      <c r="B19" s="6">
        <v>5.0000000000000001E-3</v>
      </c>
      <c r="C19" s="5">
        <f>OptocouplerTable[[#This Row],[Vs1 (V)]]-OptocouplerTable[[#This Row],[VR1 (V)]]</f>
        <v>1.1349999999999998</v>
      </c>
      <c r="D19" s="3">
        <v>150.1</v>
      </c>
      <c r="E19" s="7">
        <v>0.745</v>
      </c>
      <c r="F19" s="8">
        <f>OptocouplerTable[[#This Row],[Vs1 (V)]]*OptocouplerTable[[#This Row],[Is (A)]]</f>
        <v>9.4000000000000004E-3</v>
      </c>
      <c r="G19" s="8">
        <f>OptocouplerTable[[#This Row],[Is (A)]]*OptocouplerTable[[#This Row],[VD1 (V)]]</f>
        <v>5.6749999999999986E-3</v>
      </c>
      <c r="H19" s="8">
        <f>OptocouplerTable[[#This Row],[Is (A)]]*OptocouplerTable[[#This Row],[VR1 (V)]]</f>
        <v>3.725E-3</v>
      </c>
      <c r="I19" s="2">
        <v>3.06</v>
      </c>
      <c r="J19" s="2">
        <v>150</v>
      </c>
      <c r="K19" s="4">
        <v>1.175E-2</v>
      </c>
      <c r="L19" s="2">
        <f>OptocouplerTable[[#This Row],[R2 (Ω)]]*OptocouplerTable[[#This Row],[IE]]</f>
        <v>1.7625</v>
      </c>
      <c r="M19" s="2">
        <f>OptocouplerTable[[#This Row],[Vs2 (V)]]-OptocouplerTable[[#This Row],[VR2 (V)]]</f>
        <v>1.2975000000000001</v>
      </c>
      <c r="N19" s="7">
        <f>OptocouplerTable[[#This Row],[VR1 (V)]]/OptocouplerTable[[#This Row],[R1 (Ω)]]</f>
        <v>4.9633577614923386E-3</v>
      </c>
      <c r="O19" s="7">
        <f>N19-OptocouplerTable[[#This Row],[Is (A)]]</f>
        <v>-3.6642238507661462E-5</v>
      </c>
      <c r="P19">
        <f>O19/OptocouplerTable[[#This Row],[Is (A)]]</f>
        <v>-7.3284477015322924E-3</v>
      </c>
      <c r="Q19" s="9">
        <f t="shared" si="0"/>
        <v>-7.3284477015322924E-3</v>
      </c>
    </row>
    <row r="20" spans="1:17" x14ac:dyDescent="0.25">
      <c r="A20" s="3">
        <v>2.68</v>
      </c>
      <c r="B20" s="6">
        <v>0.01</v>
      </c>
      <c r="C20" s="5">
        <f>OptocouplerTable[[#This Row],[Vs1 (V)]]-OptocouplerTable[[#This Row],[VR1 (V)]]</f>
        <v>1.1910000000000001</v>
      </c>
      <c r="D20" s="3">
        <v>150.1</v>
      </c>
      <c r="E20" s="7">
        <v>1.4890000000000001</v>
      </c>
      <c r="F20" s="8">
        <f>OptocouplerTable[[#This Row],[Vs1 (V)]]*OptocouplerTable[[#This Row],[Is (A)]]</f>
        <v>2.6800000000000001E-2</v>
      </c>
      <c r="G20" s="8">
        <f>OptocouplerTable[[#This Row],[Is (A)]]*OptocouplerTable[[#This Row],[VD1 (V)]]</f>
        <v>1.191E-2</v>
      </c>
      <c r="H20" s="8">
        <f>OptocouplerTable[[#This Row],[Is (A)]]*OptocouplerTable[[#This Row],[VR1 (V)]]</f>
        <v>1.489E-2</v>
      </c>
      <c r="I20" s="2">
        <v>3.06</v>
      </c>
      <c r="J20" s="2">
        <v>150</v>
      </c>
      <c r="K20" s="4">
        <v>1.439E-2</v>
      </c>
      <c r="L20" s="2">
        <f>OptocouplerTable[[#This Row],[R2 (Ω)]]*OptocouplerTable[[#This Row],[IE]]</f>
        <v>2.1585000000000001</v>
      </c>
      <c r="M20" s="2">
        <f>OptocouplerTable[[#This Row],[Vs2 (V)]]-OptocouplerTable[[#This Row],[VR2 (V)]]</f>
        <v>0.90149999999999997</v>
      </c>
      <c r="N20" s="7">
        <f>OptocouplerTable[[#This Row],[VR1 (V)]]/OptocouplerTable[[#This Row],[R1 (Ω)]]</f>
        <v>9.9200532978014674E-3</v>
      </c>
      <c r="O20" s="7">
        <f>N20-OptocouplerTable[[#This Row],[Is (A)]]</f>
        <v>-7.9946702198532837E-5</v>
      </c>
      <c r="P20">
        <f>O20/OptocouplerTable[[#This Row],[Is (A)]]</f>
        <v>-7.9946702198532837E-3</v>
      </c>
      <c r="Q20" s="9">
        <f t="shared" si="0"/>
        <v>-7.9946702198532837E-3</v>
      </c>
    </row>
    <row r="21" spans="1:17" x14ac:dyDescent="0.25">
      <c r="A21" s="3">
        <v>3.47</v>
      </c>
      <c r="B21" s="6">
        <v>1.4999999999999999E-2</v>
      </c>
      <c r="C21" s="5">
        <f>OptocouplerTable[[#This Row],[Vs1 (V)]]-OptocouplerTable[[#This Row],[VR1 (V)]]</f>
        <v>1.2400000000000002</v>
      </c>
      <c r="D21" s="3">
        <v>150.1</v>
      </c>
      <c r="E21" s="7">
        <v>2.23</v>
      </c>
      <c r="F21" s="8">
        <f>OptocouplerTable[[#This Row],[Vs1 (V)]]*OptocouplerTable[[#This Row],[Is (A)]]</f>
        <v>5.2049999999999999E-2</v>
      </c>
      <c r="G21" s="8">
        <f>OptocouplerTable[[#This Row],[Is (A)]]*OptocouplerTable[[#This Row],[VD1 (V)]]</f>
        <v>1.8600000000000002E-2</v>
      </c>
      <c r="H21" s="8">
        <f>OptocouplerTable[[#This Row],[Is (A)]]*OptocouplerTable[[#This Row],[VR1 (V)]]</f>
        <v>3.3450000000000001E-2</v>
      </c>
      <c r="I21" s="2">
        <v>3.06</v>
      </c>
      <c r="J21" s="2">
        <v>150</v>
      </c>
      <c r="K21" s="4">
        <v>1.5049999999999999E-2</v>
      </c>
      <c r="L21" s="2">
        <f>OptocouplerTable[[#This Row],[R2 (Ω)]]*OptocouplerTable[[#This Row],[IE]]</f>
        <v>2.2574999999999998</v>
      </c>
      <c r="M21" s="2">
        <f>OptocouplerTable[[#This Row],[Vs2 (V)]]-OptocouplerTable[[#This Row],[VR2 (V)]]</f>
        <v>0.80250000000000021</v>
      </c>
      <c r="N21" s="7">
        <f>OptocouplerTable[[#This Row],[VR1 (V)]]/OptocouplerTable[[#This Row],[R1 (Ω)]]</f>
        <v>1.485676215856096E-2</v>
      </c>
      <c r="O21" s="7">
        <f>N21-OptocouplerTable[[#This Row],[Is (A)]]</f>
        <v>-1.4323784143903916E-4</v>
      </c>
      <c r="P21">
        <f>O21/OptocouplerTable[[#This Row],[Is (A)]]</f>
        <v>-9.5491894292692777E-3</v>
      </c>
      <c r="Q21" s="9">
        <f t="shared" si="0"/>
        <v>-9.5491894292692777E-3</v>
      </c>
    </row>
    <row r="22" spans="1:17" x14ac:dyDescent="0.25">
      <c r="A22" s="3">
        <v>4.24</v>
      </c>
      <c r="B22" s="6">
        <v>0.02</v>
      </c>
      <c r="C22" s="5">
        <f>OptocouplerTable[[#This Row],[Vs1 (V)]]-OptocouplerTable[[#This Row],[VR1 (V)]]</f>
        <v>1.27</v>
      </c>
      <c r="D22" s="3">
        <v>150.1</v>
      </c>
      <c r="E22" s="7">
        <v>2.97</v>
      </c>
      <c r="F22" s="8">
        <f>OptocouplerTable[[#This Row],[Vs1 (V)]]*OptocouplerTable[[#This Row],[Is (A)]]</f>
        <v>8.48E-2</v>
      </c>
      <c r="G22" s="8">
        <f>OptocouplerTable[[#This Row],[Is (A)]]*OptocouplerTable[[#This Row],[VD1 (V)]]</f>
        <v>2.5400000000000002E-2</v>
      </c>
      <c r="H22" s="8">
        <f>OptocouplerTable[[#This Row],[Is (A)]]*OptocouplerTable[[#This Row],[VR1 (V)]]</f>
        <v>5.9400000000000008E-2</v>
      </c>
      <c r="I22" s="2">
        <v>3.06</v>
      </c>
      <c r="J22" s="2">
        <v>150</v>
      </c>
      <c r="K22" s="4">
        <v>1.6E-2</v>
      </c>
      <c r="L22" s="2">
        <f>OptocouplerTable[[#This Row],[R2 (Ω)]]*OptocouplerTable[[#This Row],[IE]]</f>
        <v>2.4</v>
      </c>
      <c r="M22" s="2">
        <f>OptocouplerTable[[#This Row],[Vs2 (V)]]-OptocouplerTable[[#This Row],[VR2 (V)]]</f>
        <v>0.66000000000000014</v>
      </c>
      <c r="N22" s="7">
        <f>OptocouplerTable[[#This Row],[VR1 (V)]]/OptocouplerTable[[#This Row],[R1 (Ω)]]</f>
        <v>1.9786808794137245E-2</v>
      </c>
      <c r="O22" s="7">
        <f>N22-OptocouplerTable[[#This Row],[Is (A)]]</f>
        <v>-2.1319120586275539E-4</v>
      </c>
      <c r="P22">
        <f>O22/OptocouplerTable[[#This Row],[Is (A)]]</f>
        <v>-1.0659560293137769E-2</v>
      </c>
      <c r="Q22" s="9">
        <f t="shared" si="0"/>
        <v>-1.0659560293137769E-2</v>
      </c>
    </row>
  </sheetData>
  <mergeCells count="1">
    <mergeCell ref="A1:I3"/>
  </mergeCells>
  <pageMargins left="0.7" right="0.7" top="0.75" bottom="0.75" header="0.3" footer="0.3"/>
  <pageSetup orientation="portrait" horizontalDpi="4294967293" verticalDpi="0"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280281-1834-4643-893F-6768E0777928}">
  <dimension ref="A1:S41"/>
  <sheetViews>
    <sheetView zoomScaleNormal="100" workbookViewId="0">
      <selection activeCell="B21" sqref="B21"/>
    </sheetView>
  </sheetViews>
  <sheetFormatPr defaultRowHeight="15" x14ac:dyDescent="0.25"/>
  <cols>
    <col min="1" max="1" width="6.5703125" bestFit="1" customWidth="1"/>
    <col min="2" max="2" width="9.5703125" bestFit="1" customWidth="1"/>
    <col min="3" max="3" width="6.5703125" bestFit="1" customWidth="1"/>
    <col min="4" max="4" width="13.42578125" bestFit="1" customWidth="1"/>
    <col min="5" max="5" width="9.5703125" bestFit="1" customWidth="1"/>
    <col min="6" max="6" width="6.5703125" bestFit="1" customWidth="1"/>
    <col min="7" max="7" width="13.42578125" bestFit="1" customWidth="1"/>
    <col min="8" max="8" width="14" bestFit="1" customWidth="1"/>
    <col min="9" max="11" width="10.28515625" bestFit="1" customWidth="1"/>
    <col min="12" max="16" width="9.5703125" bestFit="1" customWidth="1"/>
    <col min="17" max="17" width="14.42578125" bestFit="1" customWidth="1"/>
    <col min="18" max="19" width="9.5703125" bestFit="1" customWidth="1"/>
  </cols>
  <sheetData>
    <row r="1" spans="1:19" ht="15" customHeight="1" x14ac:dyDescent="0.25">
      <c r="A1" s="18" t="s">
        <v>35</v>
      </c>
      <c r="B1" s="18"/>
      <c r="C1" s="18"/>
      <c r="D1" s="18"/>
      <c r="E1" s="18"/>
      <c r="F1" s="18"/>
      <c r="G1" s="18"/>
      <c r="H1" s="18"/>
      <c r="I1" s="18"/>
      <c r="J1" s="18"/>
      <c r="K1" s="18"/>
      <c r="L1" s="18"/>
      <c r="M1" s="18"/>
      <c r="N1" s="18"/>
      <c r="O1" s="18"/>
      <c r="P1" s="18"/>
      <c r="Q1" s="18"/>
    </row>
    <row r="2" spans="1:19" x14ac:dyDescent="0.25">
      <c r="A2" s="18"/>
      <c r="B2" s="18"/>
      <c r="C2" s="18"/>
      <c r="D2" s="18"/>
      <c r="E2" s="18"/>
      <c r="F2" s="18"/>
      <c r="G2" s="18"/>
      <c r="H2" s="18"/>
      <c r="I2" s="18"/>
      <c r="J2" s="18"/>
      <c r="K2" s="18"/>
      <c r="L2" s="18"/>
      <c r="M2" s="18"/>
      <c r="N2" s="18"/>
      <c r="O2" s="18"/>
      <c r="P2" s="18"/>
      <c r="Q2" s="18"/>
    </row>
    <row r="3" spans="1:19" x14ac:dyDescent="0.25">
      <c r="A3" s="18"/>
      <c r="B3" s="18"/>
      <c r="C3" s="18"/>
      <c r="D3" s="18"/>
      <c r="E3" s="18"/>
      <c r="F3" s="18"/>
      <c r="G3" s="18"/>
      <c r="H3" s="18"/>
      <c r="I3" s="18"/>
      <c r="J3" s="18"/>
      <c r="K3" s="18"/>
      <c r="L3" s="18"/>
      <c r="M3" s="18"/>
      <c r="N3" s="18"/>
      <c r="O3" s="18"/>
      <c r="P3" s="18"/>
      <c r="Q3" s="18"/>
    </row>
    <row r="4" spans="1:19" x14ac:dyDescent="0.25">
      <c r="A4" s="1" t="s">
        <v>2</v>
      </c>
      <c r="B4" s="1" t="s">
        <v>17</v>
      </c>
      <c r="C4" s="1" t="s">
        <v>18</v>
      </c>
      <c r="D4" s="1" t="s">
        <v>27</v>
      </c>
      <c r="E4" s="1" t="s">
        <v>20</v>
      </c>
      <c r="F4" s="1" t="s">
        <v>37</v>
      </c>
      <c r="G4" s="1" t="s">
        <v>33</v>
      </c>
      <c r="H4" s="1" t="s">
        <v>38</v>
      </c>
      <c r="I4" s="1" t="s">
        <v>36</v>
      </c>
      <c r="J4" s="1" t="s">
        <v>19</v>
      </c>
      <c r="K4" s="1" t="s">
        <v>16</v>
      </c>
      <c r="L4" s="1" t="s">
        <v>22</v>
      </c>
      <c r="M4" s="1" t="s">
        <v>23</v>
      </c>
      <c r="N4" s="1" t="s">
        <v>4</v>
      </c>
      <c r="O4" s="1" t="s">
        <v>24</v>
      </c>
      <c r="P4" s="1" t="s">
        <v>34</v>
      </c>
      <c r="Q4" s="1" t="s">
        <v>25</v>
      </c>
      <c r="R4" s="1" t="s">
        <v>26</v>
      </c>
      <c r="S4" s="10" t="s">
        <v>21</v>
      </c>
    </row>
    <row r="5" spans="1:19" x14ac:dyDescent="0.25">
      <c r="A5" s="11">
        <v>0.1</v>
      </c>
      <c r="B5" s="12">
        <v>0</v>
      </c>
      <c r="C5" s="13">
        <v>149.80000000000001</v>
      </c>
      <c r="D5" s="12">
        <f>RedLEDTable4[[#This Row],[IB (A)]]*RedLEDTable4[[#This Row],[RB (Ω)]]</f>
        <v>0</v>
      </c>
      <c r="E5" s="12">
        <v>0</v>
      </c>
      <c r="F5" s="13">
        <v>1.3</v>
      </c>
      <c r="G5" s="12">
        <v>0</v>
      </c>
      <c r="H5" s="12">
        <f>RedLEDTable4[[#This Row],[VRE (V)]]/RedLEDTable4[[#This Row],[RE (Ω)]]</f>
        <v>0</v>
      </c>
      <c r="I5" s="17" t="e">
        <f>2*(RedLEDTable4[[#This Row],[VRE (V)/RE (Ω)]]-RedLEDTable4[[#This Row],[IE (A)]])/(RedLEDTable4[[#This Row],[VRE (V)/RE (Ω)]]+RedLEDTable4[[#This Row],[IE (A)]])</f>
        <v>#DIV/0!</v>
      </c>
      <c r="J5" s="12">
        <f>RedLEDTable4[[#This Row],[IE (A)]]-RedLEDTable4[[#This Row],[IB (A)]]</f>
        <v>0</v>
      </c>
      <c r="K5" s="12">
        <f>RedLEDTable4[[#This Row],[Vs (V)]]-RedLEDTable4[[#This Row],[VRE (V)]]</f>
        <v>0.1</v>
      </c>
      <c r="L5" s="12">
        <f>RedLEDTable4[[#This Row],[Vs (V)]]-RedLEDTable4[[#This Row],[VRB (V)]]-RedLEDTable4[[#This Row],[VRE (V)]]</f>
        <v>0.1</v>
      </c>
      <c r="M5" s="12">
        <f>RedLEDTable4[[#This Row],[VCE (V)]]-RedLEDTable4[[#This Row],[VBE (V)]]</f>
        <v>0</v>
      </c>
      <c r="N5" s="12">
        <f>RedLEDTable4[[#This Row],[Vs (V)]]*RedLEDTable4[[#This Row],[IE (A)]]</f>
        <v>0</v>
      </c>
      <c r="O5" s="12">
        <f>RedLEDTable4[[#This Row],[IB (A)]]*RedLEDTable4[[#This Row],[VRB (V)]]</f>
        <v>0</v>
      </c>
      <c r="P5" s="12">
        <f>RedLEDTable4[[#This Row],[IE (A)]]*RedLEDTable4[[#This Row],[VRE (V)]]</f>
        <v>0</v>
      </c>
      <c r="Q5" s="12">
        <f>RedLEDTable4[[#This Row],[IC (A)]]*RedLEDTable4[[#This Row],[VCE (V)]]</f>
        <v>0</v>
      </c>
      <c r="R5" s="12">
        <f>RedLEDTable4[[#This Row],[IE (A)]]*RedLEDTable4[[#This Row],[VBE (V)]]</f>
        <v>0</v>
      </c>
      <c r="S5" s="14" t="e">
        <f>RedLEDTable4[[#This Row],[IC (A)]]/RedLEDTable4[[#This Row],[IB (A)]]</f>
        <v>#DIV/0!</v>
      </c>
    </row>
    <row r="6" spans="1:19" x14ac:dyDescent="0.25">
      <c r="A6" s="11">
        <v>0.2</v>
      </c>
      <c r="B6" s="12">
        <v>0</v>
      </c>
      <c r="C6" s="13">
        <v>149.80000000000001</v>
      </c>
      <c r="D6" s="12">
        <f>RedLEDTable4[[#This Row],[IB (A)]]*RedLEDTable4[[#This Row],[RB (Ω)]]</f>
        <v>0</v>
      </c>
      <c r="E6" s="12">
        <v>0</v>
      </c>
      <c r="F6" s="13">
        <v>1.3</v>
      </c>
      <c r="G6" s="12">
        <v>0</v>
      </c>
      <c r="H6" s="12">
        <f>RedLEDTable4[[#This Row],[VRE (V)]]/RedLEDTable4[[#This Row],[RE (Ω)]]</f>
        <v>0</v>
      </c>
      <c r="I6" s="17" t="e">
        <f>2*(RedLEDTable4[[#This Row],[VRE (V)/RE (Ω)]]-RedLEDTable4[[#This Row],[IE (A)]])/(RedLEDTable4[[#This Row],[VRE (V)/RE (Ω)]]+RedLEDTable4[[#This Row],[IE (A)]])</f>
        <v>#DIV/0!</v>
      </c>
      <c r="J6" s="12">
        <f>RedLEDTable4[[#This Row],[IE (A)]]-RedLEDTable4[[#This Row],[IB (A)]]</f>
        <v>0</v>
      </c>
      <c r="K6" s="12">
        <f>RedLEDTable4[[#This Row],[Vs (V)]]-RedLEDTable4[[#This Row],[VRE (V)]]</f>
        <v>0.2</v>
      </c>
      <c r="L6" s="12">
        <f>RedLEDTable4[[#This Row],[Vs (V)]]-RedLEDTable4[[#This Row],[VRB (V)]]-RedLEDTable4[[#This Row],[VRE (V)]]</f>
        <v>0.2</v>
      </c>
      <c r="M6" s="12">
        <f>RedLEDTable4[[#This Row],[VCE (V)]]-RedLEDTable4[[#This Row],[VBE (V)]]</f>
        <v>0</v>
      </c>
      <c r="N6" s="12">
        <f>RedLEDTable4[[#This Row],[Vs (V)]]*RedLEDTable4[[#This Row],[IE (A)]]</f>
        <v>0</v>
      </c>
      <c r="O6" s="12">
        <f>RedLEDTable4[[#This Row],[IB (A)]]*RedLEDTable4[[#This Row],[VRB (V)]]</f>
        <v>0</v>
      </c>
      <c r="P6" s="12">
        <f>RedLEDTable4[[#This Row],[IE (A)]]*RedLEDTable4[[#This Row],[VRE (V)]]</f>
        <v>0</v>
      </c>
      <c r="Q6" s="12">
        <f>RedLEDTable4[[#This Row],[IC (A)]]*RedLEDTable4[[#This Row],[VCE (V)]]</f>
        <v>0</v>
      </c>
      <c r="R6" s="12">
        <f>RedLEDTable4[[#This Row],[IE (A)]]*RedLEDTable4[[#This Row],[VBE (V)]]</f>
        <v>0</v>
      </c>
      <c r="S6" s="14" t="e">
        <f>RedLEDTable4[[#This Row],[IC (A)]]/RedLEDTable4[[#This Row],[IB (A)]]</f>
        <v>#DIV/0!</v>
      </c>
    </row>
    <row r="7" spans="1:19" x14ac:dyDescent="0.25">
      <c r="A7" s="11">
        <v>0.3</v>
      </c>
      <c r="B7" s="12">
        <v>0</v>
      </c>
      <c r="C7" s="13">
        <v>149.80000000000001</v>
      </c>
      <c r="D7" s="12">
        <f>RedLEDTable4[[#This Row],[IB (A)]]*RedLEDTable4[[#This Row],[RB (Ω)]]</f>
        <v>0</v>
      </c>
      <c r="E7" s="12">
        <v>0</v>
      </c>
      <c r="F7" s="13">
        <v>1.3</v>
      </c>
      <c r="G7" s="12">
        <v>0</v>
      </c>
      <c r="H7" s="12">
        <f>RedLEDTable4[[#This Row],[VRE (V)]]/RedLEDTable4[[#This Row],[RE (Ω)]]</f>
        <v>0</v>
      </c>
      <c r="I7" s="17" t="e">
        <f>2*(RedLEDTable4[[#This Row],[VRE (V)/RE (Ω)]]-RedLEDTable4[[#This Row],[IE (A)]])/(RedLEDTable4[[#This Row],[VRE (V)/RE (Ω)]]+RedLEDTable4[[#This Row],[IE (A)]])</f>
        <v>#DIV/0!</v>
      </c>
      <c r="J7" s="12">
        <f>RedLEDTable4[[#This Row],[IE (A)]]-RedLEDTable4[[#This Row],[IB (A)]]</f>
        <v>0</v>
      </c>
      <c r="K7" s="12">
        <f>RedLEDTable4[[#This Row],[Vs (V)]]-RedLEDTable4[[#This Row],[VRE (V)]]</f>
        <v>0.3</v>
      </c>
      <c r="L7" s="12">
        <f>RedLEDTable4[[#This Row],[Vs (V)]]-RedLEDTable4[[#This Row],[VRB (V)]]-RedLEDTable4[[#This Row],[VRE (V)]]</f>
        <v>0.3</v>
      </c>
      <c r="M7" s="12">
        <f>RedLEDTable4[[#This Row],[VCE (V)]]-RedLEDTable4[[#This Row],[VBE (V)]]</f>
        <v>0</v>
      </c>
      <c r="N7" s="12">
        <f>RedLEDTable4[[#This Row],[Vs (V)]]*RedLEDTable4[[#This Row],[IE (A)]]</f>
        <v>0</v>
      </c>
      <c r="O7" s="12">
        <f>RedLEDTable4[[#This Row],[IB (A)]]*RedLEDTable4[[#This Row],[VRB (V)]]</f>
        <v>0</v>
      </c>
      <c r="P7" s="12">
        <f>RedLEDTable4[[#This Row],[IE (A)]]*RedLEDTable4[[#This Row],[VRE (V)]]</f>
        <v>0</v>
      </c>
      <c r="Q7" s="12">
        <f>RedLEDTable4[[#This Row],[IC (A)]]*RedLEDTable4[[#This Row],[VCE (V)]]</f>
        <v>0</v>
      </c>
      <c r="R7" s="12">
        <f>RedLEDTable4[[#This Row],[IE (A)]]*RedLEDTable4[[#This Row],[VBE (V)]]</f>
        <v>0</v>
      </c>
      <c r="S7" s="14" t="e">
        <f>RedLEDTable4[[#This Row],[IC (A)]]/RedLEDTable4[[#This Row],[IB (A)]]</f>
        <v>#DIV/0!</v>
      </c>
    </row>
    <row r="8" spans="1:19" x14ac:dyDescent="0.25">
      <c r="A8" s="11">
        <v>0.4</v>
      </c>
      <c r="B8" s="12">
        <v>0</v>
      </c>
      <c r="C8" s="13">
        <v>149.80000000000001</v>
      </c>
      <c r="D8" s="12">
        <f>RedLEDTable4[[#This Row],[IB (A)]]*RedLEDTable4[[#This Row],[RB (Ω)]]</f>
        <v>0</v>
      </c>
      <c r="E8" s="12">
        <v>0</v>
      </c>
      <c r="F8" s="13">
        <v>1.3</v>
      </c>
      <c r="G8" s="12">
        <v>0</v>
      </c>
      <c r="H8" s="12">
        <f>RedLEDTable4[[#This Row],[VRE (V)]]/RedLEDTable4[[#This Row],[RE (Ω)]]</f>
        <v>0</v>
      </c>
      <c r="I8" s="17" t="e">
        <f>2*(RedLEDTable4[[#This Row],[VRE (V)/RE (Ω)]]-RedLEDTable4[[#This Row],[IE (A)]])/(RedLEDTable4[[#This Row],[VRE (V)/RE (Ω)]]+RedLEDTable4[[#This Row],[IE (A)]])</f>
        <v>#DIV/0!</v>
      </c>
      <c r="J8" s="12">
        <f>RedLEDTable4[[#This Row],[IE (A)]]-RedLEDTable4[[#This Row],[IB (A)]]</f>
        <v>0</v>
      </c>
      <c r="K8" s="12">
        <f>RedLEDTable4[[#This Row],[Vs (V)]]-RedLEDTable4[[#This Row],[VRE (V)]]</f>
        <v>0.4</v>
      </c>
      <c r="L8" s="12">
        <f>RedLEDTable4[[#This Row],[Vs (V)]]-RedLEDTable4[[#This Row],[VRB (V)]]-RedLEDTable4[[#This Row],[VRE (V)]]</f>
        <v>0.4</v>
      </c>
      <c r="M8" s="12">
        <f>RedLEDTable4[[#This Row],[VCE (V)]]-RedLEDTable4[[#This Row],[VBE (V)]]</f>
        <v>0</v>
      </c>
      <c r="N8" s="12">
        <f>RedLEDTable4[[#This Row],[Vs (V)]]*RedLEDTable4[[#This Row],[IE (A)]]</f>
        <v>0</v>
      </c>
      <c r="O8" s="12">
        <f>RedLEDTable4[[#This Row],[IB (A)]]*RedLEDTable4[[#This Row],[VRB (V)]]</f>
        <v>0</v>
      </c>
      <c r="P8" s="12">
        <f>RedLEDTable4[[#This Row],[IE (A)]]*RedLEDTable4[[#This Row],[VRE (V)]]</f>
        <v>0</v>
      </c>
      <c r="Q8" s="12">
        <f>RedLEDTable4[[#This Row],[IC (A)]]*RedLEDTable4[[#This Row],[VCE (V)]]</f>
        <v>0</v>
      </c>
      <c r="R8" s="12">
        <f>RedLEDTable4[[#This Row],[IE (A)]]*RedLEDTable4[[#This Row],[VBE (V)]]</f>
        <v>0</v>
      </c>
      <c r="S8" s="14" t="e">
        <f>RedLEDTable4[[#This Row],[IC (A)]]/RedLEDTable4[[#This Row],[IB (A)]]</f>
        <v>#DIV/0!</v>
      </c>
    </row>
    <row r="9" spans="1:19" x14ac:dyDescent="0.25">
      <c r="A9" s="11">
        <v>0.5</v>
      </c>
      <c r="B9" s="12">
        <v>7.9999999999999996E-7</v>
      </c>
      <c r="C9" s="13">
        <v>149.80000000000001</v>
      </c>
      <c r="D9" s="12">
        <f>RedLEDTable4[[#This Row],[IB (A)]]*RedLEDTable4[[#This Row],[RB (Ω)]]</f>
        <v>1.1984E-4</v>
      </c>
      <c r="E9" s="12">
        <v>0</v>
      </c>
      <c r="F9" s="13">
        <v>1.3</v>
      </c>
      <c r="G9" s="12">
        <v>1E-4</v>
      </c>
      <c r="H9" s="12">
        <f>RedLEDTable4[[#This Row],[VRE (V)]]/RedLEDTable4[[#This Row],[RE (Ω)]]</f>
        <v>7.6923076923076926E-5</v>
      </c>
      <c r="I9" s="17">
        <f>2*(RedLEDTable4[[#This Row],[VRE (V)/RE (Ω)]]-RedLEDTable4[[#This Row],[IE (A)]])/(RedLEDTable4[[#This Row],[VRE (V)/RE (Ω)]]+RedLEDTable4[[#This Row],[IE (A)]])</f>
        <v>2</v>
      </c>
      <c r="J9" s="12">
        <f>RedLEDTable4[[#This Row],[IE (A)]]-RedLEDTable4[[#This Row],[IB (A)]]</f>
        <v>-7.9999999999999996E-7</v>
      </c>
      <c r="K9" s="12">
        <f>RedLEDTable4[[#This Row],[Vs (V)]]-RedLEDTable4[[#This Row],[VRE (V)]]</f>
        <v>0.49990000000000001</v>
      </c>
      <c r="L9" s="12">
        <f>RedLEDTable4[[#This Row],[Vs (V)]]-RedLEDTable4[[#This Row],[VRB (V)]]-RedLEDTable4[[#This Row],[VRE (V)]]</f>
        <v>0.49978016000000003</v>
      </c>
      <c r="M9" s="12">
        <f>RedLEDTable4[[#This Row],[VCE (V)]]-RedLEDTable4[[#This Row],[VBE (V)]]</f>
        <v>1.1983999999998218E-4</v>
      </c>
      <c r="N9" s="12">
        <f>RedLEDTable4[[#This Row],[Vs (V)]]*RedLEDTable4[[#This Row],[IE (A)]]</f>
        <v>0</v>
      </c>
      <c r="O9" s="12">
        <f>RedLEDTable4[[#This Row],[IB (A)]]*RedLEDTable4[[#This Row],[VRB (V)]]</f>
        <v>9.5872000000000005E-11</v>
      </c>
      <c r="P9" s="12">
        <f>RedLEDTable4[[#This Row],[IE (A)]]*RedLEDTable4[[#This Row],[VRE (V)]]</f>
        <v>0</v>
      </c>
      <c r="Q9" s="12">
        <f>RedLEDTable4[[#This Row],[IC (A)]]*RedLEDTable4[[#This Row],[VCE (V)]]</f>
        <v>-3.9992E-7</v>
      </c>
      <c r="R9" s="12">
        <f>RedLEDTable4[[#This Row],[IE (A)]]*RedLEDTable4[[#This Row],[VBE (V)]]</f>
        <v>0</v>
      </c>
      <c r="S9" s="14">
        <f>RedLEDTable4[[#This Row],[IC (A)]]/RedLEDTable4[[#This Row],[IB (A)]]</f>
        <v>-1</v>
      </c>
    </row>
    <row r="10" spans="1:19" x14ac:dyDescent="0.25">
      <c r="A10" s="11">
        <v>0.6</v>
      </c>
      <c r="B10" s="12">
        <v>1.98E-5</v>
      </c>
      <c r="C10" s="13">
        <v>149.80000000000001</v>
      </c>
      <c r="D10" s="12">
        <f>RedLEDTable4[[#This Row],[IB (A)]]*RedLEDTable4[[#This Row],[RB (Ω)]]</f>
        <v>2.9660400000000001E-3</v>
      </c>
      <c r="E10" s="12">
        <v>0</v>
      </c>
      <c r="F10" s="13">
        <v>1.3</v>
      </c>
      <c r="G10" s="12">
        <v>2.8999999999999998E-3</v>
      </c>
      <c r="H10" s="12">
        <f>RedLEDTable4[[#This Row],[VRE (V)]]/RedLEDTable4[[#This Row],[RE (Ω)]]</f>
        <v>2.2307692307692306E-3</v>
      </c>
      <c r="I10" s="17">
        <f>2*(RedLEDTable4[[#This Row],[VRE (V)/RE (Ω)]]-RedLEDTable4[[#This Row],[IE (A)]])/(RedLEDTable4[[#This Row],[VRE (V)/RE (Ω)]]+RedLEDTable4[[#This Row],[IE (A)]])</f>
        <v>2</v>
      </c>
      <c r="J10" s="12">
        <f>RedLEDTable4[[#This Row],[IE (A)]]-RedLEDTable4[[#This Row],[IB (A)]]</f>
        <v>-1.98E-5</v>
      </c>
      <c r="K10" s="12">
        <f>RedLEDTable4[[#This Row],[Vs (V)]]-RedLEDTable4[[#This Row],[VRE (V)]]</f>
        <v>0.59709999999999996</v>
      </c>
      <c r="L10" s="12">
        <f>RedLEDTable4[[#This Row],[Vs (V)]]-RedLEDTable4[[#This Row],[VRB (V)]]-RedLEDTable4[[#This Row],[VRE (V)]]</f>
        <v>0.59413395999999996</v>
      </c>
      <c r="M10" s="12">
        <f>RedLEDTable4[[#This Row],[VCE (V)]]-RedLEDTable4[[#This Row],[VBE (V)]]</f>
        <v>2.9660400000000031E-3</v>
      </c>
      <c r="N10" s="12">
        <f>RedLEDTable4[[#This Row],[Vs (V)]]*RedLEDTable4[[#This Row],[IE (A)]]</f>
        <v>0</v>
      </c>
      <c r="O10" s="12">
        <f>RedLEDTable4[[#This Row],[IB (A)]]*RedLEDTable4[[#This Row],[VRB (V)]]</f>
        <v>5.8727592000000004E-8</v>
      </c>
      <c r="P10" s="12">
        <f>RedLEDTable4[[#This Row],[IE (A)]]*RedLEDTable4[[#This Row],[VRE (V)]]</f>
        <v>0</v>
      </c>
      <c r="Q10" s="12">
        <f>RedLEDTable4[[#This Row],[IC (A)]]*RedLEDTable4[[#This Row],[VCE (V)]]</f>
        <v>-1.182258E-5</v>
      </c>
      <c r="R10" s="12">
        <f>RedLEDTable4[[#This Row],[IE (A)]]*RedLEDTable4[[#This Row],[VBE (V)]]</f>
        <v>0</v>
      </c>
      <c r="S10" s="14">
        <f>RedLEDTable4[[#This Row],[IC (A)]]/RedLEDTable4[[#This Row],[IB (A)]]</f>
        <v>-1</v>
      </c>
    </row>
    <row r="11" spans="1:19" x14ac:dyDescent="0.25">
      <c r="A11" s="11">
        <v>0.7</v>
      </c>
      <c r="B11" s="12">
        <v>1.4459999999999999E-4</v>
      </c>
      <c r="C11" s="13">
        <v>149.80000000000001</v>
      </c>
      <c r="D11" s="12">
        <f>RedLEDTable4[[#This Row],[IB (A)]]*RedLEDTable4[[#This Row],[RB (Ω)]]</f>
        <v>2.1661079999999999E-2</v>
      </c>
      <c r="E11" s="12">
        <v>2.9000000000000001E-2</v>
      </c>
      <c r="F11" s="13">
        <v>1.3</v>
      </c>
      <c r="G11" s="12">
        <v>2.24E-2</v>
      </c>
      <c r="H11" s="12">
        <f>RedLEDTable4[[#This Row],[VRE (V)]]/RedLEDTable4[[#This Row],[RE (Ω)]]</f>
        <v>1.723076923076923E-2</v>
      </c>
      <c r="I11" s="17">
        <f>2*(RedLEDTable4[[#This Row],[VRE (V)/RE (Ω)]]-RedLEDTable4[[#This Row],[IE (A)]])/(RedLEDTable4[[#This Row],[VRE (V)/RE (Ω)]]+RedLEDTable4[[#This Row],[IE (A)]])</f>
        <v>-0.5091514143094843</v>
      </c>
      <c r="J11" s="12">
        <f>RedLEDTable4[[#This Row],[IE (A)]]-RedLEDTable4[[#This Row],[IB (A)]]</f>
        <v>2.88554E-2</v>
      </c>
      <c r="K11" s="12">
        <f>RedLEDTable4[[#This Row],[Vs (V)]]-RedLEDTable4[[#This Row],[VRE (V)]]</f>
        <v>0.67759999999999998</v>
      </c>
      <c r="L11" s="12">
        <f>RedLEDTable4[[#This Row],[Vs (V)]]-RedLEDTable4[[#This Row],[VRB (V)]]-RedLEDTable4[[#This Row],[VRE (V)]]</f>
        <v>0.65593891999999998</v>
      </c>
      <c r="M11" s="12">
        <f>RedLEDTable4[[#This Row],[VCE (V)]]-RedLEDTable4[[#This Row],[VBE (V)]]</f>
        <v>2.1661079999999999E-2</v>
      </c>
      <c r="N11" s="12">
        <f>RedLEDTable4[[#This Row],[Vs (V)]]*RedLEDTable4[[#This Row],[IE (A)]]</f>
        <v>2.0299999999999999E-2</v>
      </c>
      <c r="O11" s="12">
        <f>RedLEDTable4[[#This Row],[IB (A)]]*RedLEDTable4[[#This Row],[VRB (V)]]</f>
        <v>3.1321921679999998E-6</v>
      </c>
      <c r="P11" s="12">
        <f>RedLEDTable4[[#This Row],[IE (A)]]*RedLEDTable4[[#This Row],[VRE (V)]]</f>
        <v>6.4960000000000007E-4</v>
      </c>
      <c r="Q11" s="12">
        <f>RedLEDTable4[[#This Row],[IC (A)]]*RedLEDTable4[[#This Row],[VCE (V)]]</f>
        <v>1.9552419039999998E-2</v>
      </c>
      <c r="R11" s="12">
        <f>RedLEDTable4[[#This Row],[IE (A)]]*RedLEDTable4[[#This Row],[VBE (V)]]</f>
        <v>1.9022228679999999E-2</v>
      </c>
      <c r="S11" s="14">
        <f>RedLEDTable4[[#This Row],[IC (A)]]/RedLEDTable4[[#This Row],[IB (A)]]</f>
        <v>199.55325034578146</v>
      </c>
    </row>
    <row r="12" spans="1:19" x14ac:dyDescent="0.25">
      <c r="A12" s="11">
        <v>0.8</v>
      </c>
      <c r="B12" s="12">
        <v>2.898E-4</v>
      </c>
      <c r="C12" s="13">
        <v>149.80000000000001</v>
      </c>
      <c r="D12" s="12">
        <f>RedLEDTable4[[#This Row],[IB (A)]]*RedLEDTable4[[#This Row],[RB (Ω)]]</f>
        <v>4.3412040000000006E-2</v>
      </c>
      <c r="E12" s="12">
        <v>5.1999999999999998E-2</v>
      </c>
      <c r="F12" s="13">
        <v>1.3</v>
      </c>
      <c r="G12" s="12">
        <v>4.53E-2</v>
      </c>
      <c r="H12" s="12">
        <f>RedLEDTable4[[#This Row],[VRE (V)]]/RedLEDTable4[[#This Row],[RE (Ω)]]</f>
        <v>3.4846153846153846E-2</v>
      </c>
      <c r="I12" s="17">
        <f>2*(RedLEDTable4[[#This Row],[VRE (V)/RE (Ω)]]-RedLEDTable4[[#This Row],[IE (A)]])/(RedLEDTable4[[#This Row],[VRE (V)/RE (Ω)]]+RedLEDTable4[[#This Row],[IE (A)]])</f>
        <v>-0.3950398582816651</v>
      </c>
      <c r="J12" s="12">
        <f>RedLEDTable4[[#This Row],[IE (A)]]-RedLEDTable4[[#This Row],[IB (A)]]</f>
        <v>5.1710199999999998E-2</v>
      </c>
      <c r="K12" s="12">
        <f>RedLEDTable4[[#This Row],[Vs (V)]]-RedLEDTable4[[#This Row],[VRE (V)]]</f>
        <v>0.75470000000000004</v>
      </c>
      <c r="L12" s="12">
        <f>RedLEDTable4[[#This Row],[Vs (V)]]-RedLEDTable4[[#This Row],[VRB (V)]]-RedLEDTable4[[#This Row],[VRE (V)]]</f>
        <v>0.71128796000000005</v>
      </c>
      <c r="M12" s="12">
        <f>RedLEDTable4[[#This Row],[VCE (V)]]-RedLEDTable4[[#This Row],[VBE (V)]]</f>
        <v>4.3412039999999985E-2</v>
      </c>
      <c r="N12" s="12">
        <f>RedLEDTable4[[#This Row],[Vs (V)]]*RedLEDTable4[[#This Row],[IE (A)]]</f>
        <v>4.1599999999999998E-2</v>
      </c>
      <c r="O12" s="12">
        <f>RedLEDTable4[[#This Row],[IB (A)]]*RedLEDTable4[[#This Row],[VRB (V)]]</f>
        <v>1.2580809192000002E-5</v>
      </c>
      <c r="P12" s="12">
        <f>RedLEDTable4[[#This Row],[IE (A)]]*RedLEDTable4[[#This Row],[VRE (V)]]</f>
        <v>2.3555999999999998E-3</v>
      </c>
      <c r="Q12" s="12">
        <f>RedLEDTable4[[#This Row],[IC (A)]]*RedLEDTable4[[#This Row],[VCE (V)]]</f>
        <v>3.9025687939999998E-2</v>
      </c>
      <c r="R12" s="12">
        <f>RedLEDTable4[[#This Row],[IE (A)]]*RedLEDTable4[[#This Row],[VBE (V)]]</f>
        <v>3.6986973919999999E-2</v>
      </c>
      <c r="S12" s="14">
        <f>RedLEDTable4[[#This Row],[IC (A)]]/RedLEDTable4[[#This Row],[IB (A)]]</f>
        <v>178.43409247757074</v>
      </c>
    </row>
    <row r="13" spans="1:19" x14ac:dyDescent="0.25">
      <c r="A13" s="11">
        <v>0.9</v>
      </c>
      <c r="B13" s="12">
        <v>5.04E-4</v>
      </c>
      <c r="C13" s="13">
        <v>149.80000000000001</v>
      </c>
      <c r="D13" s="12">
        <f>RedLEDTable4[[#This Row],[IB (A)]]*RedLEDTable4[[#This Row],[RB (Ω)]]</f>
        <v>7.5499200000000002E-2</v>
      </c>
      <c r="E13" s="12">
        <v>8.4000000000000005E-2</v>
      </c>
      <c r="F13" s="13">
        <v>1.3</v>
      </c>
      <c r="G13" s="12">
        <v>7.9600000000000004E-2</v>
      </c>
      <c r="H13" s="12">
        <f>RedLEDTable4[[#This Row],[VRE (V)]]/RedLEDTable4[[#This Row],[RE (Ω)]]</f>
        <v>6.1230769230769234E-2</v>
      </c>
      <c r="I13" s="17">
        <f>2*(RedLEDTable4[[#This Row],[VRE (V)/RE (Ω)]]-RedLEDTable4[[#This Row],[IE (A)]])/(RedLEDTable4[[#This Row],[VRE (V)/RE (Ω)]]+RedLEDTable4[[#This Row],[IE (A)]])</f>
        <v>-0.3135593220338983</v>
      </c>
      <c r="J13" s="12">
        <f>RedLEDTable4[[#This Row],[IE (A)]]-RedLEDTable4[[#This Row],[IB (A)]]</f>
        <v>8.3496000000000001E-2</v>
      </c>
      <c r="K13" s="12">
        <f>RedLEDTable4[[#This Row],[Vs (V)]]-RedLEDTable4[[#This Row],[VRE (V)]]</f>
        <v>0.82040000000000002</v>
      </c>
      <c r="L13" s="12">
        <f>RedLEDTable4[[#This Row],[Vs (V)]]-RedLEDTable4[[#This Row],[VRB (V)]]-RedLEDTable4[[#This Row],[VRE (V)]]</f>
        <v>0.74490080000000003</v>
      </c>
      <c r="M13" s="12">
        <f>RedLEDTable4[[#This Row],[VCE (V)]]-RedLEDTable4[[#This Row],[VBE (V)]]</f>
        <v>7.5499199999999989E-2</v>
      </c>
      <c r="N13" s="12">
        <f>RedLEDTable4[[#This Row],[Vs (V)]]*RedLEDTable4[[#This Row],[IE (A)]]</f>
        <v>7.5600000000000001E-2</v>
      </c>
      <c r="O13" s="12">
        <f>RedLEDTable4[[#This Row],[IB (A)]]*RedLEDTable4[[#This Row],[VRB (V)]]</f>
        <v>3.8051596800000002E-5</v>
      </c>
      <c r="P13" s="12">
        <f>RedLEDTable4[[#This Row],[IE (A)]]*RedLEDTable4[[#This Row],[VRE (V)]]</f>
        <v>6.6864000000000003E-3</v>
      </c>
      <c r="Q13" s="12">
        <f>RedLEDTable4[[#This Row],[IC (A)]]*RedLEDTable4[[#This Row],[VCE (V)]]</f>
        <v>6.8500118400000004E-2</v>
      </c>
      <c r="R13" s="12">
        <f>RedLEDTable4[[#This Row],[IE (A)]]*RedLEDTable4[[#This Row],[VBE (V)]]</f>
        <v>6.25716672E-2</v>
      </c>
      <c r="S13" s="14">
        <f>RedLEDTable4[[#This Row],[IC (A)]]/RedLEDTable4[[#This Row],[IB (A)]]</f>
        <v>165.66666666666666</v>
      </c>
    </row>
    <row r="14" spans="1:19" x14ac:dyDescent="0.25">
      <c r="A14" s="11">
        <v>1</v>
      </c>
      <c r="B14" s="12">
        <v>6.6600000000000003E-4</v>
      </c>
      <c r="C14" s="13">
        <v>149.80000000000001</v>
      </c>
      <c r="D14" s="12">
        <f>RedLEDTable4[[#This Row],[IB (A)]]*RedLEDTable4[[#This Row],[RB (Ω)]]</f>
        <v>9.9766800000000017E-2</v>
      </c>
      <c r="E14" s="12">
        <v>0.109</v>
      </c>
      <c r="F14" s="13">
        <v>1.3</v>
      </c>
      <c r="G14" s="12">
        <v>0.10580000000000001</v>
      </c>
      <c r="H14" s="12">
        <f>RedLEDTable4[[#This Row],[VRE (V)]]/RedLEDTable4[[#This Row],[RE (Ω)]]</f>
        <v>8.1384615384615389E-2</v>
      </c>
      <c r="I14" s="17">
        <f>2*(RedLEDTable4[[#This Row],[VRE (V)/RE (Ω)]]-RedLEDTable4[[#This Row],[IE (A)]])/(RedLEDTable4[[#This Row],[VRE (V)/RE (Ω)]]+RedLEDTable4[[#This Row],[IE (A)]])</f>
        <v>-0.29010101010101008</v>
      </c>
      <c r="J14" s="12">
        <f>RedLEDTable4[[#This Row],[IE (A)]]-RedLEDTable4[[#This Row],[IB (A)]]</f>
        <v>0.108334</v>
      </c>
      <c r="K14" s="12">
        <f>RedLEDTable4[[#This Row],[Vs (V)]]-RedLEDTable4[[#This Row],[VRE (V)]]</f>
        <v>0.89419999999999999</v>
      </c>
      <c r="L14" s="12">
        <f>RedLEDTable4[[#This Row],[Vs (V)]]-RedLEDTable4[[#This Row],[VRB (V)]]-RedLEDTable4[[#This Row],[VRE (V)]]</f>
        <v>0.79443319999999995</v>
      </c>
      <c r="M14" s="12">
        <f>RedLEDTable4[[#This Row],[VCE (V)]]-RedLEDTable4[[#This Row],[VBE (V)]]</f>
        <v>9.9766800000000044E-2</v>
      </c>
      <c r="N14" s="12">
        <f>RedLEDTable4[[#This Row],[Vs (V)]]*RedLEDTable4[[#This Row],[IE (A)]]</f>
        <v>0.109</v>
      </c>
      <c r="O14" s="12">
        <f>RedLEDTable4[[#This Row],[IB (A)]]*RedLEDTable4[[#This Row],[VRB (V)]]</f>
        <v>6.6444688800000018E-5</v>
      </c>
      <c r="P14" s="12">
        <f>RedLEDTable4[[#This Row],[IE (A)]]*RedLEDTable4[[#This Row],[VRE (V)]]</f>
        <v>1.1532200000000001E-2</v>
      </c>
      <c r="Q14" s="12">
        <f>RedLEDTable4[[#This Row],[IC (A)]]*RedLEDTable4[[#This Row],[VCE (V)]]</f>
        <v>9.6872262799999997E-2</v>
      </c>
      <c r="R14" s="12">
        <f>RedLEDTable4[[#This Row],[IE (A)]]*RedLEDTable4[[#This Row],[VBE (V)]]</f>
        <v>8.6593218799999996E-2</v>
      </c>
      <c r="S14" s="14">
        <f>RedLEDTable4[[#This Row],[IC (A)]]/RedLEDTable4[[#This Row],[IB (A)]]</f>
        <v>162.66366366366364</v>
      </c>
    </row>
    <row r="15" spans="1:19" x14ac:dyDescent="0.25">
      <c r="A15" s="11">
        <v>1.1000000000000001</v>
      </c>
      <c r="B15" s="12">
        <v>8.6399999999999997E-4</v>
      </c>
      <c r="C15" s="13">
        <v>149.80000000000001</v>
      </c>
      <c r="D15" s="12">
        <f>RedLEDTable4[[#This Row],[IB (A)]]*RedLEDTable4[[#This Row],[RB (Ω)]]</f>
        <v>0.12942719999999999</v>
      </c>
      <c r="E15" s="12">
        <v>0.14199999999999999</v>
      </c>
      <c r="F15" s="13">
        <v>1.3</v>
      </c>
      <c r="G15" s="12">
        <v>0.13869999999999999</v>
      </c>
      <c r="H15" s="12">
        <f>RedLEDTable4[[#This Row],[VRE (V)]]/RedLEDTable4[[#This Row],[RE (Ω)]]</f>
        <v>0.10669230769230768</v>
      </c>
      <c r="I15" s="17">
        <f>2*(RedLEDTable4[[#This Row],[VRE (V)/RE (Ω)]]-RedLEDTable4[[#This Row],[IE (A)]])/(RedLEDTable4[[#This Row],[VRE (V)/RE (Ω)]]+RedLEDTable4[[#This Row],[IE (A)]])</f>
        <v>-0.28394679863903494</v>
      </c>
      <c r="J15" s="12">
        <f>RedLEDTable4[[#This Row],[IE (A)]]-RedLEDTable4[[#This Row],[IB (A)]]</f>
        <v>0.14113599999999998</v>
      </c>
      <c r="K15" s="12">
        <f>RedLEDTable4[[#This Row],[Vs (V)]]-RedLEDTable4[[#This Row],[VRE (V)]]</f>
        <v>0.96130000000000004</v>
      </c>
      <c r="L15" s="12">
        <f>RedLEDTable4[[#This Row],[Vs (V)]]-RedLEDTable4[[#This Row],[VRB (V)]]-RedLEDTable4[[#This Row],[VRE (V)]]</f>
        <v>0.83187280000000019</v>
      </c>
      <c r="M15" s="12">
        <f>RedLEDTable4[[#This Row],[VCE (V)]]-RedLEDTable4[[#This Row],[VBE (V)]]</f>
        <v>0.12942719999999985</v>
      </c>
      <c r="N15" s="12">
        <f>RedLEDTable4[[#This Row],[Vs (V)]]*RedLEDTable4[[#This Row],[IE (A)]]</f>
        <v>0.15620000000000001</v>
      </c>
      <c r="O15" s="12">
        <f>RedLEDTable4[[#This Row],[IB (A)]]*RedLEDTable4[[#This Row],[VRB (V)]]</f>
        <v>1.1182510079999999E-4</v>
      </c>
      <c r="P15" s="12">
        <f>RedLEDTable4[[#This Row],[IE (A)]]*RedLEDTable4[[#This Row],[VRE (V)]]</f>
        <v>1.9695399999999998E-2</v>
      </c>
      <c r="Q15" s="12">
        <f>RedLEDTable4[[#This Row],[IC (A)]]*RedLEDTable4[[#This Row],[VCE (V)]]</f>
        <v>0.13567403679999998</v>
      </c>
      <c r="R15" s="12">
        <f>RedLEDTable4[[#This Row],[IE (A)]]*RedLEDTable4[[#This Row],[VBE (V)]]</f>
        <v>0.11812593760000002</v>
      </c>
      <c r="S15" s="14">
        <f>RedLEDTable4[[#This Row],[IC (A)]]/RedLEDTable4[[#This Row],[IB (A)]]</f>
        <v>163.35185185185185</v>
      </c>
    </row>
    <row r="16" spans="1:19" x14ac:dyDescent="0.25">
      <c r="A16" s="11">
        <v>1.2</v>
      </c>
      <c r="B16" s="12">
        <v>1.057E-3</v>
      </c>
      <c r="C16" s="13">
        <v>149.80000000000001</v>
      </c>
      <c r="D16" s="12">
        <f>RedLEDTable4[[#This Row],[IB (A)]]*RedLEDTable4[[#This Row],[RB (Ω)]]</f>
        <v>0.15833860000000002</v>
      </c>
      <c r="E16" s="12">
        <v>0.17</v>
      </c>
      <c r="F16" s="13">
        <v>1.3</v>
      </c>
      <c r="G16" s="12">
        <v>0.1711</v>
      </c>
      <c r="H16" s="12">
        <f>RedLEDTable4[[#This Row],[VRE (V)]]/RedLEDTable4[[#This Row],[RE (Ω)]]</f>
        <v>0.13161538461538461</v>
      </c>
      <c r="I16" s="17">
        <f>2*(RedLEDTable4[[#This Row],[VRE (V)/RE (Ω)]]-RedLEDTable4[[#This Row],[IE (A)]])/(RedLEDTable4[[#This Row],[VRE (V)/RE (Ω)]]+RedLEDTable4[[#This Row],[IE (A)]])</f>
        <v>-0.25452690640142833</v>
      </c>
      <c r="J16" s="12">
        <f>RedLEDTable4[[#This Row],[IE (A)]]-RedLEDTable4[[#This Row],[IB (A)]]</f>
        <v>0.16894300000000001</v>
      </c>
      <c r="K16" s="12">
        <f>RedLEDTable4[[#This Row],[Vs (V)]]-RedLEDTable4[[#This Row],[VRE (V)]]</f>
        <v>1.0288999999999999</v>
      </c>
      <c r="L16" s="12">
        <f>RedLEDTable4[[#This Row],[Vs (V)]]-RedLEDTable4[[#This Row],[VRB (V)]]-RedLEDTable4[[#This Row],[VRE (V)]]</f>
        <v>0.87056139999999993</v>
      </c>
      <c r="M16" s="12">
        <f>RedLEDTable4[[#This Row],[VCE (V)]]-RedLEDTable4[[#This Row],[VBE (V)]]</f>
        <v>0.1583386</v>
      </c>
      <c r="N16" s="12">
        <f>RedLEDTable4[[#This Row],[Vs (V)]]*RedLEDTable4[[#This Row],[IE (A)]]</f>
        <v>0.20400000000000001</v>
      </c>
      <c r="O16" s="12">
        <f>RedLEDTable4[[#This Row],[IB (A)]]*RedLEDTable4[[#This Row],[VRB (V)]]</f>
        <v>1.6736390020000004E-4</v>
      </c>
      <c r="P16" s="12">
        <f>RedLEDTable4[[#This Row],[IE (A)]]*RedLEDTable4[[#This Row],[VRE (V)]]</f>
        <v>2.9087000000000002E-2</v>
      </c>
      <c r="Q16" s="12">
        <f>RedLEDTable4[[#This Row],[IC (A)]]*RedLEDTable4[[#This Row],[VCE (V)]]</f>
        <v>0.17382545269999999</v>
      </c>
      <c r="R16" s="12">
        <f>RedLEDTable4[[#This Row],[IE (A)]]*RedLEDTable4[[#This Row],[VBE (V)]]</f>
        <v>0.14799543800000001</v>
      </c>
      <c r="S16" s="14">
        <f>RedLEDTable4[[#This Row],[IC (A)]]/RedLEDTable4[[#This Row],[IB (A)]]</f>
        <v>159.83254493850521</v>
      </c>
    </row>
    <row r="17" spans="1:19" x14ac:dyDescent="0.25">
      <c r="A17" s="11">
        <v>1.3</v>
      </c>
      <c r="B17" s="12">
        <v>1.289E-3</v>
      </c>
      <c r="C17" s="13">
        <v>149.80000000000001</v>
      </c>
      <c r="D17" s="12">
        <f>RedLEDTable4[[#This Row],[IB (A)]]*RedLEDTable4[[#This Row],[RB (Ω)]]</f>
        <v>0.19309220000000002</v>
      </c>
      <c r="E17" s="12">
        <v>0.21099999999999999</v>
      </c>
      <c r="F17" s="13">
        <v>1.3</v>
      </c>
      <c r="G17" s="12">
        <v>0.21</v>
      </c>
      <c r="H17" s="12">
        <f>RedLEDTable4[[#This Row],[VRE (V)]]/RedLEDTable4[[#This Row],[RE (Ω)]]</f>
        <v>0.16153846153846152</v>
      </c>
      <c r="I17" s="17">
        <f>2*(RedLEDTable4[[#This Row],[VRE (V)/RE (Ω)]]-RedLEDTable4[[#This Row],[IE (A)]])/(RedLEDTable4[[#This Row],[VRE (V)/RE (Ω)]]+RedLEDTable4[[#This Row],[IE (A)]])</f>
        <v>-0.26553788973776593</v>
      </c>
      <c r="J17" s="12">
        <f>RedLEDTable4[[#This Row],[IE (A)]]-RedLEDTable4[[#This Row],[IB (A)]]</f>
        <v>0.20971099999999998</v>
      </c>
      <c r="K17" s="12">
        <f>RedLEDTable4[[#This Row],[Vs (V)]]-RedLEDTable4[[#This Row],[VRE (V)]]</f>
        <v>1.0900000000000001</v>
      </c>
      <c r="L17" s="12">
        <f>RedLEDTable4[[#This Row],[Vs (V)]]-RedLEDTable4[[#This Row],[VRB (V)]]-RedLEDTable4[[#This Row],[VRE (V)]]</f>
        <v>0.89690780000000014</v>
      </c>
      <c r="M17" s="12">
        <f>RedLEDTable4[[#This Row],[VCE (V)]]-RedLEDTable4[[#This Row],[VBE (V)]]</f>
        <v>0.19309219999999994</v>
      </c>
      <c r="N17" s="12">
        <f>RedLEDTable4[[#This Row],[Vs (V)]]*RedLEDTable4[[#This Row],[IE (A)]]</f>
        <v>0.27429999999999999</v>
      </c>
      <c r="O17" s="12">
        <f>RedLEDTable4[[#This Row],[IB (A)]]*RedLEDTable4[[#This Row],[VRB (V)]]</f>
        <v>2.4889584580000003E-4</v>
      </c>
      <c r="P17" s="12">
        <f>RedLEDTable4[[#This Row],[IE (A)]]*RedLEDTable4[[#This Row],[VRE (V)]]</f>
        <v>4.4309999999999995E-2</v>
      </c>
      <c r="Q17" s="12">
        <f>RedLEDTable4[[#This Row],[IC (A)]]*RedLEDTable4[[#This Row],[VCE (V)]]</f>
        <v>0.22858498999999999</v>
      </c>
      <c r="R17" s="12">
        <f>RedLEDTable4[[#This Row],[IE (A)]]*RedLEDTable4[[#This Row],[VBE (V)]]</f>
        <v>0.18924754580000003</v>
      </c>
      <c r="S17" s="14">
        <f>RedLEDTable4[[#This Row],[IC (A)]]/RedLEDTable4[[#This Row],[IB (A)]]</f>
        <v>162.69278510473234</v>
      </c>
    </row>
    <row r="18" spans="1:19" x14ac:dyDescent="0.25">
      <c r="A18" s="11">
        <v>1.4</v>
      </c>
      <c r="B18" s="12">
        <v>1.472E-3</v>
      </c>
      <c r="C18" s="13">
        <v>149.80000000000001</v>
      </c>
      <c r="D18" s="12">
        <f>RedLEDTable4[[#This Row],[IB (A)]]*RedLEDTable4[[#This Row],[RB (Ω)]]</f>
        <v>0.22050560000000002</v>
      </c>
      <c r="E18" s="12">
        <v>0.24299999999999999</v>
      </c>
      <c r="F18" s="13">
        <v>1.3</v>
      </c>
      <c r="G18" s="12">
        <v>0.23799999999999999</v>
      </c>
      <c r="H18" s="12">
        <f>RedLEDTable4[[#This Row],[VRE (V)]]/RedLEDTable4[[#This Row],[RE (Ω)]]</f>
        <v>0.18307692307692305</v>
      </c>
      <c r="I18" s="17">
        <f>2*(RedLEDTable4[[#This Row],[VRE (V)/RE (Ω)]]-RedLEDTable4[[#This Row],[IE (A)]])/(RedLEDTable4[[#This Row],[VRE (V)/RE (Ω)]]+RedLEDTable4[[#This Row],[IE (A)]])</f>
        <v>-0.28127820906300788</v>
      </c>
      <c r="J18" s="12">
        <f>RedLEDTable4[[#This Row],[IE (A)]]-RedLEDTable4[[#This Row],[IB (A)]]</f>
        <v>0.24152799999999999</v>
      </c>
      <c r="K18" s="12">
        <f>RedLEDTable4[[#This Row],[Vs (V)]]-RedLEDTable4[[#This Row],[VRE (V)]]</f>
        <v>1.1619999999999999</v>
      </c>
      <c r="L18" s="12">
        <f>RedLEDTable4[[#This Row],[Vs (V)]]-RedLEDTable4[[#This Row],[VRB (V)]]-RedLEDTable4[[#This Row],[VRE (V)]]</f>
        <v>0.94149439999999984</v>
      </c>
      <c r="M18" s="12">
        <f>RedLEDTable4[[#This Row],[VCE (V)]]-RedLEDTable4[[#This Row],[VBE (V)]]</f>
        <v>0.22050560000000008</v>
      </c>
      <c r="N18" s="12">
        <f>RedLEDTable4[[#This Row],[Vs (V)]]*RedLEDTable4[[#This Row],[IE (A)]]</f>
        <v>0.34019999999999995</v>
      </c>
      <c r="O18" s="12">
        <f>RedLEDTable4[[#This Row],[IB (A)]]*RedLEDTable4[[#This Row],[VRB (V)]]</f>
        <v>3.2458424320000001E-4</v>
      </c>
      <c r="P18" s="12">
        <f>RedLEDTable4[[#This Row],[IE (A)]]*RedLEDTable4[[#This Row],[VRE (V)]]</f>
        <v>5.7833999999999997E-2</v>
      </c>
      <c r="Q18" s="12">
        <f>RedLEDTable4[[#This Row],[IC (A)]]*RedLEDTable4[[#This Row],[VCE (V)]]</f>
        <v>0.28065553599999998</v>
      </c>
      <c r="R18" s="12">
        <f>RedLEDTable4[[#This Row],[IE (A)]]*RedLEDTable4[[#This Row],[VBE (V)]]</f>
        <v>0.22878313919999996</v>
      </c>
      <c r="S18" s="14">
        <f>RedLEDTable4[[#This Row],[IC (A)]]/RedLEDTable4[[#This Row],[IB (A)]]</f>
        <v>164.08152173913044</v>
      </c>
    </row>
    <row r="19" spans="1:19" x14ac:dyDescent="0.25">
      <c r="A19" s="11">
        <v>1.5</v>
      </c>
      <c r="B19" s="12">
        <v>1.67E-3</v>
      </c>
      <c r="C19" s="13">
        <v>149.80000000000001</v>
      </c>
      <c r="D19" s="12">
        <f>RedLEDTable4[[#This Row],[IB (A)]]*RedLEDTable4[[#This Row],[RB (Ω)]]</f>
        <v>0.250166</v>
      </c>
      <c r="E19" s="12">
        <v>0.27900000000000003</v>
      </c>
      <c r="F19" s="13">
        <v>1.3</v>
      </c>
      <c r="G19" s="12">
        <v>0.27500000000000002</v>
      </c>
      <c r="H19" s="12">
        <f>RedLEDTable4[[#This Row],[VRE (V)]]/RedLEDTable4[[#This Row],[RE (Ω)]]</f>
        <v>0.21153846153846154</v>
      </c>
      <c r="I19" s="17">
        <f>2*(RedLEDTable4[[#This Row],[VRE (V)/RE (Ω)]]-RedLEDTable4[[#This Row],[IE (A)]])/(RedLEDTable4[[#This Row],[VRE (V)/RE (Ω)]]+RedLEDTable4[[#This Row],[IE (A)]])</f>
        <v>-0.27505096440332455</v>
      </c>
      <c r="J19" s="12">
        <f>RedLEDTable4[[#This Row],[IE (A)]]-RedLEDTable4[[#This Row],[IB (A)]]</f>
        <v>0.27733000000000002</v>
      </c>
      <c r="K19" s="12">
        <f>RedLEDTable4[[#This Row],[Vs (V)]]-RedLEDTable4[[#This Row],[VRE (V)]]</f>
        <v>1.2250000000000001</v>
      </c>
      <c r="L19" s="12">
        <f>RedLEDTable4[[#This Row],[Vs (V)]]-RedLEDTable4[[#This Row],[VRB (V)]]-RedLEDTable4[[#This Row],[VRE (V)]]</f>
        <v>0.97483399999999987</v>
      </c>
      <c r="M19" s="12">
        <f>RedLEDTable4[[#This Row],[VCE (V)]]-RedLEDTable4[[#This Row],[VBE (V)]]</f>
        <v>0.25016600000000022</v>
      </c>
      <c r="N19" s="12">
        <f>RedLEDTable4[[#This Row],[Vs (V)]]*RedLEDTable4[[#This Row],[IE (A)]]</f>
        <v>0.41850000000000004</v>
      </c>
      <c r="O19" s="12">
        <f>RedLEDTable4[[#This Row],[IB (A)]]*RedLEDTable4[[#This Row],[VRB (V)]]</f>
        <v>4.1777722000000002E-4</v>
      </c>
      <c r="P19" s="12">
        <f>RedLEDTable4[[#This Row],[IE (A)]]*RedLEDTable4[[#This Row],[VRE (V)]]</f>
        <v>7.6725000000000015E-2</v>
      </c>
      <c r="Q19" s="12">
        <f>RedLEDTable4[[#This Row],[IC (A)]]*RedLEDTable4[[#This Row],[VCE (V)]]</f>
        <v>0.33972925000000004</v>
      </c>
      <c r="R19" s="12">
        <f>RedLEDTable4[[#This Row],[IE (A)]]*RedLEDTable4[[#This Row],[VBE (V)]]</f>
        <v>0.27197868599999997</v>
      </c>
      <c r="S19" s="14">
        <f>RedLEDTable4[[#This Row],[IC (A)]]/RedLEDTable4[[#This Row],[IB (A)]]</f>
        <v>166.06586826347305</v>
      </c>
    </row>
    <row r="20" spans="1:19" x14ac:dyDescent="0.25">
      <c r="A20" s="11">
        <v>1.6</v>
      </c>
      <c r="B20" s="12">
        <v>1.9009999999999999E-3</v>
      </c>
      <c r="C20" s="13">
        <v>149.80000000000001</v>
      </c>
      <c r="D20" s="12">
        <f>RedLEDTable4[[#This Row],[IB (A)]]*RedLEDTable4[[#This Row],[RB (Ω)]]</f>
        <v>0.28476980000000002</v>
      </c>
      <c r="E20" s="12">
        <v>0.318</v>
      </c>
      <c r="F20" s="13">
        <v>1.3</v>
      </c>
      <c r="G20" s="12">
        <v>0.315</v>
      </c>
      <c r="H20" s="12">
        <f>RedLEDTable4[[#This Row],[VRE (V)]]/RedLEDTable4[[#This Row],[RE (Ω)]]</f>
        <v>0.24230769230769231</v>
      </c>
      <c r="I20" s="17">
        <f>2*(RedLEDTable4[[#This Row],[VRE (V)/RE (Ω)]]-RedLEDTable4[[#This Row],[IE (A)]])/(RedLEDTable4[[#This Row],[VRE (V)/RE (Ω)]]+RedLEDTable4[[#This Row],[IE (A)]])</f>
        <v>-0.27018121911037896</v>
      </c>
      <c r="J20" s="12">
        <f>RedLEDTable4[[#This Row],[IE (A)]]-RedLEDTable4[[#This Row],[IB (A)]]</f>
        <v>0.31609900000000002</v>
      </c>
      <c r="K20" s="12">
        <f>RedLEDTable4[[#This Row],[Vs (V)]]-RedLEDTable4[[#This Row],[VRE (V)]]</f>
        <v>1.2850000000000001</v>
      </c>
      <c r="L20" s="12">
        <f>RedLEDTable4[[#This Row],[Vs (V)]]-RedLEDTable4[[#This Row],[VRB (V)]]-RedLEDTable4[[#This Row],[VRE (V)]]</f>
        <v>1.0002302000000001</v>
      </c>
      <c r="M20" s="12">
        <f>RedLEDTable4[[#This Row],[VCE (V)]]-RedLEDTable4[[#This Row],[VBE (V)]]</f>
        <v>0.28476980000000007</v>
      </c>
      <c r="N20" s="12">
        <f>RedLEDTable4[[#This Row],[Vs (V)]]*RedLEDTable4[[#This Row],[IE (A)]]</f>
        <v>0.50880000000000003</v>
      </c>
      <c r="O20" s="12">
        <f>RedLEDTable4[[#This Row],[IB (A)]]*RedLEDTable4[[#This Row],[VRB (V)]]</f>
        <v>5.4134738979999997E-4</v>
      </c>
      <c r="P20" s="12">
        <f>RedLEDTable4[[#This Row],[IE (A)]]*RedLEDTable4[[#This Row],[VRE (V)]]</f>
        <v>0.10017000000000001</v>
      </c>
      <c r="Q20" s="12">
        <f>RedLEDTable4[[#This Row],[IC (A)]]*RedLEDTable4[[#This Row],[VCE (V)]]</f>
        <v>0.40618721500000005</v>
      </c>
      <c r="R20" s="12">
        <f>RedLEDTable4[[#This Row],[IE (A)]]*RedLEDTable4[[#This Row],[VBE (V)]]</f>
        <v>0.31807320360000002</v>
      </c>
      <c r="S20" s="14">
        <f>RedLEDTable4[[#This Row],[IC (A)]]/RedLEDTable4[[#This Row],[IB (A)]]</f>
        <v>166.28037874802737</v>
      </c>
    </row>
    <row r="21" spans="1:19" x14ac:dyDescent="0.25">
      <c r="A21" s="11">
        <v>1.7</v>
      </c>
      <c r="B21" s="12">
        <v>2.1090000000000002E-3</v>
      </c>
      <c r="C21" s="13">
        <v>149.80000000000001</v>
      </c>
      <c r="D21" s="12">
        <f>RedLEDTable4[[#This Row],[IB (A)]]*RedLEDTable4[[#This Row],[RB (Ω)]]</f>
        <v>0.31592820000000005</v>
      </c>
      <c r="E21" s="12">
        <v>0.35399999999999998</v>
      </c>
      <c r="F21" s="13">
        <v>1.3</v>
      </c>
      <c r="G21" s="12">
        <v>0.35</v>
      </c>
      <c r="H21" s="12">
        <f>RedLEDTable4[[#This Row],[VRE (V)]]/RedLEDTable4[[#This Row],[RE (Ω)]]</f>
        <v>0.26923076923076922</v>
      </c>
      <c r="I21" s="17">
        <f>2*(RedLEDTable4[[#This Row],[VRE (V)/RE (Ω)]]-RedLEDTable4[[#This Row],[IE (A)]])/(RedLEDTable4[[#This Row],[VRE (V)/RE (Ω)]]+RedLEDTable4[[#This Row],[IE (A)]])</f>
        <v>-0.27203159713650948</v>
      </c>
      <c r="J21" s="12">
        <f>RedLEDTable4[[#This Row],[IE (A)]]-RedLEDTable4[[#This Row],[IB (A)]]</f>
        <v>0.35189099999999995</v>
      </c>
      <c r="K21" s="12">
        <f>RedLEDTable4[[#This Row],[Vs (V)]]-RedLEDTable4[[#This Row],[VRE (V)]]</f>
        <v>1.35</v>
      </c>
      <c r="L21" s="12">
        <f>RedLEDTable4[[#This Row],[Vs (V)]]-RedLEDTable4[[#This Row],[VRB (V)]]-RedLEDTable4[[#This Row],[VRE (V)]]</f>
        <v>1.0340718</v>
      </c>
      <c r="M21" s="12">
        <f>RedLEDTable4[[#This Row],[VCE (V)]]-RedLEDTable4[[#This Row],[VBE (V)]]</f>
        <v>0.3159282000000001</v>
      </c>
      <c r="N21" s="12">
        <f>RedLEDTable4[[#This Row],[Vs (V)]]*RedLEDTable4[[#This Row],[IE (A)]]</f>
        <v>0.6018</v>
      </c>
      <c r="O21" s="12">
        <f>RedLEDTable4[[#This Row],[IB (A)]]*RedLEDTable4[[#This Row],[VRB (V)]]</f>
        <v>6.6629257380000021E-4</v>
      </c>
      <c r="P21" s="12">
        <f>RedLEDTable4[[#This Row],[IE (A)]]*RedLEDTable4[[#This Row],[VRE (V)]]</f>
        <v>0.12389999999999998</v>
      </c>
      <c r="Q21" s="12">
        <f>RedLEDTable4[[#This Row],[IC (A)]]*RedLEDTable4[[#This Row],[VCE (V)]]</f>
        <v>0.47505284999999997</v>
      </c>
      <c r="R21" s="12">
        <f>RedLEDTable4[[#This Row],[IE (A)]]*RedLEDTable4[[#This Row],[VBE (V)]]</f>
        <v>0.36606141719999996</v>
      </c>
      <c r="S21" s="14">
        <f>RedLEDTable4[[#This Row],[IC (A)]]/RedLEDTable4[[#This Row],[IB (A)]]</f>
        <v>166.85206258890466</v>
      </c>
    </row>
    <row r="22" spans="1:19" x14ac:dyDescent="0.25">
      <c r="A22" s="11">
        <v>1.8</v>
      </c>
      <c r="B22" s="12">
        <v>2.31E-3</v>
      </c>
      <c r="C22" s="13">
        <v>149.80000000000001</v>
      </c>
      <c r="D22" s="12">
        <f>RedLEDTable4[[#This Row],[IB (A)]]*RedLEDTable4[[#This Row],[RB (Ω)]]</f>
        <v>0.34603800000000001</v>
      </c>
      <c r="E22" s="12">
        <v>0.38800000000000001</v>
      </c>
      <c r="F22" s="13">
        <v>1.3</v>
      </c>
      <c r="G22" s="12">
        <v>0.38500000000000001</v>
      </c>
      <c r="H22" s="12">
        <f>RedLEDTable4[[#This Row],[VRE (V)]]/RedLEDTable4[[#This Row],[RE (Ω)]]</f>
        <v>0.29615384615384616</v>
      </c>
      <c r="I22" s="17">
        <f>2*(RedLEDTable4[[#This Row],[VRE (V)/RE (Ω)]]-RedLEDTable4[[#This Row],[IE (A)]])/(RedLEDTable4[[#This Row],[VRE (V)/RE (Ω)]]+RedLEDTable4[[#This Row],[IE (A)]])</f>
        <v>-0.26849561502136277</v>
      </c>
      <c r="J22" s="12">
        <f>RedLEDTable4[[#This Row],[IE (A)]]-RedLEDTable4[[#This Row],[IB (A)]]</f>
        <v>0.38569000000000003</v>
      </c>
      <c r="K22" s="12">
        <f>RedLEDTable4[[#This Row],[Vs (V)]]-RedLEDTable4[[#This Row],[VRE (V)]]</f>
        <v>1.415</v>
      </c>
      <c r="L22" s="12">
        <f>RedLEDTable4[[#This Row],[Vs (V)]]-RedLEDTable4[[#This Row],[VRB (V)]]-RedLEDTable4[[#This Row],[VRE (V)]]</f>
        <v>1.068962</v>
      </c>
      <c r="M22" s="12">
        <f>RedLEDTable4[[#This Row],[VCE (V)]]-RedLEDTable4[[#This Row],[VBE (V)]]</f>
        <v>0.34603800000000007</v>
      </c>
      <c r="N22" s="12">
        <f>RedLEDTable4[[#This Row],[Vs (V)]]*RedLEDTable4[[#This Row],[IE (A)]]</f>
        <v>0.69840000000000002</v>
      </c>
      <c r="O22" s="12">
        <f>RedLEDTable4[[#This Row],[IB (A)]]*RedLEDTable4[[#This Row],[VRB (V)]]</f>
        <v>7.9934777999999998E-4</v>
      </c>
      <c r="P22" s="12">
        <f>RedLEDTable4[[#This Row],[IE (A)]]*RedLEDTable4[[#This Row],[VRE (V)]]</f>
        <v>0.14938000000000001</v>
      </c>
      <c r="Q22" s="12">
        <f>RedLEDTable4[[#This Row],[IC (A)]]*RedLEDTable4[[#This Row],[VCE (V)]]</f>
        <v>0.54575135000000008</v>
      </c>
      <c r="R22" s="12">
        <f>RedLEDTable4[[#This Row],[IE (A)]]*RedLEDTable4[[#This Row],[VBE (V)]]</f>
        <v>0.41475725600000002</v>
      </c>
      <c r="S22" s="14">
        <f>RedLEDTable4[[#This Row],[IC (A)]]/RedLEDTable4[[#This Row],[IB (A)]]</f>
        <v>166.96536796536799</v>
      </c>
    </row>
    <row r="23" spans="1:19" x14ac:dyDescent="0.25">
      <c r="A23" s="11">
        <v>1.9</v>
      </c>
      <c r="B23" s="12">
        <v>2.519E-3</v>
      </c>
      <c r="C23" s="13">
        <v>149.80000000000001</v>
      </c>
      <c r="D23" s="12">
        <f>RedLEDTable4[[#This Row],[IB (A)]]*RedLEDTable4[[#This Row],[RB (Ω)]]</f>
        <v>0.37734620000000002</v>
      </c>
      <c r="E23" s="12">
        <v>0.41799999999999998</v>
      </c>
      <c r="F23" s="13">
        <v>1.3</v>
      </c>
      <c r="G23" s="12">
        <v>0.42</v>
      </c>
      <c r="H23" s="12">
        <f>RedLEDTable4[[#This Row],[VRE (V)]]/RedLEDTable4[[#This Row],[RE (Ω)]]</f>
        <v>0.32307692307692304</v>
      </c>
      <c r="I23" s="17">
        <f>2*(RedLEDTable4[[#This Row],[VRE (V)/RE (Ω)]]-RedLEDTable4[[#This Row],[IE (A)]])/(RedLEDTable4[[#This Row],[VRE (V)/RE (Ω)]]+RedLEDTable4[[#This Row],[IE (A)]])</f>
        <v>-0.25617604318040282</v>
      </c>
      <c r="J23" s="12">
        <f>RedLEDTable4[[#This Row],[IE (A)]]-RedLEDTable4[[#This Row],[IB (A)]]</f>
        <v>0.41548099999999999</v>
      </c>
      <c r="K23" s="12">
        <f>RedLEDTable4[[#This Row],[Vs (V)]]-RedLEDTable4[[#This Row],[VRE (V)]]</f>
        <v>1.48</v>
      </c>
      <c r="L23" s="12">
        <f>RedLEDTable4[[#This Row],[Vs (V)]]-RedLEDTable4[[#This Row],[VRB (V)]]-RedLEDTable4[[#This Row],[VRE (V)]]</f>
        <v>1.1026537999999999</v>
      </c>
      <c r="M23" s="12">
        <f>RedLEDTable4[[#This Row],[VCE (V)]]-RedLEDTable4[[#This Row],[VBE (V)]]</f>
        <v>0.37734620000000008</v>
      </c>
      <c r="N23" s="12">
        <f>RedLEDTable4[[#This Row],[Vs (V)]]*RedLEDTable4[[#This Row],[IE (A)]]</f>
        <v>0.79419999999999991</v>
      </c>
      <c r="O23" s="12">
        <f>RedLEDTable4[[#This Row],[IB (A)]]*RedLEDTable4[[#This Row],[VRB (V)]]</f>
        <v>9.5053507780000002E-4</v>
      </c>
      <c r="P23" s="12">
        <f>RedLEDTable4[[#This Row],[IE (A)]]*RedLEDTable4[[#This Row],[VRE (V)]]</f>
        <v>0.17555999999999999</v>
      </c>
      <c r="Q23" s="12">
        <f>RedLEDTable4[[#This Row],[IC (A)]]*RedLEDTable4[[#This Row],[VCE (V)]]</f>
        <v>0.61491187999999997</v>
      </c>
      <c r="R23" s="12">
        <f>RedLEDTable4[[#This Row],[IE (A)]]*RedLEDTable4[[#This Row],[VBE (V)]]</f>
        <v>0.46090928839999995</v>
      </c>
      <c r="S23" s="14">
        <f>RedLEDTable4[[#This Row],[IC (A)]]/RedLEDTable4[[#This Row],[IB (A)]]</f>
        <v>164.93886462882097</v>
      </c>
    </row>
    <row r="24" spans="1:19" x14ac:dyDescent="0.25">
      <c r="A24" s="11">
        <v>2</v>
      </c>
      <c r="B24" s="12">
        <v>2.7269999999999998E-3</v>
      </c>
      <c r="C24" s="13">
        <v>149.80000000000001</v>
      </c>
      <c r="D24" s="12">
        <f>RedLEDTable4[[#This Row],[IB (A)]]*RedLEDTable4[[#This Row],[RB (Ω)]]</f>
        <v>0.4085046</v>
      </c>
      <c r="E24" s="12">
        <v>0.45100000000000001</v>
      </c>
      <c r="F24" s="13">
        <v>1.3</v>
      </c>
      <c r="G24" s="12">
        <v>0.45300000000000001</v>
      </c>
      <c r="H24" s="12">
        <f>RedLEDTable4[[#This Row],[VRE (V)]]/RedLEDTable4[[#This Row],[RE (Ω)]]</f>
        <v>0.34846153846153843</v>
      </c>
      <c r="I24" s="17">
        <f>2*(RedLEDTable4[[#This Row],[VRE (V)/RE (Ω)]]-RedLEDTable4[[#This Row],[IE (A)]])/(RedLEDTable4[[#This Row],[VRE (V)/RE (Ω)]]+RedLEDTable4[[#This Row],[IE (A)]])</f>
        <v>-0.25651881073799682</v>
      </c>
      <c r="J24" s="12">
        <f>RedLEDTable4[[#This Row],[IE (A)]]-RedLEDTable4[[#This Row],[IB (A)]]</f>
        <v>0.44827300000000003</v>
      </c>
      <c r="K24" s="12">
        <f>RedLEDTable4[[#This Row],[Vs (V)]]-RedLEDTable4[[#This Row],[VRE (V)]]</f>
        <v>1.5469999999999999</v>
      </c>
      <c r="L24" s="12">
        <f>RedLEDTable4[[#This Row],[Vs (V)]]-RedLEDTable4[[#This Row],[VRB (V)]]-RedLEDTable4[[#This Row],[VRE (V)]]</f>
        <v>1.1384953999999998</v>
      </c>
      <c r="M24" s="12">
        <f>RedLEDTable4[[#This Row],[VCE (V)]]-RedLEDTable4[[#This Row],[VBE (V)]]</f>
        <v>0.40850460000000011</v>
      </c>
      <c r="N24" s="12">
        <f>RedLEDTable4[[#This Row],[Vs (V)]]*RedLEDTable4[[#This Row],[IE (A)]]</f>
        <v>0.90200000000000002</v>
      </c>
      <c r="O24" s="12">
        <f>RedLEDTable4[[#This Row],[IB (A)]]*RedLEDTable4[[#This Row],[VRB (V)]]</f>
        <v>1.1139920441999998E-3</v>
      </c>
      <c r="P24" s="12">
        <f>RedLEDTable4[[#This Row],[IE (A)]]*RedLEDTable4[[#This Row],[VRE (V)]]</f>
        <v>0.20430300000000001</v>
      </c>
      <c r="Q24" s="12">
        <f>RedLEDTable4[[#This Row],[IC (A)]]*RedLEDTable4[[#This Row],[VCE (V)]]</f>
        <v>0.693478331</v>
      </c>
      <c r="R24" s="12">
        <f>RedLEDTable4[[#This Row],[IE (A)]]*RedLEDTable4[[#This Row],[VBE (V)]]</f>
        <v>0.51346142539999995</v>
      </c>
      <c r="S24" s="14">
        <f>RedLEDTable4[[#This Row],[IC (A)]]/RedLEDTable4[[#This Row],[IB (A)]]</f>
        <v>164.38320498716541</v>
      </c>
    </row>
    <row r="25" spans="1:19" x14ac:dyDescent="0.25">
      <c r="A25" s="11">
        <v>2.11</v>
      </c>
      <c r="B25" s="12">
        <v>2.9380000000000001E-3</v>
      </c>
      <c r="C25" s="13">
        <v>149.80000000000001</v>
      </c>
      <c r="D25" s="12">
        <f>RedLEDTable4[[#This Row],[IB (A)]]*RedLEDTable4[[#This Row],[RB (Ω)]]</f>
        <v>0.44011240000000007</v>
      </c>
      <c r="E25" s="12">
        <v>0.48199999999999998</v>
      </c>
      <c r="F25" s="13">
        <v>1.3</v>
      </c>
      <c r="G25" s="12">
        <v>0.48499999999999999</v>
      </c>
      <c r="H25" s="12">
        <f>RedLEDTable4[[#This Row],[VRE (V)]]/RedLEDTable4[[#This Row],[RE (Ω)]]</f>
        <v>0.37307692307692303</v>
      </c>
      <c r="I25" s="17">
        <f>2*(RedLEDTable4[[#This Row],[VRE (V)/RE (Ω)]]-RedLEDTable4[[#This Row],[IE (A)]])/(RedLEDTable4[[#This Row],[VRE (V)/RE (Ω)]]+RedLEDTable4[[#This Row],[IE (A)]])</f>
        <v>-0.25476790212306594</v>
      </c>
      <c r="J25" s="12">
        <f>RedLEDTable4[[#This Row],[IE (A)]]-RedLEDTable4[[#This Row],[IB (A)]]</f>
        <v>0.47906199999999999</v>
      </c>
      <c r="K25" s="12">
        <f>RedLEDTable4[[#This Row],[Vs (V)]]-RedLEDTable4[[#This Row],[VRE (V)]]</f>
        <v>1.625</v>
      </c>
      <c r="L25" s="12">
        <f>RedLEDTable4[[#This Row],[Vs (V)]]-RedLEDTable4[[#This Row],[VRB (V)]]-RedLEDTable4[[#This Row],[VRE (V)]]</f>
        <v>1.1848875999999997</v>
      </c>
      <c r="M25" s="12">
        <f>RedLEDTable4[[#This Row],[VCE (V)]]-RedLEDTable4[[#This Row],[VBE (V)]]</f>
        <v>0.44011240000000029</v>
      </c>
      <c r="N25" s="12">
        <f>RedLEDTable4[[#This Row],[Vs (V)]]*RedLEDTable4[[#This Row],[IE (A)]]</f>
        <v>1.0170199999999998</v>
      </c>
      <c r="O25" s="12">
        <f>RedLEDTable4[[#This Row],[IB (A)]]*RedLEDTable4[[#This Row],[VRB (V)]]</f>
        <v>1.2930502312000001E-3</v>
      </c>
      <c r="P25" s="12">
        <f>RedLEDTable4[[#This Row],[IE (A)]]*RedLEDTable4[[#This Row],[VRE (V)]]</f>
        <v>0.23376999999999998</v>
      </c>
      <c r="Q25" s="12">
        <f>RedLEDTable4[[#This Row],[IC (A)]]*RedLEDTable4[[#This Row],[VCE (V)]]</f>
        <v>0.77847575000000002</v>
      </c>
      <c r="R25" s="12">
        <f>RedLEDTable4[[#This Row],[IE (A)]]*RedLEDTable4[[#This Row],[VBE (V)]]</f>
        <v>0.57111582319999987</v>
      </c>
      <c r="S25" s="14">
        <f>RedLEDTable4[[#This Row],[IC (A)]]/RedLEDTable4[[#This Row],[IB (A)]]</f>
        <v>163.05718175629679</v>
      </c>
    </row>
    <row r="26" spans="1:19" x14ac:dyDescent="0.25">
      <c r="A26" s="11">
        <v>2.2000000000000002</v>
      </c>
      <c r="B26" s="12">
        <v>3.143E-3</v>
      </c>
      <c r="C26" s="13">
        <v>149.80000000000001</v>
      </c>
      <c r="D26" s="12">
        <f>RedLEDTable4[[#This Row],[IB (A)]]*RedLEDTable4[[#This Row],[RB (Ω)]]</f>
        <v>0.47082140000000006</v>
      </c>
      <c r="E26" s="12">
        <v>0.51400000000000001</v>
      </c>
      <c r="F26" s="13">
        <v>1.3</v>
      </c>
      <c r="G26" s="12">
        <v>0.51400000000000001</v>
      </c>
      <c r="H26" s="12">
        <f>RedLEDTable4[[#This Row],[VRE (V)]]/RedLEDTable4[[#This Row],[RE (Ω)]]</f>
        <v>0.39538461538461539</v>
      </c>
      <c r="I26" s="17">
        <f>2*(RedLEDTable4[[#This Row],[VRE (V)/RE (Ω)]]-RedLEDTable4[[#This Row],[IE (A)]])/(RedLEDTable4[[#This Row],[VRE (V)/RE (Ω)]]+RedLEDTable4[[#This Row],[IE (A)]])</f>
        <v>-0.2608695652173913</v>
      </c>
      <c r="J26" s="12">
        <f>RedLEDTable4[[#This Row],[IE (A)]]-RedLEDTable4[[#This Row],[IB (A)]]</f>
        <v>0.51085700000000001</v>
      </c>
      <c r="K26" s="12">
        <f>RedLEDTable4[[#This Row],[Vs (V)]]-RedLEDTable4[[#This Row],[VRE (V)]]</f>
        <v>1.6860000000000002</v>
      </c>
      <c r="L26" s="12">
        <f>RedLEDTable4[[#This Row],[Vs (V)]]-RedLEDTable4[[#This Row],[VRB (V)]]-RedLEDTable4[[#This Row],[VRE (V)]]</f>
        <v>1.2151786</v>
      </c>
      <c r="M26" s="12">
        <f>RedLEDTable4[[#This Row],[VCE (V)]]-RedLEDTable4[[#This Row],[VBE (V)]]</f>
        <v>0.47082140000000017</v>
      </c>
      <c r="N26" s="12">
        <f>RedLEDTable4[[#This Row],[Vs (V)]]*RedLEDTable4[[#This Row],[IE (A)]]</f>
        <v>1.1308</v>
      </c>
      <c r="O26" s="12">
        <f>RedLEDTable4[[#This Row],[IB (A)]]*RedLEDTable4[[#This Row],[VRB (V)]]</f>
        <v>1.4797916602000002E-3</v>
      </c>
      <c r="P26" s="12">
        <f>RedLEDTable4[[#This Row],[IE (A)]]*RedLEDTable4[[#This Row],[VRE (V)]]</f>
        <v>0.26419599999999999</v>
      </c>
      <c r="Q26" s="12">
        <f>RedLEDTable4[[#This Row],[IC (A)]]*RedLEDTable4[[#This Row],[VCE (V)]]</f>
        <v>0.86130490200000009</v>
      </c>
      <c r="R26" s="12">
        <f>RedLEDTable4[[#This Row],[IE (A)]]*RedLEDTable4[[#This Row],[VBE (V)]]</f>
        <v>0.62460180040000002</v>
      </c>
      <c r="S26" s="14">
        <f>RedLEDTable4[[#This Row],[IC (A)]]/RedLEDTable4[[#This Row],[IB (A)]]</f>
        <v>162.5380209990455</v>
      </c>
    </row>
    <row r="27" spans="1:19" x14ac:dyDescent="0.25">
      <c r="A27" s="11">
        <v>2.3199999999999998</v>
      </c>
      <c r="B27" s="12">
        <v>3.3960000000000001E-3</v>
      </c>
      <c r="C27" s="13">
        <v>149.80000000000001</v>
      </c>
      <c r="D27" s="12">
        <f>RedLEDTable4[[#This Row],[IB (A)]]*RedLEDTable4[[#This Row],[RB (Ω)]]</f>
        <v>0.50872080000000008</v>
      </c>
      <c r="E27" s="12">
        <v>0.54600000000000004</v>
      </c>
      <c r="F27" s="13">
        <v>1.3</v>
      </c>
      <c r="G27" s="12">
        <v>0.54900000000000004</v>
      </c>
      <c r="H27" s="12">
        <f>RedLEDTable4[[#This Row],[VRE (V)]]/RedLEDTable4[[#This Row],[RE (Ω)]]</f>
        <v>0.42230769230769233</v>
      </c>
      <c r="I27" s="17">
        <f>2*(RedLEDTable4[[#This Row],[VRE (V)/RE (Ω)]]-RedLEDTable4[[#This Row],[IE (A)]])/(RedLEDTable4[[#This Row],[VRE (V)/RE (Ω)]]+RedLEDTable4[[#This Row],[IE (A)]])</f>
        <v>-0.25548141086749288</v>
      </c>
      <c r="J27" s="12">
        <f>RedLEDTable4[[#This Row],[IE (A)]]-RedLEDTable4[[#This Row],[IB (A)]]</f>
        <v>0.54260400000000009</v>
      </c>
      <c r="K27" s="12">
        <f>RedLEDTable4[[#This Row],[Vs (V)]]-RedLEDTable4[[#This Row],[VRE (V)]]</f>
        <v>1.7709999999999999</v>
      </c>
      <c r="L27" s="12">
        <f>RedLEDTable4[[#This Row],[Vs (V)]]-RedLEDTable4[[#This Row],[VRB (V)]]-RedLEDTable4[[#This Row],[VRE (V)]]</f>
        <v>1.2622791999999996</v>
      </c>
      <c r="M27" s="12">
        <f>RedLEDTable4[[#This Row],[VCE (V)]]-RedLEDTable4[[#This Row],[VBE (V)]]</f>
        <v>0.50872080000000031</v>
      </c>
      <c r="N27" s="12">
        <f>RedLEDTable4[[#This Row],[Vs (V)]]*RedLEDTable4[[#This Row],[IE (A)]]</f>
        <v>1.2667200000000001</v>
      </c>
      <c r="O27" s="12">
        <f>RedLEDTable4[[#This Row],[IB (A)]]*RedLEDTable4[[#This Row],[VRB (V)]]</f>
        <v>1.7276158368000004E-3</v>
      </c>
      <c r="P27" s="12">
        <f>RedLEDTable4[[#This Row],[IE (A)]]*RedLEDTable4[[#This Row],[VRE (V)]]</f>
        <v>0.29975400000000002</v>
      </c>
      <c r="Q27" s="12">
        <f>RedLEDTable4[[#This Row],[IC (A)]]*RedLEDTable4[[#This Row],[VCE (V)]]</f>
        <v>0.96095168400000008</v>
      </c>
      <c r="R27" s="12">
        <f>RedLEDTable4[[#This Row],[IE (A)]]*RedLEDTable4[[#This Row],[VBE (V)]]</f>
        <v>0.68920444319999985</v>
      </c>
      <c r="S27" s="14">
        <f>RedLEDTable4[[#This Row],[IC (A)]]/RedLEDTable4[[#This Row],[IB (A)]]</f>
        <v>159.77738515901061</v>
      </c>
    </row>
    <row r="28" spans="1:19" x14ac:dyDescent="0.25">
      <c r="A28" s="11">
        <v>2.4</v>
      </c>
      <c r="B28" s="12">
        <v>3.62E-3</v>
      </c>
      <c r="C28" s="13">
        <v>149.80000000000001</v>
      </c>
      <c r="D28" s="12">
        <f>RedLEDTable4[[#This Row],[IB (A)]]*RedLEDTable4[[#This Row],[RB (Ω)]]</f>
        <v>0.54227599999999998</v>
      </c>
      <c r="E28" s="12">
        <v>0.56999999999999995</v>
      </c>
      <c r="F28" s="13">
        <v>1.3</v>
      </c>
      <c r="G28" s="12">
        <v>0.57899999999999996</v>
      </c>
      <c r="H28" s="12">
        <f>RedLEDTable4[[#This Row],[VRE (V)]]/RedLEDTable4[[#This Row],[RE (Ω)]]</f>
        <v>0.44538461538461532</v>
      </c>
      <c r="I28" s="17">
        <f>2*(RedLEDTable4[[#This Row],[VRE (V)/RE (Ω)]]-RedLEDTable4[[#This Row],[IE (A)]])/(RedLEDTable4[[#This Row],[VRE (V)/RE (Ω)]]+RedLEDTable4[[#This Row],[IE (A)]])</f>
        <v>-0.24545454545454548</v>
      </c>
      <c r="J28" s="12">
        <f>RedLEDTable4[[#This Row],[IE (A)]]-RedLEDTable4[[#This Row],[IB (A)]]</f>
        <v>0.56637999999999999</v>
      </c>
      <c r="K28" s="12">
        <f>RedLEDTable4[[#This Row],[Vs (V)]]-RedLEDTable4[[#This Row],[VRE (V)]]</f>
        <v>1.821</v>
      </c>
      <c r="L28" s="12">
        <f>RedLEDTable4[[#This Row],[Vs (V)]]-RedLEDTable4[[#This Row],[VRB (V)]]-RedLEDTable4[[#This Row],[VRE (V)]]</f>
        <v>1.278724</v>
      </c>
      <c r="M28" s="12">
        <f>RedLEDTable4[[#This Row],[VCE (V)]]-RedLEDTable4[[#This Row],[VBE (V)]]</f>
        <v>0.54227599999999998</v>
      </c>
      <c r="N28" s="12">
        <f>RedLEDTable4[[#This Row],[Vs (V)]]*RedLEDTable4[[#This Row],[IE (A)]]</f>
        <v>1.3679999999999999</v>
      </c>
      <c r="O28" s="12">
        <f>RedLEDTable4[[#This Row],[IB (A)]]*RedLEDTable4[[#This Row],[VRB (V)]]</f>
        <v>1.9630391199999997E-3</v>
      </c>
      <c r="P28" s="12">
        <f>RedLEDTable4[[#This Row],[IE (A)]]*RedLEDTable4[[#This Row],[VRE (V)]]</f>
        <v>0.33002999999999993</v>
      </c>
      <c r="Q28" s="12">
        <f>RedLEDTable4[[#This Row],[IC (A)]]*RedLEDTable4[[#This Row],[VCE (V)]]</f>
        <v>1.03137798</v>
      </c>
      <c r="R28" s="12">
        <f>RedLEDTable4[[#This Row],[IE (A)]]*RedLEDTable4[[#This Row],[VBE (V)]]</f>
        <v>0.72887267999999994</v>
      </c>
      <c r="S28" s="14">
        <f>RedLEDTable4[[#This Row],[IC (A)]]/RedLEDTable4[[#This Row],[IB (A)]]</f>
        <v>156.45856353591159</v>
      </c>
    </row>
    <row r="29" spans="1:19" x14ac:dyDescent="0.25">
      <c r="A29" s="11">
        <v>2.5099999999999998</v>
      </c>
      <c r="B29" s="12">
        <v>3.8440000000000002E-3</v>
      </c>
      <c r="C29" s="13">
        <v>149.80000000000001</v>
      </c>
      <c r="D29" s="12">
        <f>RedLEDTable4[[#This Row],[IB (A)]]*RedLEDTable4[[#This Row],[RB (Ω)]]</f>
        <v>0.5758312000000001</v>
      </c>
      <c r="E29" s="12">
        <v>0.59599999999999997</v>
      </c>
      <c r="F29" s="13">
        <v>1.3</v>
      </c>
      <c r="G29" s="12">
        <v>0.60699999999999998</v>
      </c>
      <c r="H29" s="12">
        <f>RedLEDTable4[[#This Row],[VRE (V)]]/RedLEDTable4[[#This Row],[RE (Ω)]]</f>
        <v>0.46692307692307689</v>
      </c>
      <c r="I29" s="17">
        <f>2*(RedLEDTable4[[#This Row],[VRE (V)/RE (Ω)]]-RedLEDTable4[[#This Row],[IE (A)]])/(RedLEDTable4[[#This Row],[VRE (V)/RE (Ω)]]+RedLEDTable4[[#This Row],[IE (A)]])</f>
        <v>-0.24287161673179913</v>
      </c>
      <c r="J29" s="12">
        <f>RedLEDTable4[[#This Row],[IE (A)]]-RedLEDTable4[[#This Row],[IB (A)]]</f>
        <v>0.59215600000000002</v>
      </c>
      <c r="K29" s="12">
        <f>RedLEDTable4[[#This Row],[Vs (V)]]-RedLEDTable4[[#This Row],[VRE (V)]]</f>
        <v>1.9029999999999998</v>
      </c>
      <c r="L29" s="12">
        <f>RedLEDTable4[[#This Row],[Vs (V)]]-RedLEDTable4[[#This Row],[VRB (V)]]-RedLEDTable4[[#This Row],[VRE (V)]]</f>
        <v>1.3271687999999997</v>
      </c>
      <c r="M29" s="12">
        <f>RedLEDTable4[[#This Row],[VCE (V)]]-RedLEDTable4[[#This Row],[VBE (V)]]</f>
        <v>0.5758312000000001</v>
      </c>
      <c r="N29" s="12">
        <f>RedLEDTable4[[#This Row],[Vs (V)]]*RedLEDTable4[[#This Row],[IE (A)]]</f>
        <v>1.4959599999999997</v>
      </c>
      <c r="O29" s="12">
        <f>RedLEDTable4[[#This Row],[IB (A)]]*RedLEDTable4[[#This Row],[VRB (V)]]</f>
        <v>2.2134951328000004E-3</v>
      </c>
      <c r="P29" s="12">
        <f>RedLEDTable4[[#This Row],[IE (A)]]*RedLEDTable4[[#This Row],[VRE (V)]]</f>
        <v>0.36177199999999998</v>
      </c>
      <c r="Q29" s="12">
        <f>RedLEDTable4[[#This Row],[IC (A)]]*RedLEDTable4[[#This Row],[VCE (V)]]</f>
        <v>1.126872868</v>
      </c>
      <c r="R29" s="12">
        <f>RedLEDTable4[[#This Row],[IE (A)]]*RedLEDTable4[[#This Row],[VBE (V)]]</f>
        <v>0.79099260479999978</v>
      </c>
      <c r="S29" s="14">
        <f>RedLEDTable4[[#This Row],[IC (A)]]/RedLEDTable4[[#This Row],[IB (A)]]</f>
        <v>154.0468262226847</v>
      </c>
    </row>
    <row r="30" spans="1:19" x14ac:dyDescent="0.25">
      <c r="A30" s="11">
        <v>2.6</v>
      </c>
      <c r="B30" s="12">
        <v>4.0800000000000003E-3</v>
      </c>
      <c r="C30" s="13">
        <v>149.80000000000001</v>
      </c>
      <c r="D30" s="12">
        <f>RedLEDTable4[[#This Row],[IB (A)]]*RedLEDTable4[[#This Row],[RB (Ω)]]</f>
        <v>0.61118400000000006</v>
      </c>
      <c r="E30" s="12">
        <v>0.626</v>
      </c>
      <c r="F30" s="13">
        <v>1.3</v>
      </c>
      <c r="G30" s="12">
        <v>0.63500000000000001</v>
      </c>
      <c r="H30" s="12">
        <f>RedLEDTable4[[#This Row],[VRE (V)]]/RedLEDTable4[[#This Row],[RE (Ω)]]</f>
        <v>0.48846153846153845</v>
      </c>
      <c r="I30" s="17">
        <f>2*(RedLEDTable4[[#This Row],[VRE (V)/RE (Ω)]]-RedLEDTable4[[#This Row],[IE (A)]])/(RedLEDTable4[[#This Row],[VRE (V)/RE (Ω)]]+RedLEDTable4[[#This Row],[IE (A)]])</f>
        <v>-0.2468249585864164</v>
      </c>
      <c r="J30" s="12">
        <f>RedLEDTable4[[#This Row],[IE (A)]]-RedLEDTable4[[#This Row],[IB (A)]]</f>
        <v>0.62192000000000003</v>
      </c>
      <c r="K30" s="12">
        <f>RedLEDTable4[[#This Row],[Vs (V)]]-RedLEDTable4[[#This Row],[VRE (V)]]</f>
        <v>1.9650000000000001</v>
      </c>
      <c r="L30" s="12">
        <f>RedLEDTable4[[#This Row],[Vs (V)]]-RedLEDTable4[[#This Row],[VRB (V)]]-RedLEDTable4[[#This Row],[VRE (V)]]</f>
        <v>1.3538159999999999</v>
      </c>
      <c r="M30" s="12">
        <f>RedLEDTable4[[#This Row],[VCE (V)]]-RedLEDTable4[[#This Row],[VBE (V)]]</f>
        <v>0.61118400000000017</v>
      </c>
      <c r="N30" s="12">
        <f>RedLEDTable4[[#This Row],[Vs (V)]]*RedLEDTable4[[#This Row],[IE (A)]]</f>
        <v>1.6276000000000002</v>
      </c>
      <c r="O30" s="12">
        <f>RedLEDTable4[[#This Row],[IB (A)]]*RedLEDTable4[[#This Row],[VRB (V)]]</f>
        <v>2.4936307200000003E-3</v>
      </c>
      <c r="P30" s="12">
        <f>RedLEDTable4[[#This Row],[IE (A)]]*RedLEDTable4[[#This Row],[VRE (V)]]</f>
        <v>0.39751000000000003</v>
      </c>
      <c r="Q30" s="12">
        <f>RedLEDTable4[[#This Row],[IC (A)]]*RedLEDTable4[[#This Row],[VCE (V)]]</f>
        <v>1.2220728000000001</v>
      </c>
      <c r="R30" s="12">
        <f>RedLEDTable4[[#This Row],[IE (A)]]*RedLEDTable4[[#This Row],[VBE (V)]]</f>
        <v>0.84748881599999992</v>
      </c>
      <c r="S30" s="14">
        <f>RedLEDTable4[[#This Row],[IC (A)]]/RedLEDTable4[[#This Row],[IB (A)]]</f>
        <v>152.43137254901961</v>
      </c>
    </row>
    <row r="31" spans="1:19" x14ac:dyDescent="0.25">
      <c r="A31" s="11">
        <v>2.71</v>
      </c>
      <c r="B31" s="12">
        <v>5.9100000000000003E-3</v>
      </c>
      <c r="C31" s="13">
        <v>149.80000000000001</v>
      </c>
      <c r="D31" s="12">
        <f>RedLEDTable4[[#This Row],[IB (A)]]*RedLEDTable4[[#This Row],[RB (Ω)]]</f>
        <v>0.88531800000000016</v>
      </c>
      <c r="E31" s="12">
        <v>0.76</v>
      </c>
      <c r="F31" s="13">
        <v>1.3</v>
      </c>
      <c r="G31" s="12">
        <v>0.77200000000000002</v>
      </c>
      <c r="H31" s="12">
        <f>RedLEDTable4[[#This Row],[VRE (V)]]/RedLEDTable4[[#This Row],[RE (Ω)]]</f>
        <v>0.5938461538461538</v>
      </c>
      <c r="I31" s="17">
        <f>2*(RedLEDTable4[[#This Row],[VRE (V)/RE (Ω)]]-RedLEDTable4[[#This Row],[IE (A)]])/(RedLEDTable4[[#This Row],[VRE (V)/RE (Ω)]]+RedLEDTable4[[#This Row],[IE (A)]])</f>
        <v>-0.24545454545454551</v>
      </c>
      <c r="J31" s="12">
        <f>RedLEDTable4[[#This Row],[IE (A)]]-RedLEDTable4[[#This Row],[IB (A)]]</f>
        <v>0.75409000000000004</v>
      </c>
      <c r="K31" s="12">
        <f>RedLEDTable4[[#This Row],[Vs (V)]]-RedLEDTable4[[#This Row],[VRE (V)]]</f>
        <v>1.9379999999999999</v>
      </c>
      <c r="L31" s="12">
        <f>RedLEDTable4[[#This Row],[Vs (V)]]-RedLEDTable4[[#This Row],[VRB (V)]]-RedLEDTable4[[#This Row],[VRE (V)]]</f>
        <v>1.0526819999999997</v>
      </c>
      <c r="M31" s="12">
        <f>RedLEDTable4[[#This Row],[VCE (V)]]-RedLEDTable4[[#This Row],[VBE (V)]]</f>
        <v>0.88531800000000027</v>
      </c>
      <c r="N31" s="12">
        <f>RedLEDTable4[[#This Row],[Vs (V)]]*RedLEDTable4[[#This Row],[IE (A)]]</f>
        <v>2.0596000000000001</v>
      </c>
      <c r="O31" s="12">
        <f>RedLEDTable4[[#This Row],[IB (A)]]*RedLEDTable4[[#This Row],[VRB (V)]]</f>
        <v>5.2322293800000017E-3</v>
      </c>
      <c r="P31" s="12">
        <f>RedLEDTable4[[#This Row],[IE (A)]]*RedLEDTable4[[#This Row],[VRE (V)]]</f>
        <v>0.58672000000000002</v>
      </c>
      <c r="Q31" s="12">
        <f>RedLEDTable4[[#This Row],[IC (A)]]*RedLEDTable4[[#This Row],[VCE (V)]]</f>
        <v>1.46142642</v>
      </c>
      <c r="R31" s="12">
        <f>RedLEDTable4[[#This Row],[IE (A)]]*RedLEDTable4[[#This Row],[VBE (V)]]</f>
        <v>0.80003831999999975</v>
      </c>
      <c r="S31" s="14">
        <f>RedLEDTable4[[#This Row],[IC (A)]]/RedLEDTable4[[#This Row],[IB (A)]]</f>
        <v>127.59560067681895</v>
      </c>
    </row>
    <row r="32" spans="1:19" x14ac:dyDescent="0.25">
      <c r="A32" s="11">
        <v>2.8</v>
      </c>
      <c r="B32" s="12">
        <v>6.3200000000000001E-3</v>
      </c>
      <c r="C32" s="13">
        <v>149.80000000000001</v>
      </c>
      <c r="D32" s="12">
        <f>RedLEDTable4[[#This Row],[IB (A)]]*RedLEDTable4[[#This Row],[RB (Ω)]]</f>
        <v>0.94673600000000013</v>
      </c>
      <c r="E32" s="12">
        <v>0.79400000000000004</v>
      </c>
      <c r="F32" s="13">
        <v>1.3</v>
      </c>
      <c r="G32" s="12">
        <v>0.80800000000000005</v>
      </c>
      <c r="H32" s="12">
        <f>RedLEDTable4[[#This Row],[VRE (V)]]/RedLEDTable4[[#This Row],[RE (Ω)]]</f>
        <v>0.6215384615384616</v>
      </c>
      <c r="I32" s="17">
        <f>2*(RedLEDTable4[[#This Row],[VRE (V)/RE (Ω)]]-RedLEDTable4[[#This Row],[IE (A)]])/(RedLEDTable4[[#This Row],[VRE (V)/RE (Ω)]]+RedLEDTable4[[#This Row],[IE (A)]])</f>
        <v>-0.24366916639495703</v>
      </c>
      <c r="J32" s="12">
        <f>RedLEDTable4[[#This Row],[IE (A)]]-RedLEDTable4[[#This Row],[IB (A)]]</f>
        <v>0.78768000000000005</v>
      </c>
      <c r="K32" s="12">
        <f>RedLEDTable4[[#This Row],[Vs (V)]]-RedLEDTable4[[#This Row],[VRE (V)]]</f>
        <v>1.9919999999999998</v>
      </c>
      <c r="L32" s="12">
        <f>RedLEDTable4[[#This Row],[Vs (V)]]-RedLEDTable4[[#This Row],[VRB (V)]]-RedLEDTable4[[#This Row],[VRE (V)]]</f>
        <v>1.0452639999999997</v>
      </c>
      <c r="M32" s="12">
        <f>RedLEDTable4[[#This Row],[VCE (V)]]-RedLEDTable4[[#This Row],[VBE (V)]]</f>
        <v>0.94673600000000002</v>
      </c>
      <c r="N32" s="12">
        <f>RedLEDTable4[[#This Row],[Vs (V)]]*RedLEDTable4[[#This Row],[IE (A)]]</f>
        <v>2.2231999999999998</v>
      </c>
      <c r="O32" s="12">
        <f>RedLEDTable4[[#This Row],[IB (A)]]*RedLEDTable4[[#This Row],[VRB (V)]]</f>
        <v>5.9833715200000009E-3</v>
      </c>
      <c r="P32" s="12">
        <f>RedLEDTable4[[#This Row],[IE (A)]]*RedLEDTable4[[#This Row],[VRE (V)]]</f>
        <v>0.64155200000000012</v>
      </c>
      <c r="Q32" s="12">
        <f>RedLEDTable4[[#This Row],[IC (A)]]*RedLEDTable4[[#This Row],[VCE (V)]]</f>
        <v>1.56905856</v>
      </c>
      <c r="R32" s="12">
        <f>RedLEDTable4[[#This Row],[IE (A)]]*RedLEDTable4[[#This Row],[VBE (V)]]</f>
        <v>0.82993961599999988</v>
      </c>
      <c r="S32" s="14">
        <f>RedLEDTable4[[#This Row],[IC (A)]]/RedLEDTable4[[#This Row],[IB (A)]]</f>
        <v>124.63291139240506</v>
      </c>
    </row>
    <row r="33" spans="1:19" x14ac:dyDescent="0.25">
      <c r="A33" s="11">
        <v>2.9</v>
      </c>
      <c r="B33" s="12">
        <v>6.6899999999999998E-3</v>
      </c>
      <c r="C33" s="13">
        <v>149.80000000000001</v>
      </c>
      <c r="D33" s="12">
        <f>RedLEDTable4[[#This Row],[IB (A)]]*RedLEDTable4[[#This Row],[RB (Ω)]]</f>
        <v>1.002162</v>
      </c>
      <c r="E33" s="12">
        <v>0.82</v>
      </c>
      <c r="F33" s="13">
        <v>1.3</v>
      </c>
      <c r="G33" s="12">
        <v>0.83399999999999996</v>
      </c>
      <c r="H33" s="12">
        <f>RedLEDTable4[[#This Row],[VRE (V)]]/RedLEDTable4[[#This Row],[RE (Ω)]]</f>
        <v>0.6415384615384615</v>
      </c>
      <c r="I33" s="17">
        <f>2*(RedLEDTable4[[#This Row],[VRE (V)/RE (Ω)]]-RedLEDTable4[[#This Row],[IE (A)]])/(RedLEDTable4[[#This Row],[VRE (V)/RE (Ω)]]+RedLEDTable4[[#This Row],[IE (A)]])</f>
        <v>-0.24421052631578946</v>
      </c>
      <c r="J33" s="12">
        <f>RedLEDTable4[[#This Row],[IE (A)]]-RedLEDTable4[[#This Row],[IB (A)]]</f>
        <v>0.81330999999999998</v>
      </c>
      <c r="K33" s="12">
        <f>RedLEDTable4[[#This Row],[Vs (V)]]-RedLEDTable4[[#This Row],[VRE (V)]]</f>
        <v>2.0659999999999998</v>
      </c>
      <c r="L33" s="12">
        <f>RedLEDTable4[[#This Row],[Vs (V)]]-RedLEDTable4[[#This Row],[VRB (V)]]-RedLEDTable4[[#This Row],[VRE (V)]]</f>
        <v>1.0638380000000001</v>
      </c>
      <c r="M33" s="12">
        <f>RedLEDTable4[[#This Row],[VCE (V)]]-RedLEDTable4[[#This Row],[VBE (V)]]</f>
        <v>1.0021619999999998</v>
      </c>
      <c r="N33" s="12">
        <f>RedLEDTable4[[#This Row],[Vs (V)]]*RedLEDTable4[[#This Row],[IE (A)]]</f>
        <v>2.3779999999999997</v>
      </c>
      <c r="O33" s="12">
        <f>RedLEDTable4[[#This Row],[IB (A)]]*RedLEDTable4[[#This Row],[VRB (V)]]</f>
        <v>6.7044637799999994E-3</v>
      </c>
      <c r="P33" s="12">
        <f>RedLEDTable4[[#This Row],[IE (A)]]*RedLEDTable4[[#This Row],[VRE (V)]]</f>
        <v>0.68387999999999993</v>
      </c>
      <c r="Q33" s="12">
        <f>RedLEDTable4[[#This Row],[IC (A)]]*RedLEDTable4[[#This Row],[VCE (V)]]</f>
        <v>1.6802984599999997</v>
      </c>
      <c r="R33" s="12">
        <f>RedLEDTable4[[#This Row],[IE (A)]]*RedLEDTable4[[#This Row],[VBE (V)]]</f>
        <v>0.87234716000000001</v>
      </c>
      <c r="S33" s="14">
        <f>RedLEDTable4[[#This Row],[IC (A)]]/RedLEDTable4[[#This Row],[IB (A)]]</f>
        <v>121.57100149476831</v>
      </c>
    </row>
    <row r="34" spans="1:19" x14ac:dyDescent="0.25">
      <c r="A34" s="11">
        <v>3</v>
      </c>
      <c r="B34" s="12">
        <v>7.0200000000000002E-3</v>
      </c>
      <c r="C34" s="13">
        <v>149.80000000000001</v>
      </c>
      <c r="D34" s="12">
        <f>RedLEDTable4[[#This Row],[IB (A)]]*RedLEDTable4[[#This Row],[RB (Ω)]]</f>
        <v>1.0515960000000002</v>
      </c>
      <c r="E34" s="12">
        <v>0.84499999999999997</v>
      </c>
      <c r="F34" s="13">
        <v>1.3</v>
      </c>
      <c r="G34" s="12">
        <v>0.85899999999999999</v>
      </c>
      <c r="H34" s="12">
        <f>RedLEDTable4[[#This Row],[VRE (V)]]/RedLEDTable4[[#This Row],[RE (Ω)]]</f>
        <v>0.66076923076923078</v>
      </c>
      <c r="I34" s="17">
        <f>2*(RedLEDTable4[[#This Row],[VRE (V)/RE (Ω)]]-RedLEDTable4[[#This Row],[IE (A)]])/(RedLEDTable4[[#This Row],[VRE (V)/RE (Ω)]]+RedLEDTable4[[#This Row],[IE (A)]])</f>
        <v>-0.24469987228607915</v>
      </c>
      <c r="J34" s="12">
        <f>RedLEDTable4[[#This Row],[IE (A)]]-RedLEDTable4[[#This Row],[IB (A)]]</f>
        <v>0.83797999999999995</v>
      </c>
      <c r="K34" s="12">
        <f>RedLEDTable4[[#This Row],[Vs (V)]]-RedLEDTable4[[#This Row],[VRE (V)]]</f>
        <v>2.141</v>
      </c>
      <c r="L34" s="12">
        <f>RedLEDTable4[[#This Row],[Vs (V)]]-RedLEDTable4[[#This Row],[VRB (V)]]-RedLEDTable4[[#This Row],[VRE (V)]]</f>
        <v>1.0894039999999998</v>
      </c>
      <c r="M34" s="12">
        <f>RedLEDTable4[[#This Row],[VCE (V)]]-RedLEDTable4[[#This Row],[VBE (V)]]</f>
        <v>1.0515960000000002</v>
      </c>
      <c r="N34" s="12">
        <f>RedLEDTable4[[#This Row],[Vs (V)]]*RedLEDTable4[[#This Row],[IE (A)]]</f>
        <v>2.5350000000000001</v>
      </c>
      <c r="O34" s="12">
        <f>RedLEDTable4[[#This Row],[IB (A)]]*RedLEDTable4[[#This Row],[VRB (V)]]</f>
        <v>7.3822039200000019E-3</v>
      </c>
      <c r="P34" s="12">
        <f>RedLEDTable4[[#This Row],[IE (A)]]*RedLEDTable4[[#This Row],[VRE (V)]]</f>
        <v>0.72585499999999992</v>
      </c>
      <c r="Q34" s="12">
        <f>RedLEDTable4[[#This Row],[IC (A)]]*RedLEDTable4[[#This Row],[VCE (V)]]</f>
        <v>1.7941151799999999</v>
      </c>
      <c r="R34" s="12">
        <f>RedLEDTable4[[#This Row],[IE (A)]]*RedLEDTable4[[#This Row],[VBE (V)]]</f>
        <v>0.92054637999999978</v>
      </c>
      <c r="S34" s="14">
        <f>RedLEDTable4[[#This Row],[IC (A)]]/RedLEDTable4[[#This Row],[IB (A)]]</f>
        <v>119.37037037037035</v>
      </c>
    </row>
    <row r="35" spans="1:19" x14ac:dyDescent="0.25">
      <c r="A35" s="11">
        <v>3.1</v>
      </c>
      <c r="B35" s="12">
        <v>7.4700000000000001E-3</v>
      </c>
      <c r="C35" s="13">
        <v>149.80000000000001</v>
      </c>
      <c r="D35" s="12">
        <f>RedLEDTable4[[#This Row],[IB (A)]]*RedLEDTable4[[#This Row],[RB (Ω)]]</f>
        <v>1.1190060000000002</v>
      </c>
      <c r="E35" s="12">
        <v>0.879</v>
      </c>
      <c r="F35" s="13">
        <v>1.3</v>
      </c>
      <c r="G35" s="12">
        <v>0.89500000000000002</v>
      </c>
      <c r="H35" s="12">
        <f>RedLEDTable4[[#This Row],[VRE (V)]]/RedLEDTable4[[#This Row],[RE (Ω)]]</f>
        <v>0.68846153846153846</v>
      </c>
      <c r="I35" s="17">
        <f>2*(RedLEDTable4[[#This Row],[VRE (V)/RE (Ω)]]-RedLEDTable4[[#This Row],[IE (A)]])/(RedLEDTable4[[#This Row],[VRE (V)/RE (Ω)]]+RedLEDTable4[[#This Row],[IE (A)]])</f>
        <v>-0.24311724002551899</v>
      </c>
      <c r="J35" s="12">
        <f>RedLEDTable4[[#This Row],[IE (A)]]-RedLEDTable4[[#This Row],[IB (A)]]</f>
        <v>0.87153000000000003</v>
      </c>
      <c r="K35" s="12">
        <f>RedLEDTable4[[#This Row],[Vs (V)]]-RedLEDTable4[[#This Row],[VRE (V)]]</f>
        <v>2.2050000000000001</v>
      </c>
      <c r="L35" s="12">
        <f>RedLEDTable4[[#This Row],[Vs (V)]]-RedLEDTable4[[#This Row],[VRB (V)]]-RedLEDTable4[[#This Row],[VRE (V)]]</f>
        <v>1.0859939999999999</v>
      </c>
      <c r="M35" s="12">
        <f>RedLEDTable4[[#This Row],[VCE (V)]]-RedLEDTable4[[#This Row],[VBE (V)]]</f>
        <v>1.1190060000000002</v>
      </c>
      <c r="N35" s="12">
        <f>RedLEDTable4[[#This Row],[Vs (V)]]*RedLEDTable4[[#This Row],[IE (A)]]</f>
        <v>2.7248999999999999</v>
      </c>
      <c r="O35" s="12">
        <f>RedLEDTable4[[#This Row],[IB (A)]]*RedLEDTable4[[#This Row],[VRB (V)]]</f>
        <v>8.3589748200000018E-3</v>
      </c>
      <c r="P35" s="12">
        <f>RedLEDTable4[[#This Row],[IE (A)]]*RedLEDTable4[[#This Row],[VRE (V)]]</f>
        <v>0.78670499999999999</v>
      </c>
      <c r="Q35" s="12">
        <f>RedLEDTable4[[#This Row],[IC (A)]]*RedLEDTable4[[#This Row],[VCE (V)]]</f>
        <v>1.9217236500000001</v>
      </c>
      <c r="R35" s="12">
        <f>RedLEDTable4[[#This Row],[IE (A)]]*RedLEDTable4[[#This Row],[VBE (V)]]</f>
        <v>0.95458872599999989</v>
      </c>
      <c r="S35" s="14">
        <f>RedLEDTable4[[#This Row],[IC (A)]]/RedLEDTable4[[#This Row],[IB (A)]]</f>
        <v>116.6706827309237</v>
      </c>
    </row>
    <row r="36" spans="1:19" x14ac:dyDescent="0.25">
      <c r="A36" s="11">
        <v>3.2</v>
      </c>
      <c r="B36" s="12">
        <v>7.9799999999999992E-3</v>
      </c>
      <c r="C36" s="13">
        <v>149.80000000000001</v>
      </c>
      <c r="D36" s="12">
        <f>RedLEDTable4[[#This Row],[IB (A)]]*RedLEDTable4[[#This Row],[RB (Ω)]]</f>
        <v>1.1954039999999999</v>
      </c>
      <c r="E36" s="12">
        <v>0.91400000000000003</v>
      </c>
      <c r="F36" s="13">
        <v>1.3</v>
      </c>
      <c r="G36" s="12">
        <v>0.93</v>
      </c>
      <c r="H36" s="12">
        <f>RedLEDTable4[[#This Row],[VRE (V)]]/RedLEDTable4[[#This Row],[RE (Ω)]]</f>
        <v>0.7153846153846154</v>
      </c>
      <c r="I36" s="17">
        <f>2*(RedLEDTable4[[#This Row],[VRE (V)/RE (Ω)]]-RedLEDTable4[[#This Row],[IE (A)]])/(RedLEDTable4[[#This Row],[VRE (V)/RE (Ω)]]+RedLEDTable4[[#This Row],[IE (A)]])</f>
        <v>-0.24379189878198473</v>
      </c>
      <c r="J36" s="12">
        <f>RedLEDTable4[[#This Row],[IE (A)]]-RedLEDTable4[[#This Row],[IB (A)]]</f>
        <v>0.90602000000000005</v>
      </c>
      <c r="K36" s="12">
        <f>RedLEDTable4[[#This Row],[Vs (V)]]-RedLEDTable4[[#This Row],[VRE (V)]]</f>
        <v>2.27</v>
      </c>
      <c r="L36" s="12">
        <f>RedLEDTable4[[#This Row],[Vs (V)]]-RedLEDTable4[[#This Row],[VRB (V)]]-RedLEDTable4[[#This Row],[VRE (V)]]</f>
        <v>1.0745960000000001</v>
      </c>
      <c r="M36" s="12">
        <f>RedLEDTable4[[#This Row],[VCE (V)]]-RedLEDTable4[[#This Row],[VBE (V)]]</f>
        <v>1.1954039999999999</v>
      </c>
      <c r="N36" s="12">
        <f>RedLEDTable4[[#This Row],[Vs (V)]]*RedLEDTable4[[#This Row],[IE (A)]]</f>
        <v>2.9248000000000003</v>
      </c>
      <c r="O36" s="12">
        <f>RedLEDTable4[[#This Row],[IB (A)]]*RedLEDTable4[[#This Row],[VRB (V)]]</f>
        <v>9.5393239199999987E-3</v>
      </c>
      <c r="P36" s="12">
        <f>RedLEDTable4[[#This Row],[IE (A)]]*RedLEDTable4[[#This Row],[VRE (V)]]</f>
        <v>0.85002000000000011</v>
      </c>
      <c r="Q36" s="12">
        <f>RedLEDTable4[[#This Row],[IC (A)]]*RedLEDTable4[[#This Row],[VCE (V)]]</f>
        <v>2.0566654</v>
      </c>
      <c r="R36" s="12">
        <f>RedLEDTable4[[#This Row],[IE (A)]]*RedLEDTable4[[#This Row],[VBE (V)]]</f>
        <v>0.98218074400000011</v>
      </c>
      <c r="S36" s="14">
        <f>RedLEDTable4[[#This Row],[IC (A)]]/RedLEDTable4[[#This Row],[IB (A)]]</f>
        <v>113.53634085213034</v>
      </c>
    </row>
    <row r="37" spans="1:19" x14ac:dyDescent="0.25">
      <c r="A37" s="11">
        <v>3.3</v>
      </c>
      <c r="B37" s="12">
        <v>8.3999999999999995E-3</v>
      </c>
      <c r="C37" s="13">
        <v>149.80000000000001</v>
      </c>
      <c r="D37" s="12">
        <f>RedLEDTable4[[#This Row],[IB (A)]]*RedLEDTable4[[#This Row],[RB (Ω)]]</f>
        <v>1.2583200000000001</v>
      </c>
      <c r="E37" s="12">
        <v>0.94</v>
      </c>
      <c r="F37" s="13">
        <v>1.3</v>
      </c>
      <c r="G37" s="12">
        <v>0.95699999999999996</v>
      </c>
      <c r="H37" s="12">
        <f>RedLEDTable4[[#This Row],[VRE (V)]]/RedLEDTable4[[#This Row],[RE (Ω)]]</f>
        <v>0.73615384615384605</v>
      </c>
      <c r="I37" s="17">
        <f>2*(RedLEDTable4[[#This Row],[VRE (V)/RE (Ω)]]-RedLEDTable4[[#This Row],[IE (A)]])/(RedLEDTable4[[#This Row],[VRE (V)/RE (Ω)]]+RedLEDTable4[[#This Row],[IE (A)]])</f>
        <v>-0.24323083983478669</v>
      </c>
      <c r="J37" s="12">
        <f>RedLEDTable4[[#This Row],[IE (A)]]-RedLEDTable4[[#This Row],[IB (A)]]</f>
        <v>0.93159999999999998</v>
      </c>
      <c r="K37" s="12">
        <f>RedLEDTable4[[#This Row],[Vs (V)]]-RedLEDTable4[[#This Row],[VRE (V)]]</f>
        <v>2.343</v>
      </c>
      <c r="L37" s="12">
        <f>RedLEDTable4[[#This Row],[Vs (V)]]-RedLEDTable4[[#This Row],[VRB (V)]]-RedLEDTable4[[#This Row],[VRE (V)]]</f>
        <v>1.0846799999999996</v>
      </c>
      <c r="M37" s="12">
        <f>RedLEDTable4[[#This Row],[VCE (V)]]-RedLEDTable4[[#This Row],[VBE (V)]]</f>
        <v>1.2583200000000003</v>
      </c>
      <c r="N37" s="12">
        <f>RedLEDTable4[[#This Row],[Vs (V)]]*RedLEDTable4[[#This Row],[IE (A)]]</f>
        <v>3.1019999999999999</v>
      </c>
      <c r="O37" s="12">
        <f>RedLEDTable4[[#This Row],[IB (A)]]*RedLEDTable4[[#This Row],[VRB (V)]]</f>
        <v>1.0569888E-2</v>
      </c>
      <c r="P37" s="12">
        <f>RedLEDTable4[[#This Row],[IE (A)]]*RedLEDTable4[[#This Row],[VRE (V)]]</f>
        <v>0.89957999999999994</v>
      </c>
      <c r="Q37" s="12">
        <f>RedLEDTable4[[#This Row],[IC (A)]]*RedLEDTable4[[#This Row],[VCE (V)]]</f>
        <v>2.1827388000000001</v>
      </c>
      <c r="R37" s="12">
        <f>RedLEDTable4[[#This Row],[IE (A)]]*RedLEDTable4[[#This Row],[VBE (V)]]</f>
        <v>1.0195991999999996</v>
      </c>
      <c r="S37" s="14">
        <f>RedLEDTable4[[#This Row],[IC (A)]]/RedLEDTable4[[#This Row],[IB (A)]]</f>
        <v>110.90476190476191</v>
      </c>
    </row>
    <row r="38" spans="1:19" x14ac:dyDescent="0.25">
      <c r="A38" s="11">
        <v>3.4</v>
      </c>
      <c r="B38" s="12">
        <v>8.8400000000000006E-3</v>
      </c>
      <c r="C38" s="13">
        <v>149.80000000000001</v>
      </c>
      <c r="D38" s="12">
        <f>RedLEDTable4[[#This Row],[IB (A)]]*RedLEDTable4[[#This Row],[RB (Ω)]]</f>
        <v>1.3242320000000003</v>
      </c>
      <c r="E38" s="12">
        <v>0.96699999999999997</v>
      </c>
      <c r="F38" s="13">
        <v>1.3</v>
      </c>
      <c r="G38" s="12">
        <v>0.98499999999999999</v>
      </c>
      <c r="H38" s="12">
        <f>RedLEDTable4[[#This Row],[VRE (V)]]/RedLEDTable4[[#This Row],[RE (Ω)]]</f>
        <v>0.75769230769230766</v>
      </c>
      <c r="I38" s="17">
        <f>2*(RedLEDTable4[[#This Row],[VRE (V)/RE (Ω)]]-RedLEDTable4[[#This Row],[IE (A)]])/(RedLEDTable4[[#This Row],[VRE (V)/RE (Ω)]]+RedLEDTable4[[#This Row],[IE (A)]])</f>
        <v>-0.24271887962178315</v>
      </c>
      <c r="J38" s="12">
        <f>RedLEDTable4[[#This Row],[IE (A)]]-RedLEDTable4[[#This Row],[IB (A)]]</f>
        <v>0.95816000000000001</v>
      </c>
      <c r="K38" s="12">
        <f>RedLEDTable4[[#This Row],[Vs (V)]]-RedLEDTable4[[#This Row],[VRE (V)]]</f>
        <v>2.415</v>
      </c>
      <c r="L38" s="12">
        <f>RedLEDTable4[[#This Row],[Vs (V)]]-RedLEDTable4[[#This Row],[VRB (V)]]-RedLEDTable4[[#This Row],[VRE (V)]]</f>
        <v>1.0907679999999997</v>
      </c>
      <c r="M38" s="12">
        <f>RedLEDTable4[[#This Row],[VCE (V)]]-RedLEDTable4[[#This Row],[VBE (V)]]</f>
        <v>1.3242320000000003</v>
      </c>
      <c r="N38" s="12">
        <f>RedLEDTable4[[#This Row],[Vs (V)]]*RedLEDTable4[[#This Row],[IE (A)]]</f>
        <v>3.2877999999999998</v>
      </c>
      <c r="O38" s="12">
        <f>RedLEDTable4[[#This Row],[IB (A)]]*RedLEDTable4[[#This Row],[VRB (V)]]</f>
        <v>1.1706210880000003E-2</v>
      </c>
      <c r="P38" s="12">
        <f>RedLEDTable4[[#This Row],[IE (A)]]*RedLEDTable4[[#This Row],[VRE (V)]]</f>
        <v>0.95249499999999998</v>
      </c>
      <c r="Q38" s="12">
        <f>RedLEDTable4[[#This Row],[IC (A)]]*RedLEDTable4[[#This Row],[VCE (V)]]</f>
        <v>2.3139563999999999</v>
      </c>
      <c r="R38" s="12">
        <f>RedLEDTable4[[#This Row],[IE (A)]]*RedLEDTable4[[#This Row],[VBE (V)]]</f>
        <v>1.0547726559999997</v>
      </c>
      <c r="S38" s="14">
        <f>RedLEDTable4[[#This Row],[IC (A)]]/RedLEDTable4[[#This Row],[IB (A)]]</f>
        <v>108.3891402714932</v>
      </c>
    </row>
    <row r="39" spans="1:19" x14ac:dyDescent="0.25">
      <c r="A39" s="11">
        <v>3.5</v>
      </c>
      <c r="B39" s="12">
        <v>9.2800000000000001E-3</v>
      </c>
      <c r="C39" s="13">
        <v>149.80000000000001</v>
      </c>
      <c r="D39" s="12">
        <f>RedLEDTable4[[#This Row],[IB (A)]]*RedLEDTable4[[#This Row],[RB (Ω)]]</f>
        <v>1.390144</v>
      </c>
      <c r="E39" s="12">
        <v>0.99099999999999999</v>
      </c>
      <c r="F39" s="13">
        <v>1.3</v>
      </c>
      <c r="G39" s="12">
        <v>1.01</v>
      </c>
      <c r="H39" s="12">
        <f>RedLEDTable4[[#This Row],[VRE (V)]]/RedLEDTable4[[#This Row],[RE (Ω)]]</f>
        <v>0.77692307692307694</v>
      </c>
      <c r="I39" s="17">
        <f>2*(RedLEDTable4[[#This Row],[VRE (V)/RE (Ω)]]-RedLEDTable4[[#This Row],[IE (A)]])/(RedLEDTable4[[#This Row],[VRE (V)/RE (Ω)]]+RedLEDTable4[[#This Row],[IE (A)]])</f>
        <v>-0.24217900187094807</v>
      </c>
      <c r="J39" s="12">
        <f>RedLEDTable4[[#This Row],[IE (A)]]-RedLEDTable4[[#This Row],[IB (A)]]</f>
        <v>0.98172000000000004</v>
      </c>
      <c r="K39" s="12">
        <f>RedLEDTable4[[#This Row],[Vs (V)]]-RedLEDTable4[[#This Row],[VRE (V)]]</f>
        <v>2.4900000000000002</v>
      </c>
      <c r="L39" s="12">
        <f>RedLEDTable4[[#This Row],[Vs (V)]]-RedLEDTable4[[#This Row],[VRB (V)]]-RedLEDTable4[[#This Row],[VRE (V)]]</f>
        <v>1.0998559999999997</v>
      </c>
      <c r="M39" s="12">
        <f>RedLEDTable4[[#This Row],[VCE (V)]]-RedLEDTable4[[#This Row],[VBE (V)]]</f>
        <v>1.3901440000000005</v>
      </c>
      <c r="N39" s="12">
        <f>RedLEDTable4[[#This Row],[Vs (V)]]*RedLEDTable4[[#This Row],[IE (A)]]</f>
        <v>3.4685000000000001</v>
      </c>
      <c r="O39" s="12">
        <f>RedLEDTable4[[#This Row],[IB (A)]]*RedLEDTable4[[#This Row],[VRB (V)]]</f>
        <v>1.2900536320000001E-2</v>
      </c>
      <c r="P39" s="12">
        <f>RedLEDTable4[[#This Row],[IE (A)]]*RedLEDTable4[[#This Row],[VRE (V)]]</f>
        <v>1.00091</v>
      </c>
      <c r="Q39" s="12">
        <f>RedLEDTable4[[#This Row],[IC (A)]]*RedLEDTable4[[#This Row],[VCE (V)]]</f>
        <v>2.4444828000000003</v>
      </c>
      <c r="R39" s="12">
        <f>RedLEDTable4[[#This Row],[IE (A)]]*RedLEDTable4[[#This Row],[VBE (V)]]</f>
        <v>1.0899572959999997</v>
      </c>
      <c r="S39" s="14">
        <f>RedLEDTable4[[#This Row],[IC (A)]]/RedLEDTable4[[#This Row],[IB (A)]]</f>
        <v>105.78879310344828</v>
      </c>
    </row>
    <row r="40" spans="1:19" x14ac:dyDescent="0.25">
      <c r="A40" s="11">
        <v>3.56</v>
      </c>
      <c r="B40" s="12">
        <v>9.5099999999999994E-3</v>
      </c>
      <c r="C40" s="13">
        <v>149.80000000000001</v>
      </c>
      <c r="D40" s="12">
        <f>RedLEDTable4[[#This Row],[IB (A)]]*RedLEDTable4[[#This Row],[RB (Ω)]]</f>
        <v>1.424598</v>
      </c>
      <c r="E40" s="12">
        <v>1</v>
      </c>
      <c r="F40" s="13">
        <v>1.3</v>
      </c>
      <c r="G40" s="12">
        <v>1.02</v>
      </c>
      <c r="H40" s="12">
        <f>RedLEDTable4[[#This Row],[VRE (V)]]/RedLEDTable4[[#This Row],[RE (Ω)]]</f>
        <v>0.7846153846153846</v>
      </c>
      <c r="I40" s="17">
        <f>2*(RedLEDTable4[[#This Row],[VRE (V)/RE (Ω)]]-RedLEDTable4[[#This Row],[IE (A)]])/(RedLEDTable4[[#This Row],[VRE (V)/RE (Ω)]]+RedLEDTable4[[#This Row],[IE (A)]])</f>
        <v>-0.24137931034482762</v>
      </c>
      <c r="J40" s="12">
        <f>RedLEDTable4[[#This Row],[IE (A)]]-RedLEDTable4[[#This Row],[IB (A)]]</f>
        <v>0.99048999999999998</v>
      </c>
      <c r="K40" s="12">
        <f>RedLEDTable4[[#This Row],[Vs (V)]]-RedLEDTable4[[#This Row],[VRE (V)]]</f>
        <v>2.54</v>
      </c>
      <c r="L40" s="12">
        <f>RedLEDTable4[[#This Row],[Vs (V)]]-RedLEDTable4[[#This Row],[VRB (V)]]-RedLEDTable4[[#This Row],[VRE (V)]]</f>
        <v>1.115402</v>
      </c>
      <c r="M40" s="12">
        <f>RedLEDTable4[[#This Row],[VCE (V)]]-RedLEDTable4[[#This Row],[VBE (V)]]</f>
        <v>1.424598</v>
      </c>
      <c r="N40" s="12">
        <f>RedLEDTable4[[#This Row],[Vs (V)]]*RedLEDTable4[[#This Row],[IE (A)]]</f>
        <v>3.56</v>
      </c>
      <c r="O40" s="12">
        <f>RedLEDTable4[[#This Row],[IB (A)]]*RedLEDTable4[[#This Row],[VRB (V)]]</f>
        <v>1.354792698E-2</v>
      </c>
      <c r="P40" s="12">
        <f>RedLEDTable4[[#This Row],[IE (A)]]*RedLEDTable4[[#This Row],[VRE (V)]]</f>
        <v>1.02</v>
      </c>
      <c r="Q40" s="12">
        <f>RedLEDTable4[[#This Row],[IC (A)]]*RedLEDTable4[[#This Row],[VCE (V)]]</f>
        <v>2.5158445999999999</v>
      </c>
      <c r="R40" s="12">
        <f>RedLEDTable4[[#This Row],[IE (A)]]*RedLEDTable4[[#This Row],[VBE (V)]]</f>
        <v>1.115402</v>
      </c>
      <c r="S40" s="14">
        <f>RedLEDTable4[[#This Row],[IC (A)]]/RedLEDTable4[[#This Row],[IB (A)]]</f>
        <v>104.15247108307045</v>
      </c>
    </row>
    <row r="41" spans="1:19" x14ac:dyDescent="0.25">
      <c r="A41" s="11">
        <v>4.22</v>
      </c>
      <c r="B41" s="12">
        <v>1.2E-2</v>
      </c>
      <c r="C41" s="13">
        <v>149.80000000000001</v>
      </c>
      <c r="D41" s="12">
        <f>RedLEDTable4[[#This Row],[IB (A)]]*RedLEDTable4[[#This Row],[RB (Ω)]]</f>
        <v>1.7976000000000001</v>
      </c>
      <c r="E41" s="12">
        <v>1.1000000000000001</v>
      </c>
      <c r="F41" s="13">
        <v>1.3</v>
      </c>
      <c r="G41" s="12">
        <v>1.2</v>
      </c>
      <c r="H41" s="12">
        <f>RedLEDTable4[[#This Row],[VRE (V)]]/RedLEDTable4[[#This Row],[RE (Ω)]]</f>
        <v>0.92307692307692302</v>
      </c>
      <c r="I41" s="17">
        <f>2*(RedLEDTable4[[#This Row],[VRE (V)/RE (Ω)]]-RedLEDTable4[[#This Row],[IE (A)]])/(RedLEDTable4[[#This Row],[VRE (V)/RE (Ω)]]+RedLEDTable4[[#This Row],[IE (A)]])</f>
        <v>-0.17490494296577963</v>
      </c>
      <c r="J41" s="12">
        <f>RedLEDTable4[[#This Row],[IE (A)]]-RedLEDTable4[[#This Row],[IB (A)]]</f>
        <v>1.0880000000000001</v>
      </c>
      <c r="K41" s="12">
        <f>RedLEDTable4[[#This Row],[Vs (V)]]-RedLEDTable4[[#This Row],[VRE (V)]]</f>
        <v>3.0199999999999996</v>
      </c>
      <c r="L41" s="12">
        <f>RedLEDTable4[[#This Row],[Vs (V)]]-RedLEDTable4[[#This Row],[VRB (V)]]-RedLEDTable4[[#This Row],[VRE (V)]]</f>
        <v>1.2223999999999997</v>
      </c>
      <c r="M41" s="12">
        <f>RedLEDTable4[[#This Row],[VCE (V)]]-RedLEDTable4[[#This Row],[VBE (V)]]</f>
        <v>1.7975999999999999</v>
      </c>
      <c r="N41" s="12">
        <f>RedLEDTable4[[#This Row],[Vs (V)]]*RedLEDTable4[[#This Row],[IE (A)]]</f>
        <v>4.6420000000000003</v>
      </c>
      <c r="O41" s="12">
        <f>RedLEDTable4[[#This Row],[IB (A)]]*RedLEDTable4[[#This Row],[VRB (V)]]</f>
        <v>2.1571200000000002E-2</v>
      </c>
      <c r="P41" s="12">
        <f>RedLEDTable4[[#This Row],[IE (A)]]*RedLEDTable4[[#This Row],[VRE (V)]]</f>
        <v>1.32</v>
      </c>
      <c r="Q41" s="12">
        <f>RedLEDTable4[[#This Row],[IC (A)]]*RedLEDTable4[[#This Row],[VCE (V)]]</f>
        <v>3.2857599999999998</v>
      </c>
      <c r="R41" s="12">
        <f>RedLEDTable4[[#This Row],[IE (A)]]*RedLEDTable4[[#This Row],[VBE (V)]]</f>
        <v>1.3446399999999998</v>
      </c>
      <c r="S41" s="14">
        <f>RedLEDTable4[[#This Row],[IC (A)]]/RedLEDTable4[[#This Row],[IB (A)]]</f>
        <v>90.666666666666671</v>
      </c>
    </row>
  </sheetData>
  <mergeCells count="1">
    <mergeCell ref="A1:Q3"/>
  </mergeCells>
  <pageMargins left="0.7" right="0.7" top="0.75" bottom="0.75" header="0.3" footer="0.3"/>
  <pageSetup orientation="portrait" horizontalDpi="4294967293" verticalDpi="0"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F7999C-8375-49F7-86EA-ABC5C019CC12}">
  <dimension ref="A1:P46"/>
  <sheetViews>
    <sheetView topLeftCell="A37" workbookViewId="0">
      <selection activeCell="D46" sqref="D46"/>
    </sheetView>
  </sheetViews>
  <sheetFormatPr defaultRowHeight="15" x14ac:dyDescent="0.25"/>
  <cols>
    <col min="1" max="1" width="7.5703125" bestFit="1" customWidth="1"/>
    <col min="2" max="2" width="9.5703125" bestFit="1" customWidth="1"/>
    <col min="3" max="3" width="18.42578125" bestFit="1" customWidth="1"/>
    <col min="4" max="4" width="7.7109375" bestFit="1" customWidth="1"/>
    <col min="5" max="5" width="12.5703125" bestFit="1" customWidth="1"/>
    <col min="6" max="9" width="16.7109375" bestFit="1" customWidth="1"/>
    <col min="10" max="11" width="18.7109375" bestFit="1" customWidth="1"/>
    <col min="12" max="12" width="16.5703125" bestFit="1" customWidth="1"/>
  </cols>
  <sheetData>
    <row r="1" spans="1:16" x14ac:dyDescent="0.25">
      <c r="A1" s="18" t="s">
        <v>32</v>
      </c>
      <c r="B1" s="18"/>
      <c r="C1" s="18"/>
      <c r="D1" s="18"/>
      <c r="E1" s="18"/>
      <c r="F1" s="18"/>
      <c r="G1" s="18"/>
      <c r="H1" s="18"/>
      <c r="I1" s="18"/>
    </row>
    <row r="2" spans="1:16" x14ac:dyDescent="0.25">
      <c r="A2" s="18"/>
      <c r="B2" s="18"/>
      <c r="C2" s="18"/>
      <c r="D2" s="18"/>
      <c r="E2" s="18"/>
      <c r="F2" s="18"/>
      <c r="G2" s="18"/>
      <c r="H2" s="18"/>
      <c r="I2" s="18"/>
    </row>
    <row r="3" spans="1:16" x14ac:dyDescent="0.25">
      <c r="A3" s="18"/>
      <c r="B3" s="18"/>
      <c r="C3" s="18"/>
      <c r="D3" s="18"/>
      <c r="E3" s="18"/>
      <c r="F3" s="18"/>
      <c r="G3" s="18"/>
      <c r="H3" s="18"/>
      <c r="I3" s="18"/>
    </row>
    <row r="4" spans="1:16" x14ac:dyDescent="0.25">
      <c r="A4" s="1" t="s">
        <v>2</v>
      </c>
      <c r="B4" s="1" t="s">
        <v>7</v>
      </c>
      <c r="C4" s="1" t="s">
        <v>30</v>
      </c>
      <c r="D4" s="1" t="s">
        <v>1</v>
      </c>
      <c r="E4" s="1" t="s">
        <v>0</v>
      </c>
      <c r="F4" s="1" t="s">
        <v>3</v>
      </c>
      <c r="G4" s="1" t="s">
        <v>28</v>
      </c>
      <c r="H4" s="1" t="s">
        <v>4</v>
      </c>
      <c r="I4" s="1" t="s">
        <v>5</v>
      </c>
      <c r="J4" s="1" t="s">
        <v>6</v>
      </c>
      <c r="K4" s="1" t="s">
        <v>29</v>
      </c>
      <c r="L4" s="1" t="s">
        <v>31</v>
      </c>
    </row>
    <row r="5" spans="1:16" x14ac:dyDescent="0.25">
      <c r="A5" s="11">
        <v>0</v>
      </c>
      <c r="B5" s="12">
        <v>0</v>
      </c>
      <c r="C5" s="12"/>
      <c r="D5" s="11">
        <v>3.5999999999999999E-3</v>
      </c>
      <c r="E5" s="13">
        <v>149.4</v>
      </c>
      <c r="F5" s="15">
        <f>SchottkyDiodeSB5100[[#This Row],[Is (A)]]*SchottkyDiodeSB5100[[#This Row],[R1 (Ω)]]</f>
        <v>0</v>
      </c>
      <c r="G5" s="15">
        <f>SchottkyDiodeSB5100[[#This Row],[Vs (V)]]-SchottkyDiodeSB5100[[#This Row],[VD1 (V)]]</f>
        <v>-3.5999999999999999E-3</v>
      </c>
      <c r="H5" s="16">
        <f>SchottkyDiodeSB5100[[#This Row],[Vs (V)]]*SchottkyDiodeSB5100[[#This Row],[Is (A)]]</f>
        <v>0</v>
      </c>
      <c r="I5" s="16">
        <f>SchottkyDiodeSB5100[[#This Row],[Is (A)]]*SchottkyDiodeSB5100[[#This Row],[VD1 (V)]]</f>
        <v>0</v>
      </c>
      <c r="J5" s="16">
        <f>SchottkyDiodeSB5100[[#This Row],[Is (A)]]*SchottkyDiodeSB5100[[#This Row],[Is * R1(V)]]</f>
        <v>0</v>
      </c>
      <c r="K5" s="17">
        <f>2*(SchottkyDiodeSB5100[[#This Row],[Is * R1(V)]]-SchottkyDiodeSB5100[[#This Row],[Vs - VD1 (V)]])/(SchottkyDiodeSB5100[[#This Row],[Is * R1(V)]]+SchottkyDiodeSB5100[[#This Row],[Vs - VD1 (V)]])</f>
        <v>-2</v>
      </c>
      <c r="L5" s="17"/>
      <c r="M5" s="7"/>
      <c r="N5" s="7"/>
      <c r="P5" s="9"/>
    </row>
    <row r="6" spans="1:16" x14ac:dyDescent="0.25">
      <c r="A6" s="11">
        <v>0.12</v>
      </c>
      <c r="B6" s="12">
        <v>1.7999999999999999E-6</v>
      </c>
      <c r="C6" s="12"/>
      <c r="D6" s="11">
        <v>0.14030000000000001</v>
      </c>
      <c r="E6" s="13">
        <v>149.4</v>
      </c>
      <c r="F6" s="15">
        <f>SchottkyDiodeSB5100[[#This Row],[Is (A)]]*SchottkyDiodeSB5100[[#This Row],[R1 (Ω)]]</f>
        <v>2.6892000000000002E-4</v>
      </c>
      <c r="G6" s="15">
        <f>SchottkyDiodeSB5100[[#This Row],[Vs (V)]]-SchottkyDiodeSB5100[[#This Row],[VD1 (V)]]</f>
        <v>-2.0300000000000012E-2</v>
      </c>
      <c r="H6" s="16">
        <f>SchottkyDiodeSB5100[[#This Row],[Vs (V)]]*SchottkyDiodeSB5100[[#This Row],[Is (A)]]</f>
        <v>2.1599999999999998E-7</v>
      </c>
      <c r="I6" s="16">
        <f>SchottkyDiodeSB5100[[#This Row],[Is (A)]]*SchottkyDiodeSB5100[[#This Row],[VD1 (V)]]</f>
        <v>2.5254000000000001E-7</v>
      </c>
      <c r="J6" s="16">
        <f>SchottkyDiodeSB5100[[#This Row],[Is (A)]]*SchottkyDiodeSB5100[[#This Row],[Is * R1(V)]]</f>
        <v>4.8405600000000005E-10</v>
      </c>
      <c r="K6" s="17">
        <f>2*(SchottkyDiodeSB5100[[#This Row],[Is * R1(V)]]-SchottkyDiodeSB5100[[#This Row],[Vs - VD1 (V)]])/(SchottkyDiodeSB5100[[#This Row],[Is * R1(V)]]+SchottkyDiodeSB5100[[#This Row],[Vs - VD1 (V)]])</f>
        <v>-2.0537005493463156</v>
      </c>
      <c r="L6" s="17"/>
      <c r="M6" s="7"/>
      <c r="N6" s="7"/>
      <c r="P6" s="9"/>
    </row>
    <row r="7" spans="1:16" x14ac:dyDescent="0.25">
      <c r="A7" s="11">
        <v>0.2</v>
      </c>
      <c r="B7" s="12">
        <v>2.5000000000000001E-5</v>
      </c>
      <c r="C7" s="12"/>
      <c r="D7" s="11">
        <v>0.20899999999999999</v>
      </c>
      <c r="E7" s="13">
        <v>149.4</v>
      </c>
      <c r="F7" s="15">
        <f>SchottkyDiodeSB5100[[#This Row],[Is (A)]]*SchottkyDiodeSB5100[[#This Row],[R1 (Ω)]]</f>
        <v>3.7350000000000005E-3</v>
      </c>
      <c r="G7" s="15">
        <f>SchottkyDiodeSB5100[[#This Row],[Vs (V)]]-SchottkyDiodeSB5100[[#This Row],[VD1 (V)]]</f>
        <v>-8.9999999999999802E-3</v>
      </c>
      <c r="H7" s="16">
        <f>SchottkyDiodeSB5100[[#This Row],[Vs (V)]]*SchottkyDiodeSB5100[[#This Row],[Is (A)]]</f>
        <v>5.0000000000000004E-6</v>
      </c>
      <c r="I7" s="16">
        <f>SchottkyDiodeSB5100[[#This Row],[Is (A)]]*SchottkyDiodeSB5100[[#This Row],[VD1 (V)]]</f>
        <v>5.2249999999999999E-6</v>
      </c>
      <c r="J7" s="16">
        <f>SchottkyDiodeSB5100[[#This Row],[Is (A)]]*SchottkyDiodeSB5100[[#This Row],[Is * R1(V)]]</f>
        <v>9.3375000000000014E-8</v>
      </c>
      <c r="K7" s="17">
        <f>2*(SchottkyDiodeSB5100[[#This Row],[Is * R1(V)]]-SchottkyDiodeSB5100[[#This Row],[Vs - VD1 (V)]])/(SchottkyDiodeSB5100[[#This Row],[Is * R1(V)]]+SchottkyDiodeSB5100[[#This Row],[Vs - VD1 (V)]])</f>
        <v>-4.8376068376068488</v>
      </c>
      <c r="L7" s="17"/>
      <c r="M7" s="7"/>
      <c r="N7" s="7"/>
      <c r="P7" s="9"/>
    </row>
    <row r="8" spans="1:16" x14ac:dyDescent="0.25">
      <c r="A8" s="11">
        <v>0.3</v>
      </c>
      <c r="B8" s="12">
        <v>2.0560000000000001E-4</v>
      </c>
      <c r="C8" s="12"/>
      <c r="D8" s="11">
        <v>0.26500000000000001</v>
      </c>
      <c r="E8" s="13">
        <v>149.4</v>
      </c>
      <c r="F8" s="15">
        <f>SchottkyDiodeSB5100[[#This Row],[Is (A)]]*SchottkyDiodeSB5100[[#This Row],[R1 (Ω)]]</f>
        <v>3.0716640000000003E-2</v>
      </c>
      <c r="G8" s="15">
        <f>SchottkyDiodeSB5100[[#This Row],[Vs (V)]]-SchottkyDiodeSB5100[[#This Row],[VD1 (V)]]</f>
        <v>3.4999999999999976E-2</v>
      </c>
      <c r="H8" s="16">
        <f>SchottkyDiodeSB5100[[#This Row],[Vs (V)]]*SchottkyDiodeSB5100[[#This Row],[Is (A)]]</f>
        <v>6.1680000000000006E-5</v>
      </c>
      <c r="I8" s="16">
        <f>SchottkyDiodeSB5100[[#This Row],[Is (A)]]*SchottkyDiodeSB5100[[#This Row],[VD1 (V)]]</f>
        <v>5.4484000000000002E-5</v>
      </c>
      <c r="J8" s="16">
        <f>SchottkyDiodeSB5100[[#This Row],[Is (A)]]*SchottkyDiodeSB5100[[#This Row],[Is * R1(V)]]</f>
        <v>6.3153411840000007E-6</v>
      </c>
      <c r="K8" s="17">
        <f>2*(SchottkyDiodeSB5100[[#This Row],[Is * R1(V)]]-SchottkyDiodeSB5100[[#This Row],[Vs - VD1 (V)]])/(SchottkyDiodeSB5100[[#This Row],[Is * R1(V)]]+SchottkyDiodeSB5100[[#This Row],[Vs - VD1 (V)]])</f>
        <v>-0.13035846020125111</v>
      </c>
      <c r="L8" s="17"/>
      <c r="M8" s="7"/>
      <c r="N8" s="7"/>
      <c r="P8" s="9"/>
    </row>
    <row r="9" spans="1:16" x14ac:dyDescent="0.25">
      <c r="A9" s="11">
        <v>0.4</v>
      </c>
      <c r="B9" s="12">
        <v>4.7899999999999999E-4</v>
      </c>
      <c r="C9" s="12"/>
      <c r="D9" s="11">
        <v>0.28699999999999998</v>
      </c>
      <c r="E9" s="13">
        <v>149.4</v>
      </c>
      <c r="F9" s="15">
        <f>SchottkyDiodeSB5100[[#This Row],[Is (A)]]*SchottkyDiodeSB5100[[#This Row],[R1 (Ω)]]</f>
        <v>7.1562600000000004E-2</v>
      </c>
      <c r="G9" s="15">
        <f>SchottkyDiodeSB5100[[#This Row],[Vs (V)]]-SchottkyDiodeSB5100[[#This Row],[VD1 (V)]]</f>
        <v>0.11300000000000004</v>
      </c>
      <c r="H9" s="16">
        <f>SchottkyDiodeSB5100[[#This Row],[Vs (V)]]*SchottkyDiodeSB5100[[#This Row],[Is (A)]]</f>
        <v>1.916E-4</v>
      </c>
      <c r="I9" s="16">
        <f>SchottkyDiodeSB5100[[#This Row],[Is (A)]]*SchottkyDiodeSB5100[[#This Row],[VD1 (V)]]</f>
        <v>1.3747299999999999E-4</v>
      </c>
      <c r="J9" s="16">
        <f>SchottkyDiodeSB5100[[#This Row],[Is (A)]]*SchottkyDiodeSB5100[[#This Row],[Is * R1(V)]]</f>
        <v>3.4278485399999999E-5</v>
      </c>
      <c r="K9" s="17">
        <f>2*(SchottkyDiodeSB5100[[#This Row],[Is * R1(V)]]-SchottkyDiodeSB5100[[#This Row],[Vs - VD1 (V)]])/(SchottkyDiodeSB5100[[#This Row],[Is * R1(V)]]+SchottkyDiodeSB5100[[#This Row],[Vs - VD1 (V)]])</f>
        <v>-0.44903355284331742</v>
      </c>
      <c r="L9" s="17"/>
      <c r="M9" s="7"/>
      <c r="N9" s="7"/>
      <c r="P9" s="9"/>
    </row>
    <row r="10" spans="1:16" x14ac:dyDescent="0.25">
      <c r="A10" s="11">
        <v>0.5</v>
      </c>
      <c r="B10" s="12">
        <v>8.7200000000000005E-4</v>
      </c>
      <c r="C10" s="12"/>
      <c r="D10" s="11">
        <v>0.30299999999999999</v>
      </c>
      <c r="E10" s="13">
        <v>149.4</v>
      </c>
      <c r="F10" s="15">
        <f>SchottkyDiodeSB5100[[#This Row],[Is (A)]]*SchottkyDiodeSB5100[[#This Row],[R1 (Ω)]]</f>
        <v>0.13027680000000003</v>
      </c>
      <c r="G10" s="15">
        <f>SchottkyDiodeSB5100[[#This Row],[Vs (V)]]-SchottkyDiodeSB5100[[#This Row],[VD1 (V)]]</f>
        <v>0.19700000000000001</v>
      </c>
      <c r="H10" s="16">
        <f>SchottkyDiodeSB5100[[#This Row],[Vs (V)]]*SchottkyDiodeSB5100[[#This Row],[Is (A)]]</f>
        <v>4.3600000000000003E-4</v>
      </c>
      <c r="I10" s="16">
        <f>SchottkyDiodeSB5100[[#This Row],[Is (A)]]*SchottkyDiodeSB5100[[#This Row],[VD1 (V)]]</f>
        <v>2.6421600000000001E-4</v>
      </c>
      <c r="J10" s="16">
        <f>SchottkyDiodeSB5100[[#This Row],[Is (A)]]*SchottkyDiodeSB5100[[#This Row],[Is * R1(V)]]</f>
        <v>1.1360136960000003E-4</v>
      </c>
      <c r="K10" s="17">
        <f>2*(SchottkyDiodeSB5100[[#This Row],[Is * R1(V)]]-SchottkyDiodeSB5100[[#This Row],[Vs - VD1 (V)]])/(SchottkyDiodeSB5100[[#This Row],[Is * R1(V)]]+SchottkyDiodeSB5100[[#This Row],[Vs - VD1 (V)]])</f>
        <v>-0.40774781469386145</v>
      </c>
      <c r="L10" s="17"/>
      <c r="M10" s="7"/>
      <c r="N10" s="7"/>
      <c r="P10" s="9"/>
    </row>
    <row r="11" spans="1:16" x14ac:dyDescent="0.25">
      <c r="A11" s="11">
        <v>0.6</v>
      </c>
      <c r="B11" s="12">
        <v>1.181E-3</v>
      </c>
      <c r="C11" s="12"/>
      <c r="D11" s="11">
        <v>0.311</v>
      </c>
      <c r="E11" s="13">
        <v>149.4</v>
      </c>
      <c r="F11" s="15">
        <f>SchottkyDiodeSB5100[[#This Row],[Is (A)]]*SchottkyDiodeSB5100[[#This Row],[R1 (Ω)]]</f>
        <v>0.1764414</v>
      </c>
      <c r="G11" s="15">
        <f>SchottkyDiodeSB5100[[#This Row],[Vs (V)]]-SchottkyDiodeSB5100[[#This Row],[VD1 (V)]]</f>
        <v>0.28899999999999998</v>
      </c>
      <c r="H11" s="16">
        <f>SchottkyDiodeSB5100[[#This Row],[Vs (V)]]*SchottkyDiodeSB5100[[#This Row],[Is (A)]]</f>
        <v>7.0859999999999999E-4</v>
      </c>
      <c r="I11" s="16">
        <f>SchottkyDiodeSB5100[[#This Row],[Is (A)]]*SchottkyDiodeSB5100[[#This Row],[VD1 (V)]]</f>
        <v>3.67291E-4</v>
      </c>
      <c r="J11" s="16">
        <f>SchottkyDiodeSB5100[[#This Row],[Is (A)]]*SchottkyDiodeSB5100[[#This Row],[Is * R1(V)]]</f>
        <v>2.083772934E-4</v>
      </c>
      <c r="K11" s="17">
        <f>2*(SchottkyDiodeSB5100[[#This Row],[Is * R1(V)]]-SchottkyDiodeSB5100[[#This Row],[Vs - VD1 (V)]])/(SchottkyDiodeSB5100[[#This Row],[Is * R1(V)]]+SchottkyDiodeSB5100[[#This Row],[Vs - VD1 (V)]])</f>
        <v>-0.48366389410138411</v>
      </c>
      <c r="L11" s="17"/>
      <c r="M11" s="7"/>
      <c r="N11" s="7"/>
      <c r="P11" s="9"/>
    </row>
    <row r="12" spans="1:16" x14ac:dyDescent="0.25">
      <c r="A12" s="11">
        <v>0.7</v>
      </c>
      <c r="B12" s="12">
        <v>1.56E-3</v>
      </c>
      <c r="C12" s="12"/>
      <c r="D12" s="11">
        <v>0.318</v>
      </c>
      <c r="E12" s="13">
        <v>149.4</v>
      </c>
      <c r="F12" s="15">
        <f>SchottkyDiodeSB5100[[#This Row],[Is (A)]]*SchottkyDiodeSB5100[[#This Row],[R1 (Ω)]]</f>
        <v>0.23306399999999999</v>
      </c>
      <c r="G12" s="15">
        <f>SchottkyDiodeSB5100[[#This Row],[Vs (V)]]-SchottkyDiodeSB5100[[#This Row],[VD1 (V)]]</f>
        <v>0.38199999999999995</v>
      </c>
      <c r="H12" s="16">
        <f>SchottkyDiodeSB5100[[#This Row],[Vs (V)]]*SchottkyDiodeSB5100[[#This Row],[Is (A)]]</f>
        <v>1.0919999999999999E-3</v>
      </c>
      <c r="I12" s="16">
        <f>SchottkyDiodeSB5100[[#This Row],[Is (A)]]*SchottkyDiodeSB5100[[#This Row],[VD1 (V)]]</f>
        <v>4.9607999999999998E-4</v>
      </c>
      <c r="J12" s="16">
        <f>SchottkyDiodeSB5100[[#This Row],[Is (A)]]*SchottkyDiodeSB5100[[#This Row],[Is * R1(V)]]</f>
        <v>3.6357984E-4</v>
      </c>
      <c r="K12" s="17">
        <f>2*(SchottkyDiodeSB5100[[#This Row],[Is * R1(V)]]-SchottkyDiodeSB5100[[#This Row],[Vs - VD1 (V)]])/(SchottkyDiodeSB5100[[#This Row],[Is * R1(V)]]+SchottkyDiodeSB5100[[#This Row],[Vs - VD1 (V)]])</f>
        <v>-0.4842943173393337</v>
      </c>
      <c r="L12" s="17"/>
      <c r="M12" s="7"/>
      <c r="N12" s="7"/>
      <c r="P12" s="9"/>
    </row>
    <row r="13" spans="1:16" x14ac:dyDescent="0.25">
      <c r="A13" s="11">
        <v>0.8</v>
      </c>
      <c r="B13" s="12">
        <v>1.918E-3</v>
      </c>
      <c r="C13" s="12"/>
      <c r="D13" s="11">
        <v>0.32400000000000001</v>
      </c>
      <c r="E13" s="13">
        <v>149.4</v>
      </c>
      <c r="F13" s="15">
        <f>SchottkyDiodeSB5100[[#This Row],[Is (A)]]*SchottkyDiodeSB5100[[#This Row],[R1 (Ω)]]</f>
        <v>0.2865492</v>
      </c>
      <c r="G13" s="15">
        <f>SchottkyDiodeSB5100[[#This Row],[Vs (V)]]-SchottkyDiodeSB5100[[#This Row],[VD1 (V)]]</f>
        <v>0.47600000000000003</v>
      </c>
      <c r="H13" s="16">
        <f>SchottkyDiodeSB5100[[#This Row],[Vs (V)]]*SchottkyDiodeSB5100[[#This Row],[Is (A)]]</f>
        <v>1.5344E-3</v>
      </c>
      <c r="I13" s="16">
        <f>SchottkyDiodeSB5100[[#This Row],[Is (A)]]*SchottkyDiodeSB5100[[#This Row],[VD1 (V)]]</f>
        <v>6.21432E-4</v>
      </c>
      <c r="J13" s="16">
        <f>SchottkyDiodeSB5100[[#This Row],[Is (A)]]*SchottkyDiodeSB5100[[#This Row],[Is * R1(V)]]</f>
        <v>5.4960136559999997E-4</v>
      </c>
      <c r="K13" s="17">
        <f>2*(SchottkyDiodeSB5100[[#This Row],[Is * R1(V)]]-SchottkyDiodeSB5100[[#This Row],[Vs - VD1 (V)]])/(SchottkyDiodeSB5100[[#This Row],[Is * R1(V)]]+SchottkyDiodeSB5100[[#This Row],[Vs - VD1 (V)]])</f>
        <v>-0.49688806964848964</v>
      </c>
      <c r="L13" s="17"/>
      <c r="M13" s="7"/>
      <c r="N13" s="7"/>
      <c r="P13" s="9"/>
    </row>
    <row r="14" spans="1:16" x14ac:dyDescent="0.25">
      <c r="A14" s="11">
        <v>0.9</v>
      </c>
      <c r="B14" s="12">
        <v>2.3570000000000002E-3</v>
      </c>
      <c r="C14" s="12"/>
      <c r="D14" s="11">
        <v>0.33</v>
      </c>
      <c r="E14" s="13">
        <v>149.4</v>
      </c>
      <c r="F14" s="15">
        <f>SchottkyDiodeSB5100[[#This Row],[Is (A)]]*SchottkyDiodeSB5100[[#This Row],[R1 (Ω)]]</f>
        <v>0.35213580000000005</v>
      </c>
      <c r="G14" s="15">
        <f>SchottkyDiodeSB5100[[#This Row],[Vs (V)]]-SchottkyDiodeSB5100[[#This Row],[VD1 (V)]]</f>
        <v>0.57000000000000006</v>
      </c>
      <c r="H14" s="16">
        <f>SchottkyDiodeSB5100[[#This Row],[Vs (V)]]*SchottkyDiodeSB5100[[#This Row],[Is (A)]]</f>
        <v>2.1213E-3</v>
      </c>
      <c r="I14" s="16">
        <f>SchottkyDiodeSB5100[[#This Row],[Is (A)]]*SchottkyDiodeSB5100[[#This Row],[VD1 (V)]]</f>
        <v>7.7781000000000009E-4</v>
      </c>
      <c r="J14" s="16">
        <f>SchottkyDiodeSB5100[[#This Row],[Is (A)]]*SchottkyDiodeSB5100[[#This Row],[Is * R1(V)]]</f>
        <v>8.2998408060000017E-4</v>
      </c>
      <c r="K14" s="17">
        <f>2*(SchottkyDiodeSB5100[[#This Row],[Is * R1(V)]]-SchottkyDiodeSB5100[[#This Row],[Vs - VD1 (V)]])/(SchottkyDiodeSB5100[[#This Row],[Is * R1(V)]]+SchottkyDiodeSB5100[[#This Row],[Vs - VD1 (V)]])</f>
        <v>-0.47252085864142779</v>
      </c>
      <c r="L14" s="17"/>
      <c r="M14" s="7"/>
      <c r="N14" s="7"/>
      <c r="P14" s="9"/>
    </row>
    <row r="15" spans="1:16" x14ac:dyDescent="0.25">
      <c r="A15" s="11">
        <v>1</v>
      </c>
      <c r="B15" s="12">
        <v>2.6619999999999999E-3</v>
      </c>
      <c r="C15" s="12"/>
      <c r="D15" s="11">
        <v>0.33300000000000002</v>
      </c>
      <c r="E15" s="13">
        <v>149.4</v>
      </c>
      <c r="F15" s="15">
        <f>SchottkyDiodeSB5100[[#This Row],[Is (A)]]*SchottkyDiodeSB5100[[#This Row],[R1 (Ω)]]</f>
        <v>0.39770280000000002</v>
      </c>
      <c r="G15" s="15">
        <f>SchottkyDiodeSB5100[[#This Row],[Vs (V)]]-SchottkyDiodeSB5100[[#This Row],[VD1 (V)]]</f>
        <v>0.66700000000000004</v>
      </c>
      <c r="H15" s="16">
        <f>SchottkyDiodeSB5100[[#This Row],[Vs (V)]]*SchottkyDiodeSB5100[[#This Row],[Is (A)]]</f>
        <v>2.6619999999999999E-3</v>
      </c>
      <c r="I15" s="16">
        <f>SchottkyDiodeSB5100[[#This Row],[Is (A)]]*SchottkyDiodeSB5100[[#This Row],[VD1 (V)]]</f>
        <v>8.8644600000000004E-4</v>
      </c>
      <c r="J15" s="16">
        <f>SchottkyDiodeSB5100[[#This Row],[Is (A)]]*SchottkyDiodeSB5100[[#This Row],[Is * R1(V)]]</f>
        <v>1.0586848536E-3</v>
      </c>
      <c r="K15" s="17">
        <f>2*(SchottkyDiodeSB5100[[#This Row],[Is * R1(V)]]-SchottkyDiodeSB5100[[#This Row],[Vs - VD1 (V)]])/(SchottkyDiodeSB5100[[#This Row],[Is * R1(V)]]+SchottkyDiodeSB5100[[#This Row],[Vs - VD1 (V)]])</f>
        <v>-0.50586360813552855</v>
      </c>
      <c r="L15" s="17"/>
      <c r="M15" s="7"/>
      <c r="N15" s="7"/>
      <c r="P15" s="9"/>
    </row>
    <row r="16" spans="1:16" x14ac:dyDescent="0.25">
      <c r="A16" s="11">
        <v>1.1000000000000001</v>
      </c>
      <c r="B16" s="12">
        <v>3.0690000000000001E-3</v>
      </c>
      <c r="C16" s="12"/>
      <c r="D16" s="11">
        <v>0.33700000000000002</v>
      </c>
      <c r="E16" s="13">
        <v>149.4</v>
      </c>
      <c r="F16" s="15">
        <f>SchottkyDiodeSB5100[[#This Row],[Is (A)]]*SchottkyDiodeSB5100[[#This Row],[R1 (Ω)]]</f>
        <v>0.45850860000000004</v>
      </c>
      <c r="G16" s="15">
        <f>SchottkyDiodeSB5100[[#This Row],[Vs (V)]]-SchottkyDiodeSB5100[[#This Row],[VD1 (V)]]</f>
        <v>0.76300000000000012</v>
      </c>
      <c r="H16" s="16">
        <f>SchottkyDiodeSB5100[[#This Row],[Vs (V)]]*SchottkyDiodeSB5100[[#This Row],[Is (A)]]</f>
        <v>3.3759000000000003E-3</v>
      </c>
      <c r="I16" s="16">
        <f>SchottkyDiodeSB5100[[#This Row],[Is (A)]]*SchottkyDiodeSB5100[[#This Row],[VD1 (V)]]</f>
        <v>1.0342530000000002E-3</v>
      </c>
      <c r="J16" s="16">
        <f>SchottkyDiodeSB5100[[#This Row],[Is (A)]]*SchottkyDiodeSB5100[[#This Row],[Is * R1(V)]]</f>
        <v>1.4071628934000002E-3</v>
      </c>
      <c r="K16" s="17">
        <f>2*(SchottkyDiodeSB5100[[#This Row],[Is * R1(V)]]-SchottkyDiodeSB5100[[#This Row],[Vs - VD1 (V)]])/(SchottkyDiodeSB5100[[#This Row],[Is * R1(V)]]+SchottkyDiodeSB5100[[#This Row],[Vs - VD1 (V)]])</f>
        <v>-0.49854974414424924</v>
      </c>
      <c r="L16" s="17"/>
      <c r="M16" s="7"/>
      <c r="N16" s="7"/>
      <c r="P16" s="9"/>
    </row>
    <row r="17" spans="1:16" x14ac:dyDescent="0.25">
      <c r="A17" s="11">
        <v>1.2</v>
      </c>
      <c r="B17" s="12">
        <v>3.4229999999999998E-3</v>
      </c>
      <c r="C17" s="12"/>
      <c r="D17" s="11">
        <v>0.34</v>
      </c>
      <c r="E17" s="13">
        <v>149.4</v>
      </c>
      <c r="F17" s="15">
        <f>SchottkyDiodeSB5100[[#This Row],[Is (A)]]*SchottkyDiodeSB5100[[#This Row],[R1 (Ω)]]</f>
        <v>0.51139619999999997</v>
      </c>
      <c r="G17" s="15">
        <f>SchottkyDiodeSB5100[[#This Row],[Vs (V)]]-SchottkyDiodeSB5100[[#This Row],[VD1 (V)]]</f>
        <v>0.85999999999999988</v>
      </c>
      <c r="H17" s="16">
        <f>SchottkyDiodeSB5100[[#This Row],[Vs (V)]]*SchottkyDiodeSB5100[[#This Row],[Is (A)]]</f>
        <v>4.1075999999999994E-3</v>
      </c>
      <c r="I17" s="16">
        <f>SchottkyDiodeSB5100[[#This Row],[Is (A)]]*SchottkyDiodeSB5100[[#This Row],[VD1 (V)]]</f>
        <v>1.1638200000000001E-3</v>
      </c>
      <c r="J17" s="16">
        <f>SchottkyDiodeSB5100[[#This Row],[Is (A)]]*SchottkyDiodeSB5100[[#This Row],[Is * R1(V)]]</f>
        <v>1.7505091925999999E-3</v>
      </c>
      <c r="K17" s="17">
        <f>2*(SchottkyDiodeSB5100[[#This Row],[Is * R1(V)]]-SchottkyDiodeSB5100[[#This Row],[Vs - VD1 (V)]])/(SchottkyDiodeSB5100[[#This Row],[Is * R1(V)]]+SchottkyDiodeSB5100[[#This Row],[Vs - VD1 (V)]])</f>
        <v>-0.50839254184895644</v>
      </c>
      <c r="L17" s="17"/>
      <c r="M17" s="7"/>
      <c r="N17" s="7"/>
      <c r="P17" s="9"/>
    </row>
    <row r="18" spans="1:16" x14ac:dyDescent="0.25">
      <c r="A18" s="11">
        <v>1.3</v>
      </c>
      <c r="B18" s="12">
        <v>3.8830000000000002E-3</v>
      </c>
      <c r="C18" s="12"/>
      <c r="D18" s="11">
        <v>0.34300000000000003</v>
      </c>
      <c r="E18" s="13">
        <v>149.4</v>
      </c>
      <c r="F18" s="15">
        <f>SchottkyDiodeSB5100[[#This Row],[Is (A)]]*SchottkyDiodeSB5100[[#This Row],[R1 (Ω)]]</f>
        <v>0.58012020000000009</v>
      </c>
      <c r="G18" s="15">
        <f>SchottkyDiodeSB5100[[#This Row],[Vs (V)]]-SchottkyDiodeSB5100[[#This Row],[VD1 (V)]]</f>
        <v>0.95700000000000007</v>
      </c>
      <c r="H18" s="16">
        <f>SchottkyDiodeSB5100[[#This Row],[Vs (V)]]*SchottkyDiodeSB5100[[#This Row],[Is (A)]]</f>
        <v>5.0479000000000001E-3</v>
      </c>
      <c r="I18" s="16">
        <f>SchottkyDiodeSB5100[[#This Row],[Is (A)]]*SchottkyDiodeSB5100[[#This Row],[VD1 (V)]]</f>
        <v>1.3318690000000001E-3</v>
      </c>
      <c r="J18" s="16">
        <f>SchottkyDiodeSB5100[[#This Row],[Is (A)]]*SchottkyDiodeSB5100[[#This Row],[Is * R1(V)]]</f>
        <v>2.2526067366000005E-3</v>
      </c>
      <c r="K18" s="17">
        <f>2*(SchottkyDiodeSB5100[[#This Row],[Is * R1(V)]]-SchottkyDiodeSB5100[[#This Row],[Vs - VD1 (V)]])/(SchottkyDiodeSB5100[[#This Row],[Is * R1(V)]]+SchottkyDiodeSB5100[[#This Row],[Vs - VD1 (V)]])</f>
        <v>-0.49037128000790042</v>
      </c>
      <c r="L18" s="17"/>
      <c r="M18" s="7"/>
      <c r="N18" s="7"/>
      <c r="P18" s="9"/>
    </row>
    <row r="19" spans="1:16" x14ac:dyDescent="0.25">
      <c r="A19" s="11">
        <v>1.4</v>
      </c>
      <c r="B19" s="12">
        <v>6.9100000000000003E-3</v>
      </c>
      <c r="C19" s="12"/>
      <c r="D19" s="11">
        <v>0.35899999999999999</v>
      </c>
      <c r="E19" s="13">
        <v>149.4</v>
      </c>
      <c r="F19" s="15">
        <f>SchottkyDiodeSB5100[[#This Row],[Is (A)]]*SchottkyDiodeSB5100[[#This Row],[R1 (Ω)]]</f>
        <v>1.032354</v>
      </c>
      <c r="G19" s="15">
        <f>SchottkyDiodeSB5100[[#This Row],[Vs (V)]]-SchottkyDiodeSB5100[[#This Row],[VD1 (V)]]</f>
        <v>1.0409999999999999</v>
      </c>
      <c r="H19" s="16">
        <f>SchottkyDiodeSB5100[[#This Row],[Vs (V)]]*SchottkyDiodeSB5100[[#This Row],[Is (A)]]</f>
        <v>9.6740000000000003E-3</v>
      </c>
      <c r="I19" s="16">
        <f>SchottkyDiodeSB5100[[#This Row],[Is (A)]]*SchottkyDiodeSB5100[[#This Row],[VD1 (V)]]</f>
        <v>2.4806900000000002E-3</v>
      </c>
      <c r="J19" s="16">
        <f>SchottkyDiodeSB5100[[#This Row],[Is (A)]]*SchottkyDiodeSB5100[[#This Row],[Is * R1(V)]]</f>
        <v>7.1335661400000003E-3</v>
      </c>
      <c r="K19" s="17">
        <f>2*(SchottkyDiodeSB5100[[#This Row],[Is * R1(V)]]-SchottkyDiodeSB5100[[#This Row],[Vs - VD1 (V)]])/(SchottkyDiodeSB5100[[#This Row],[Is * R1(V)]]+SchottkyDiodeSB5100[[#This Row],[Vs - VD1 (V)]])</f>
        <v>-8.3401097931177504E-3</v>
      </c>
      <c r="L19" s="17"/>
      <c r="M19" s="7"/>
      <c r="N19" s="7"/>
      <c r="P19" s="9"/>
    </row>
    <row r="20" spans="1:16" x14ac:dyDescent="0.25">
      <c r="A20" s="11">
        <v>1.5</v>
      </c>
      <c r="B20" s="12">
        <v>7.6099999999999996E-3</v>
      </c>
      <c r="C20" s="12"/>
      <c r="D20" s="11">
        <v>0.36199999999999999</v>
      </c>
      <c r="E20" s="13">
        <v>149.4</v>
      </c>
      <c r="F20" s="15">
        <f>SchottkyDiodeSB5100[[#This Row],[Is (A)]]*SchottkyDiodeSB5100[[#This Row],[R1 (Ω)]]</f>
        <v>1.1369339999999999</v>
      </c>
      <c r="G20" s="15">
        <f>SchottkyDiodeSB5100[[#This Row],[Vs (V)]]-SchottkyDiodeSB5100[[#This Row],[VD1 (V)]]</f>
        <v>1.1379999999999999</v>
      </c>
      <c r="H20" s="16">
        <f>SchottkyDiodeSB5100[[#This Row],[Vs (V)]]*SchottkyDiodeSB5100[[#This Row],[Is (A)]]</f>
        <v>1.1415E-2</v>
      </c>
      <c r="I20" s="16">
        <f>SchottkyDiodeSB5100[[#This Row],[Is (A)]]*SchottkyDiodeSB5100[[#This Row],[VD1 (V)]]</f>
        <v>2.7548199999999998E-3</v>
      </c>
      <c r="J20" s="16">
        <f>SchottkyDiodeSB5100[[#This Row],[Is (A)]]*SchottkyDiodeSB5100[[#This Row],[Is * R1(V)]]</f>
        <v>8.6520677399999982E-3</v>
      </c>
      <c r="K20" s="17">
        <f>2*(SchottkyDiodeSB5100[[#This Row],[Is * R1(V)]]-SchottkyDiodeSB5100[[#This Row],[Vs - VD1 (V)]])/(SchottkyDiodeSB5100[[#This Row],[Is * R1(V)]]+SchottkyDiodeSB5100[[#This Row],[Vs - VD1 (V)]])</f>
        <v>-9.371700453727549E-4</v>
      </c>
      <c r="L20" s="17"/>
      <c r="M20" s="7"/>
      <c r="N20" s="7"/>
      <c r="P20" s="9"/>
    </row>
    <row r="21" spans="1:16" x14ac:dyDescent="0.25">
      <c r="A21" s="11">
        <v>1.6</v>
      </c>
      <c r="B21" s="12">
        <v>8.2299999999999995E-3</v>
      </c>
      <c r="C21" s="12"/>
      <c r="D21" s="11">
        <v>0.36399999999999999</v>
      </c>
      <c r="E21" s="13">
        <v>149.4</v>
      </c>
      <c r="F21" s="15">
        <f>SchottkyDiodeSB5100[[#This Row],[Is (A)]]*SchottkyDiodeSB5100[[#This Row],[R1 (Ω)]]</f>
        <v>1.229562</v>
      </c>
      <c r="G21" s="15">
        <f>SchottkyDiodeSB5100[[#This Row],[Vs (V)]]-SchottkyDiodeSB5100[[#This Row],[VD1 (V)]]</f>
        <v>1.2360000000000002</v>
      </c>
      <c r="H21" s="16">
        <f>SchottkyDiodeSB5100[[#This Row],[Vs (V)]]*SchottkyDiodeSB5100[[#This Row],[Is (A)]]</f>
        <v>1.3167999999999999E-2</v>
      </c>
      <c r="I21" s="16">
        <f>SchottkyDiodeSB5100[[#This Row],[Is (A)]]*SchottkyDiodeSB5100[[#This Row],[VD1 (V)]]</f>
        <v>2.9957199999999999E-3</v>
      </c>
      <c r="J21" s="16">
        <f>SchottkyDiodeSB5100[[#This Row],[Is (A)]]*SchottkyDiodeSB5100[[#This Row],[Is * R1(V)]]</f>
        <v>1.0119295259999999E-2</v>
      </c>
      <c r="K21" s="17">
        <f>2*(SchottkyDiodeSB5100[[#This Row],[Is * R1(V)]]-SchottkyDiodeSB5100[[#This Row],[Vs - VD1 (V)]])/(SchottkyDiodeSB5100[[#This Row],[Is * R1(V)]]+SchottkyDiodeSB5100[[#This Row],[Vs - VD1 (V)]])</f>
        <v>-5.2223387608992715E-3</v>
      </c>
      <c r="L21" s="17"/>
      <c r="M21" s="7"/>
      <c r="N21" s="7"/>
      <c r="P21" s="9"/>
    </row>
    <row r="22" spans="1:16" x14ac:dyDescent="0.25">
      <c r="A22" s="11">
        <v>1.7</v>
      </c>
      <c r="B22" s="12">
        <v>9.0100000000000006E-3</v>
      </c>
      <c r="C22" s="12">
        <v>1.0999999999999999E-2</v>
      </c>
      <c r="D22" s="11">
        <v>0.36699999999999999</v>
      </c>
      <c r="E22" s="13">
        <v>149.4</v>
      </c>
      <c r="F22" s="15">
        <f>SchottkyDiodeSB5100[[#This Row],[Is (A)]]*SchottkyDiodeSB5100[[#This Row],[R1 (Ω)]]</f>
        <v>1.3460940000000001</v>
      </c>
      <c r="G22" s="15">
        <f>SchottkyDiodeSB5100[[#This Row],[Vs (V)]]-SchottkyDiodeSB5100[[#This Row],[VD1 (V)]]</f>
        <v>1.333</v>
      </c>
      <c r="H22" s="16">
        <f>SchottkyDiodeSB5100[[#This Row],[Vs (V)]]*SchottkyDiodeSB5100[[#This Row],[Is (A)]]</f>
        <v>1.5317000000000001E-2</v>
      </c>
      <c r="I22" s="16">
        <f>SchottkyDiodeSB5100[[#This Row],[Is (A)]]*SchottkyDiodeSB5100[[#This Row],[VD1 (V)]]</f>
        <v>3.3066700000000003E-3</v>
      </c>
      <c r="J22" s="16">
        <f>SchottkyDiodeSB5100[[#This Row],[Is (A)]]*SchottkyDiodeSB5100[[#This Row],[Is * R1(V)]]</f>
        <v>1.2128306940000002E-2</v>
      </c>
      <c r="K22" s="17">
        <f>2*(SchottkyDiodeSB5100[[#This Row],[Is * R1(V)]]-SchottkyDiodeSB5100[[#This Row],[Vs - VD1 (V)]])/(SchottkyDiodeSB5100[[#This Row],[Is * R1(V)]]+SchottkyDiodeSB5100[[#This Row],[Vs - VD1 (V)]])</f>
        <v>9.774946306475369E-3</v>
      </c>
      <c r="L22" s="17">
        <f>SchottkyDiodeSB5100[[#This Row],[Is from Kungber (A)]]/SchottkyDiodeSB5100[[#This Row],[Is (A)]]-1</f>
        <v>0.22086570477247491</v>
      </c>
      <c r="M22" s="7"/>
      <c r="N22" s="7"/>
      <c r="P22" s="9"/>
    </row>
    <row r="23" spans="1:16" x14ac:dyDescent="0.25">
      <c r="A23" s="11">
        <v>1.8</v>
      </c>
      <c r="B23" s="12">
        <v>9.6299999999999997E-3</v>
      </c>
      <c r="C23" s="12">
        <v>1.2999999999999999E-2</v>
      </c>
      <c r="D23" s="11">
        <v>0.36899999999999999</v>
      </c>
      <c r="E23" s="13">
        <v>149.4</v>
      </c>
      <c r="F23" s="15">
        <f>SchottkyDiodeSB5100[[#This Row],[Is (A)]]*SchottkyDiodeSB5100[[#This Row],[R1 (Ω)]]</f>
        <v>1.4387220000000001</v>
      </c>
      <c r="G23" s="15">
        <f>SchottkyDiodeSB5100[[#This Row],[Vs (V)]]-SchottkyDiodeSB5100[[#This Row],[VD1 (V)]]</f>
        <v>1.431</v>
      </c>
      <c r="H23" s="16">
        <f>SchottkyDiodeSB5100[[#This Row],[Vs (V)]]*SchottkyDiodeSB5100[[#This Row],[Is (A)]]</f>
        <v>1.7333999999999999E-2</v>
      </c>
      <c r="I23" s="16">
        <f>SchottkyDiodeSB5100[[#This Row],[Is (A)]]*SchottkyDiodeSB5100[[#This Row],[VD1 (V)]]</f>
        <v>3.55347E-3</v>
      </c>
      <c r="J23" s="16">
        <f>SchottkyDiodeSB5100[[#This Row],[Is (A)]]*SchottkyDiodeSB5100[[#This Row],[Is * R1(V)]]</f>
        <v>1.3854892860000001E-2</v>
      </c>
      <c r="K23" s="17">
        <f>2*(SchottkyDiodeSB5100[[#This Row],[Is * R1(V)]]-SchottkyDiodeSB5100[[#This Row],[Vs - VD1 (V)]])/(SchottkyDiodeSB5100[[#This Row],[Is * R1(V)]]+SchottkyDiodeSB5100[[#This Row],[Vs - VD1 (V)]])</f>
        <v>5.3817059631560173E-3</v>
      </c>
      <c r="L23" s="17">
        <f>SchottkyDiodeSB5100[[#This Row],[Is from Kungber (A)]]/SchottkyDiodeSB5100[[#This Row],[Is (A)]]-1</f>
        <v>0.34994807892004154</v>
      </c>
      <c r="M23" s="7"/>
      <c r="N23" s="7"/>
      <c r="P23" s="9"/>
    </row>
    <row r="24" spans="1:16" x14ac:dyDescent="0.25">
      <c r="A24" s="11">
        <v>1.9</v>
      </c>
      <c r="B24" s="12">
        <v>1.027E-2</v>
      </c>
      <c r="C24" s="12">
        <v>1.2999999999999999E-2</v>
      </c>
      <c r="D24" s="11">
        <v>0.371</v>
      </c>
      <c r="E24" s="13">
        <v>149.4</v>
      </c>
      <c r="F24" s="15">
        <f>SchottkyDiodeSB5100[[#This Row],[Is (A)]]*SchottkyDiodeSB5100[[#This Row],[R1 (Ω)]]</f>
        <v>1.534338</v>
      </c>
      <c r="G24" s="15">
        <f>SchottkyDiodeSB5100[[#This Row],[Vs (V)]]-SchottkyDiodeSB5100[[#This Row],[VD1 (V)]]</f>
        <v>1.5289999999999999</v>
      </c>
      <c r="H24" s="16">
        <f>SchottkyDiodeSB5100[[#This Row],[Vs (V)]]*SchottkyDiodeSB5100[[#This Row],[Is (A)]]</f>
        <v>1.9512999999999999E-2</v>
      </c>
      <c r="I24" s="16">
        <f>SchottkyDiodeSB5100[[#This Row],[Is (A)]]*SchottkyDiodeSB5100[[#This Row],[VD1 (V)]]</f>
        <v>3.8101699999999999E-3</v>
      </c>
      <c r="J24" s="16">
        <f>SchottkyDiodeSB5100[[#This Row],[Is (A)]]*SchottkyDiodeSB5100[[#This Row],[Is * R1(V)]]</f>
        <v>1.5757651259999998E-2</v>
      </c>
      <c r="K24" s="17">
        <f>2*(SchottkyDiodeSB5100[[#This Row],[Is * R1(V)]]-SchottkyDiodeSB5100[[#This Row],[Vs - VD1 (V)]])/(SchottkyDiodeSB5100[[#This Row],[Is * R1(V)]]+SchottkyDiodeSB5100[[#This Row],[Vs - VD1 (V)]])</f>
        <v>3.485087182674628E-3</v>
      </c>
      <c r="L24" s="17">
        <f>SchottkyDiodeSB5100[[#This Row],[Is from Kungber (A)]]/SchottkyDiodeSB5100[[#This Row],[Is (A)]]-1</f>
        <v>0.26582278481012667</v>
      </c>
      <c r="M24" s="7"/>
      <c r="N24" s="7"/>
      <c r="P24" s="9"/>
    </row>
    <row r="25" spans="1:16" x14ac:dyDescent="0.25">
      <c r="A25" s="11">
        <v>2</v>
      </c>
      <c r="B25" s="12">
        <v>1.093E-2</v>
      </c>
      <c r="C25" s="12">
        <v>1.4E-2</v>
      </c>
      <c r="D25" s="11">
        <v>0.372</v>
      </c>
      <c r="E25" s="13">
        <v>149.4</v>
      </c>
      <c r="F25" s="15">
        <f>SchottkyDiodeSB5100[[#This Row],[Is (A)]]*SchottkyDiodeSB5100[[#This Row],[R1 (Ω)]]</f>
        <v>1.6329420000000001</v>
      </c>
      <c r="G25" s="15">
        <f>SchottkyDiodeSB5100[[#This Row],[Vs (V)]]-SchottkyDiodeSB5100[[#This Row],[VD1 (V)]]</f>
        <v>1.6280000000000001</v>
      </c>
      <c r="H25" s="16">
        <f>SchottkyDiodeSB5100[[#This Row],[Vs (V)]]*SchottkyDiodeSB5100[[#This Row],[Is (A)]]</f>
        <v>2.1860000000000001E-2</v>
      </c>
      <c r="I25" s="16">
        <f>SchottkyDiodeSB5100[[#This Row],[Is (A)]]*SchottkyDiodeSB5100[[#This Row],[VD1 (V)]]</f>
        <v>4.0659600000000004E-3</v>
      </c>
      <c r="J25" s="16">
        <f>SchottkyDiodeSB5100[[#This Row],[Is (A)]]*SchottkyDiodeSB5100[[#This Row],[Is * R1(V)]]</f>
        <v>1.7848056060000003E-2</v>
      </c>
      <c r="K25" s="17">
        <f>2*(SchottkyDiodeSB5100[[#This Row],[Is * R1(V)]]-SchottkyDiodeSB5100[[#This Row],[Vs - VD1 (V)]])/(SchottkyDiodeSB5100[[#This Row],[Is * R1(V)]]+SchottkyDiodeSB5100[[#This Row],[Vs - VD1 (V)]])</f>
        <v>3.0310260041423627E-3</v>
      </c>
      <c r="L25" s="17">
        <f>SchottkyDiodeSB5100[[#This Row],[Is from Kungber (A)]]/SchottkyDiodeSB5100[[#This Row],[Is (A)]]-1</f>
        <v>0.28087831655992668</v>
      </c>
      <c r="M25" s="7"/>
      <c r="N25" s="7"/>
      <c r="P25" s="9"/>
    </row>
    <row r="26" spans="1:16" x14ac:dyDescent="0.25">
      <c r="A26" s="11">
        <v>2.11</v>
      </c>
      <c r="B26" s="12">
        <v>1.159E-2</v>
      </c>
      <c r="C26" s="12">
        <v>1.4E-2</v>
      </c>
      <c r="D26" s="11">
        <v>0.374</v>
      </c>
      <c r="E26" s="13">
        <v>149.4</v>
      </c>
      <c r="F26" s="15">
        <f>SchottkyDiodeSB5100[[#This Row],[Is (A)]]*SchottkyDiodeSB5100[[#This Row],[R1 (Ω)]]</f>
        <v>1.731546</v>
      </c>
      <c r="G26" s="15">
        <f>SchottkyDiodeSB5100[[#This Row],[Vs (V)]]-SchottkyDiodeSB5100[[#This Row],[VD1 (V)]]</f>
        <v>1.7359999999999998</v>
      </c>
      <c r="H26" s="16">
        <f>SchottkyDiodeSB5100[[#This Row],[Vs (V)]]*SchottkyDiodeSB5100[[#This Row],[Is (A)]]</f>
        <v>2.4454899999999998E-2</v>
      </c>
      <c r="I26" s="16">
        <f>SchottkyDiodeSB5100[[#This Row],[Is (A)]]*SchottkyDiodeSB5100[[#This Row],[VD1 (V)]]</f>
        <v>4.3346599999999997E-3</v>
      </c>
      <c r="J26" s="16">
        <f>SchottkyDiodeSB5100[[#This Row],[Is (A)]]*SchottkyDiodeSB5100[[#This Row],[Is * R1(V)]]</f>
        <v>2.0068618140000001E-2</v>
      </c>
      <c r="K26" s="17">
        <f>2*(SchottkyDiodeSB5100[[#This Row],[Is * R1(V)]]-SchottkyDiodeSB5100[[#This Row],[Vs - VD1 (V)]])/(SchottkyDiodeSB5100[[#This Row],[Is * R1(V)]]+SchottkyDiodeSB5100[[#This Row],[Vs - VD1 (V)]])</f>
        <v>-2.5689637570776198E-3</v>
      </c>
      <c r="L26" s="17">
        <f>SchottkyDiodeSB5100[[#This Row],[Is from Kungber (A)]]/SchottkyDiodeSB5100[[#This Row],[Is (A)]]-1</f>
        <v>0.20793787748058667</v>
      </c>
      <c r="M26" s="7"/>
      <c r="N26" s="7"/>
      <c r="P26" s="9"/>
    </row>
    <row r="27" spans="1:16" x14ac:dyDescent="0.25">
      <c r="A27" s="11">
        <v>2.2000000000000002</v>
      </c>
      <c r="B27" s="12">
        <v>1.213E-2</v>
      </c>
      <c r="C27" s="12">
        <v>1.4E-2</v>
      </c>
      <c r="D27" s="11">
        <v>0.375</v>
      </c>
      <c r="E27" s="13">
        <v>149.4</v>
      </c>
      <c r="F27" s="15">
        <f>SchottkyDiodeSB5100[[#This Row],[Is (A)]]*SchottkyDiodeSB5100[[#This Row],[R1 (Ω)]]</f>
        <v>1.812222</v>
      </c>
      <c r="G27" s="15">
        <f>SchottkyDiodeSB5100[[#This Row],[Vs (V)]]-SchottkyDiodeSB5100[[#This Row],[VD1 (V)]]</f>
        <v>1.8250000000000002</v>
      </c>
      <c r="H27" s="16">
        <f>SchottkyDiodeSB5100[[#This Row],[Vs (V)]]*SchottkyDiodeSB5100[[#This Row],[Is (A)]]</f>
        <v>2.6686000000000001E-2</v>
      </c>
      <c r="I27" s="16">
        <f>SchottkyDiodeSB5100[[#This Row],[Is (A)]]*SchottkyDiodeSB5100[[#This Row],[VD1 (V)]]</f>
        <v>4.5487499999999998E-3</v>
      </c>
      <c r="J27" s="16">
        <f>SchottkyDiodeSB5100[[#This Row],[Is (A)]]*SchottkyDiodeSB5100[[#This Row],[Is * R1(V)]]</f>
        <v>2.1982252859999999E-2</v>
      </c>
      <c r="K27" s="17">
        <f>2*(SchottkyDiodeSB5100[[#This Row],[Is * R1(V)]]-SchottkyDiodeSB5100[[#This Row],[Vs - VD1 (V)]])/(SchottkyDiodeSB5100[[#This Row],[Is * R1(V)]]+SchottkyDiodeSB5100[[#This Row],[Vs - VD1 (V)]])</f>
        <v>-7.0262414557044784E-3</v>
      </c>
      <c r="L27" s="17">
        <f>SchottkyDiodeSB5100[[#This Row],[Is from Kungber (A)]]/SchottkyDiodeSB5100[[#This Row],[Is (A)]]-1</f>
        <v>0.1541632316570487</v>
      </c>
      <c r="M27" s="7"/>
      <c r="N27" s="7"/>
      <c r="P27" s="9"/>
    </row>
    <row r="28" spans="1:16" x14ac:dyDescent="0.25">
      <c r="A28" s="11">
        <v>2.31</v>
      </c>
      <c r="B28" s="12">
        <v>1.286E-2</v>
      </c>
      <c r="C28" s="12">
        <v>1.4E-2</v>
      </c>
      <c r="D28" s="11">
        <v>0.377</v>
      </c>
      <c r="E28" s="13">
        <v>149.4</v>
      </c>
      <c r="F28" s="15">
        <f>SchottkyDiodeSB5100[[#This Row],[Is (A)]]*SchottkyDiodeSB5100[[#This Row],[R1 (Ω)]]</f>
        <v>1.921284</v>
      </c>
      <c r="G28" s="15">
        <f>SchottkyDiodeSB5100[[#This Row],[Vs (V)]]-SchottkyDiodeSB5100[[#This Row],[VD1 (V)]]</f>
        <v>1.9330000000000001</v>
      </c>
      <c r="H28" s="16">
        <f>SchottkyDiodeSB5100[[#This Row],[Vs (V)]]*SchottkyDiodeSB5100[[#This Row],[Is (A)]]</f>
        <v>2.97066E-2</v>
      </c>
      <c r="I28" s="16">
        <f>SchottkyDiodeSB5100[[#This Row],[Is (A)]]*SchottkyDiodeSB5100[[#This Row],[VD1 (V)]]</f>
        <v>4.8482200000000003E-3</v>
      </c>
      <c r="J28" s="16">
        <f>SchottkyDiodeSB5100[[#This Row],[Is (A)]]*SchottkyDiodeSB5100[[#This Row],[Is * R1(V)]]</f>
        <v>2.4707712239999999E-2</v>
      </c>
      <c r="K28" s="17">
        <f>2*(SchottkyDiodeSB5100[[#This Row],[Is * R1(V)]]-SchottkyDiodeSB5100[[#This Row],[Vs - VD1 (V)]])/(SchottkyDiodeSB5100[[#This Row],[Is * R1(V)]]+SchottkyDiodeSB5100[[#This Row],[Vs - VD1 (V)]])</f>
        <v>-6.07946897530128E-3</v>
      </c>
      <c r="L28" s="17">
        <f>SchottkyDiodeSB5100[[#This Row],[Is from Kungber (A)]]/SchottkyDiodeSB5100[[#This Row],[Is (A)]]-1</f>
        <v>8.8646967340590965E-2</v>
      </c>
      <c r="M28" s="7"/>
      <c r="N28" s="7"/>
      <c r="P28" s="9"/>
    </row>
    <row r="29" spans="1:16" x14ac:dyDescent="0.25">
      <c r="A29" s="11">
        <v>2.4</v>
      </c>
      <c r="B29" s="12">
        <v>1.35E-2</v>
      </c>
      <c r="C29" s="12">
        <v>1.4E-2</v>
      </c>
      <c r="D29" s="11">
        <v>0.379</v>
      </c>
      <c r="E29" s="13">
        <v>149.4</v>
      </c>
      <c r="F29" s="15">
        <f>SchottkyDiodeSB5100[[#This Row],[Is (A)]]*SchottkyDiodeSB5100[[#This Row],[R1 (Ω)]]</f>
        <v>2.0169000000000001</v>
      </c>
      <c r="G29" s="15">
        <f>SchottkyDiodeSB5100[[#This Row],[Vs (V)]]-SchottkyDiodeSB5100[[#This Row],[VD1 (V)]]</f>
        <v>2.0209999999999999</v>
      </c>
      <c r="H29" s="16">
        <f>SchottkyDiodeSB5100[[#This Row],[Vs (V)]]*SchottkyDiodeSB5100[[#This Row],[Is (A)]]</f>
        <v>3.2399999999999998E-2</v>
      </c>
      <c r="I29" s="16">
        <f>SchottkyDiodeSB5100[[#This Row],[Is (A)]]*SchottkyDiodeSB5100[[#This Row],[VD1 (V)]]</f>
        <v>5.1165000000000004E-3</v>
      </c>
      <c r="J29" s="16">
        <f>SchottkyDiodeSB5100[[#This Row],[Is (A)]]*SchottkyDiodeSB5100[[#This Row],[Is * R1(V)]]</f>
        <v>2.7228150000000003E-2</v>
      </c>
      <c r="K29" s="17">
        <f>2*(SchottkyDiodeSB5100[[#This Row],[Is * R1(V)]]-SchottkyDiodeSB5100[[#This Row],[Vs - VD1 (V)]])/(SchottkyDiodeSB5100[[#This Row],[Is * R1(V)]]+SchottkyDiodeSB5100[[#This Row],[Vs - VD1 (V)]])</f>
        <v>-2.0307585626190695E-3</v>
      </c>
      <c r="L29" s="17">
        <f>SchottkyDiodeSB5100[[#This Row],[Is from Kungber (A)]]/SchottkyDiodeSB5100[[#This Row],[Is (A)]]-1</f>
        <v>3.7037037037036979E-2</v>
      </c>
      <c r="M29" s="7"/>
      <c r="N29" s="7"/>
      <c r="P29" s="9"/>
    </row>
    <row r="30" spans="1:16" x14ac:dyDescent="0.25">
      <c r="A30" s="11">
        <v>2.5099999999999998</v>
      </c>
      <c r="B30" s="12">
        <v>1.4120000000000001E-2</v>
      </c>
      <c r="C30" s="12">
        <v>1.4999999999999999E-2</v>
      </c>
      <c r="D30" s="11">
        <v>0.38</v>
      </c>
      <c r="E30" s="13">
        <v>149.4</v>
      </c>
      <c r="F30" s="15">
        <f>SchottkyDiodeSB5100[[#This Row],[Is (A)]]*SchottkyDiodeSB5100[[#This Row],[R1 (Ω)]]</f>
        <v>2.1095280000000001</v>
      </c>
      <c r="G30" s="15">
        <f>SchottkyDiodeSB5100[[#This Row],[Vs (V)]]-SchottkyDiodeSB5100[[#This Row],[VD1 (V)]]</f>
        <v>2.13</v>
      </c>
      <c r="H30" s="16">
        <f>SchottkyDiodeSB5100[[#This Row],[Vs (V)]]*SchottkyDiodeSB5100[[#This Row],[Is (A)]]</f>
        <v>3.5441199999999999E-2</v>
      </c>
      <c r="I30" s="16">
        <f>SchottkyDiodeSB5100[[#This Row],[Is (A)]]*SchottkyDiodeSB5100[[#This Row],[VD1 (V)]]</f>
        <v>5.3655999999999999E-3</v>
      </c>
      <c r="J30" s="16">
        <f>SchottkyDiodeSB5100[[#This Row],[Is (A)]]*SchottkyDiodeSB5100[[#This Row],[Is * R1(V)]]</f>
        <v>2.9786535360000001E-2</v>
      </c>
      <c r="K30" s="14">
        <f>2*(SchottkyDiodeSB5100[[#This Row],[Is * R1(V)]]-SchottkyDiodeSB5100[[#This Row],[Vs - VD1 (V)]])/(SchottkyDiodeSB5100[[#This Row],[Is * R1(V)]]+SchottkyDiodeSB5100[[#This Row],[Vs - VD1 (V)]])</f>
        <v>-9.6576788736858557E-3</v>
      </c>
      <c r="L30" s="17">
        <f>SchottkyDiodeSB5100[[#This Row],[Is from Kungber (A)]]/SchottkyDiodeSB5100[[#This Row],[Is (A)]]-1</f>
        <v>6.2322946175637384E-2</v>
      </c>
    </row>
    <row r="31" spans="1:16" x14ac:dyDescent="0.25">
      <c r="A31" s="11">
        <v>2.6</v>
      </c>
      <c r="B31" s="12">
        <v>1.4749999999999999E-2</v>
      </c>
      <c r="C31" s="12">
        <v>1.6E-2</v>
      </c>
      <c r="D31" s="11">
        <v>0.38100000000000001</v>
      </c>
      <c r="E31" s="13">
        <v>149.4</v>
      </c>
      <c r="F31" s="15">
        <f>SchottkyDiodeSB5100[[#This Row],[Is (A)]]*SchottkyDiodeSB5100[[#This Row],[R1 (Ω)]]</f>
        <v>2.2036500000000001</v>
      </c>
      <c r="G31" s="15">
        <f>SchottkyDiodeSB5100[[#This Row],[Vs (V)]]-SchottkyDiodeSB5100[[#This Row],[VD1 (V)]]</f>
        <v>2.2190000000000003</v>
      </c>
      <c r="H31" s="16">
        <f>SchottkyDiodeSB5100[[#This Row],[Vs (V)]]*SchottkyDiodeSB5100[[#This Row],[Is (A)]]</f>
        <v>3.8350000000000002E-2</v>
      </c>
      <c r="I31" s="16">
        <f>SchottkyDiodeSB5100[[#This Row],[Is (A)]]*SchottkyDiodeSB5100[[#This Row],[VD1 (V)]]</f>
        <v>5.6197499999999997E-3</v>
      </c>
      <c r="J31" s="16">
        <f>SchottkyDiodeSB5100[[#This Row],[Is (A)]]*SchottkyDiodeSB5100[[#This Row],[Is * R1(V)]]</f>
        <v>3.25038375E-2</v>
      </c>
      <c r="K31" s="14">
        <f>2*(SchottkyDiodeSB5100[[#This Row],[Is * R1(V)]]-SchottkyDiodeSB5100[[#This Row],[Vs - VD1 (V)]])/(SchottkyDiodeSB5100[[#This Row],[Is * R1(V)]]+SchottkyDiodeSB5100[[#This Row],[Vs - VD1 (V)]])</f>
        <v>-6.9415395746894705E-3</v>
      </c>
      <c r="L31" s="17">
        <f>SchottkyDiodeSB5100[[#This Row],[Is from Kungber (A)]]/SchottkyDiodeSB5100[[#This Row],[Is (A)]]-1</f>
        <v>8.4745762711864403E-2</v>
      </c>
    </row>
    <row r="32" spans="1:16" x14ac:dyDescent="0.25">
      <c r="A32" s="11">
        <v>2.71</v>
      </c>
      <c r="B32" s="12">
        <v>1.5389999999999999E-2</v>
      </c>
      <c r="C32" s="12">
        <v>1.7000000000000001E-2</v>
      </c>
      <c r="D32" s="11">
        <v>0.38200000000000001</v>
      </c>
      <c r="E32" s="13">
        <v>149.4</v>
      </c>
      <c r="F32" s="15">
        <f>SchottkyDiodeSB5100[[#This Row],[Is (A)]]*SchottkyDiodeSB5100[[#This Row],[R1 (Ω)]]</f>
        <v>2.2992659999999998</v>
      </c>
      <c r="G32" s="15">
        <f>SchottkyDiodeSB5100[[#This Row],[Vs (V)]]-SchottkyDiodeSB5100[[#This Row],[VD1 (V)]]</f>
        <v>2.3279999999999998</v>
      </c>
      <c r="H32" s="16">
        <f>SchottkyDiodeSB5100[[#This Row],[Vs (V)]]*SchottkyDiodeSB5100[[#This Row],[Is (A)]]</f>
        <v>4.1706899999999998E-2</v>
      </c>
      <c r="I32" s="16">
        <f>SchottkyDiodeSB5100[[#This Row],[Is (A)]]*SchottkyDiodeSB5100[[#This Row],[VD1 (V)]]</f>
        <v>5.8789799999999998E-3</v>
      </c>
      <c r="J32" s="16">
        <f>SchottkyDiodeSB5100[[#This Row],[Is (A)]]*SchottkyDiodeSB5100[[#This Row],[Is * R1(V)]]</f>
        <v>3.5385703739999996E-2</v>
      </c>
      <c r="K32" s="14">
        <f>2*(SchottkyDiodeSB5100[[#This Row],[Is * R1(V)]]-SchottkyDiodeSB5100[[#This Row],[Vs - VD1 (V)]])/(SchottkyDiodeSB5100[[#This Row],[Is * R1(V)]]+SchottkyDiodeSB5100[[#This Row],[Vs - VD1 (V)]])</f>
        <v>-1.2419428664788252E-2</v>
      </c>
      <c r="L32" s="17">
        <f>SchottkyDiodeSB5100[[#This Row],[Is from Kungber (A)]]/SchottkyDiodeSB5100[[#This Row],[Is (A)]]-1</f>
        <v>0.10461338531513986</v>
      </c>
    </row>
    <row r="33" spans="1:12" x14ac:dyDescent="0.25">
      <c r="A33" s="11">
        <v>2.8</v>
      </c>
      <c r="B33" s="12">
        <v>1.61E-2</v>
      </c>
      <c r="C33" s="12">
        <v>1.7000000000000001E-2</v>
      </c>
      <c r="D33" s="11">
        <v>0.38400000000000001</v>
      </c>
      <c r="E33" s="13">
        <v>149.4</v>
      </c>
      <c r="F33" s="15">
        <f>SchottkyDiodeSB5100[[#This Row],[Is (A)]]*SchottkyDiodeSB5100[[#This Row],[R1 (Ω)]]</f>
        <v>2.4053400000000003</v>
      </c>
      <c r="G33" s="15">
        <f>SchottkyDiodeSB5100[[#This Row],[Vs (V)]]-SchottkyDiodeSB5100[[#This Row],[VD1 (V)]]</f>
        <v>2.4159999999999999</v>
      </c>
      <c r="H33" s="16">
        <f>SchottkyDiodeSB5100[[#This Row],[Vs (V)]]*SchottkyDiodeSB5100[[#This Row],[Is (A)]]</f>
        <v>4.5079999999999995E-2</v>
      </c>
      <c r="I33" s="16">
        <f>SchottkyDiodeSB5100[[#This Row],[Is (A)]]*SchottkyDiodeSB5100[[#This Row],[VD1 (V)]]</f>
        <v>6.1824000000000002E-3</v>
      </c>
      <c r="J33" s="16">
        <f>SchottkyDiodeSB5100[[#This Row],[Is (A)]]*SchottkyDiodeSB5100[[#This Row],[Is * R1(V)]]</f>
        <v>3.8725974000000003E-2</v>
      </c>
      <c r="K33" s="14">
        <f>2*(SchottkyDiodeSB5100[[#This Row],[Is * R1(V)]]-SchottkyDiodeSB5100[[#This Row],[Vs - VD1 (V)]])/(SchottkyDiodeSB5100[[#This Row],[Is * R1(V)]]+SchottkyDiodeSB5100[[#This Row],[Vs - VD1 (V)]])</f>
        <v>-4.4220071598350952E-3</v>
      </c>
      <c r="L33" s="17">
        <f>SchottkyDiodeSB5100[[#This Row],[Is from Kungber (A)]]/SchottkyDiodeSB5100[[#This Row],[Is (A)]]-1</f>
        <v>5.5900621118012417E-2</v>
      </c>
    </row>
    <row r="34" spans="1:12" x14ac:dyDescent="0.25">
      <c r="A34" s="11">
        <v>2.9</v>
      </c>
      <c r="B34" s="12">
        <v>1.6629999999999999E-2</v>
      </c>
      <c r="C34" s="12">
        <v>1.7999999999999999E-2</v>
      </c>
      <c r="D34" s="11">
        <v>0.38500000000000001</v>
      </c>
      <c r="E34" s="13">
        <v>149.4</v>
      </c>
      <c r="F34" s="15">
        <f>SchottkyDiodeSB5100[[#This Row],[Is (A)]]*SchottkyDiodeSB5100[[#This Row],[R1 (Ω)]]</f>
        <v>2.4845220000000001</v>
      </c>
      <c r="G34" s="15">
        <f>SchottkyDiodeSB5100[[#This Row],[Vs (V)]]-SchottkyDiodeSB5100[[#This Row],[VD1 (V)]]</f>
        <v>2.5149999999999997</v>
      </c>
      <c r="H34" s="16">
        <f>SchottkyDiodeSB5100[[#This Row],[Vs (V)]]*SchottkyDiodeSB5100[[#This Row],[Is (A)]]</f>
        <v>4.8226999999999992E-2</v>
      </c>
      <c r="I34" s="16">
        <f>SchottkyDiodeSB5100[[#This Row],[Is (A)]]*SchottkyDiodeSB5100[[#This Row],[VD1 (V)]]</f>
        <v>6.4025499999999999E-3</v>
      </c>
      <c r="J34" s="16">
        <f>SchottkyDiodeSB5100[[#This Row],[Is (A)]]*SchottkyDiodeSB5100[[#This Row],[Is * R1(V)]]</f>
        <v>4.1317600859999998E-2</v>
      </c>
      <c r="K34" s="14">
        <f>2*(SchottkyDiodeSB5100[[#This Row],[Is * R1(V)]]-SchottkyDiodeSB5100[[#This Row],[Vs - VD1 (V)]])/(SchottkyDiodeSB5100[[#This Row],[Is * R1(V)]]+SchottkyDiodeSB5100[[#This Row],[Vs - VD1 (V)]])</f>
        <v>-1.2192365590150243E-2</v>
      </c>
      <c r="L34" s="17">
        <f>SchottkyDiodeSB5100[[#This Row],[Is from Kungber (A)]]/SchottkyDiodeSB5100[[#This Row],[Is (A)]]-1</f>
        <v>8.2381238725195427E-2</v>
      </c>
    </row>
    <row r="35" spans="1:12" x14ac:dyDescent="0.25">
      <c r="A35" s="11">
        <v>3</v>
      </c>
      <c r="B35" s="12">
        <v>1.7229999999999999E-2</v>
      </c>
      <c r="C35" s="12">
        <v>1.7999999999999999E-2</v>
      </c>
      <c r="D35" s="11">
        <v>0.38600000000000001</v>
      </c>
      <c r="E35" s="13">
        <v>149.4</v>
      </c>
      <c r="F35" s="15">
        <f>SchottkyDiodeSB5100[[#This Row],[Is (A)]]*SchottkyDiodeSB5100[[#This Row],[R1 (Ω)]]</f>
        <v>2.5741619999999998</v>
      </c>
      <c r="G35" s="15">
        <f>SchottkyDiodeSB5100[[#This Row],[Vs (V)]]-SchottkyDiodeSB5100[[#This Row],[VD1 (V)]]</f>
        <v>2.6139999999999999</v>
      </c>
      <c r="H35" s="16">
        <f>SchottkyDiodeSB5100[[#This Row],[Vs (V)]]*SchottkyDiodeSB5100[[#This Row],[Is (A)]]</f>
        <v>5.169E-2</v>
      </c>
      <c r="I35" s="16">
        <f>SchottkyDiodeSB5100[[#This Row],[Is (A)]]*SchottkyDiodeSB5100[[#This Row],[VD1 (V)]]</f>
        <v>6.6507799999999994E-3</v>
      </c>
      <c r="J35" s="16">
        <f>SchottkyDiodeSB5100[[#This Row],[Is (A)]]*SchottkyDiodeSB5100[[#This Row],[Is * R1(V)]]</f>
        <v>4.4352811259999993E-2</v>
      </c>
      <c r="K35" s="14">
        <f>2*(SchottkyDiodeSB5100[[#This Row],[Is * R1(V)]]-SchottkyDiodeSB5100[[#This Row],[Vs - VD1 (V)]])/(SchottkyDiodeSB5100[[#This Row],[Is * R1(V)]]+SchottkyDiodeSB5100[[#This Row],[Vs - VD1 (V)]])</f>
        <v>-1.5357269106091921E-2</v>
      </c>
      <c r="L35" s="17">
        <f>SchottkyDiodeSB5100[[#This Row],[Is from Kungber (A)]]/SchottkyDiodeSB5100[[#This Row],[Is (A)]]-1</f>
        <v>4.4689495066744023E-2</v>
      </c>
    </row>
    <row r="36" spans="1:12" x14ac:dyDescent="0.25">
      <c r="A36" s="11">
        <v>3.1</v>
      </c>
      <c r="B36" s="12">
        <v>1.7999999999999999E-2</v>
      </c>
      <c r="C36" s="12">
        <v>0.02</v>
      </c>
      <c r="D36" s="11">
        <v>0.38700000000000001</v>
      </c>
      <c r="E36" s="13">
        <v>149.4</v>
      </c>
      <c r="F36" s="15">
        <f>SchottkyDiodeSB5100[[#This Row],[Is (A)]]*SchottkyDiodeSB5100[[#This Row],[R1 (Ω)]]</f>
        <v>2.6892</v>
      </c>
      <c r="G36" s="15">
        <f>SchottkyDiodeSB5100[[#This Row],[Vs (V)]]-SchottkyDiodeSB5100[[#This Row],[VD1 (V)]]</f>
        <v>2.7130000000000001</v>
      </c>
      <c r="H36" s="16">
        <f>SchottkyDiodeSB5100[[#This Row],[Vs (V)]]*SchottkyDiodeSB5100[[#This Row],[Is (A)]]</f>
        <v>5.5799999999999995E-2</v>
      </c>
      <c r="I36" s="16">
        <f>SchottkyDiodeSB5100[[#This Row],[Is (A)]]*SchottkyDiodeSB5100[[#This Row],[VD1 (V)]]</f>
        <v>6.966E-3</v>
      </c>
      <c r="J36" s="16">
        <f>SchottkyDiodeSB5100[[#This Row],[Is (A)]]*SchottkyDiodeSB5100[[#This Row],[Is * R1(V)]]</f>
        <v>4.84056E-2</v>
      </c>
      <c r="K36" s="14">
        <f>2*(SchottkyDiodeSB5100[[#This Row],[Is * R1(V)]]-SchottkyDiodeSB5100[[#This Row],[Vs - VD1 (V)]])/(SchottkyDiodeSB5100[[#This Row],[Is * R1(V)]]+SchottkyDiodeSB5100[[#This Row],[Vs - VD1 (V)]])</f>
        <v>-8.8112250564584948E-3</v>
      </c>
      <c r="L36" s="17">
        <f>SchottkyDiodeSB5100[[#This Row],[Is from Kungber (A)]]/SchottkyDiodeSB5100[[#This Row],[Is (A)]]-1</f>
        <v>0.11111111111111116</v>
      </c>
    </row>
    <row r="37" spans="1:12" x14ac:dyDescent="0.25">
      <c r="A37" s="11">
        <v>3.2</v>
      </c>
      <c r="B37" s="12">
        <v>1.874E-2</v>
      </c>
      <c r="C37" s="12">
        <v>2.1000000000000001E-2</v>
      </c>
      <c r="D37" s="11">
        <v>0.38800000000000001</v>
      </c>
      <c r="E37" s="13">
        <v>149.4</v>
      </c>
      <c r="F37" s="15">
        <f>SchottkyDiodeSB5100[[#This Row],[Is (A)]]*SchottkyDiodeSB5100[[#This Row],[R1 (Ω)]]</f>
        <v>2.7997559999999999</v>
      </c>
      <c r="G37" s="15">
        <f>SchottkyDiodeSB5100[[#This Row],[Vs (V)]]-SchottkyDiodeSB5100[[#This Row],[VD1 (V)]]</f>
        <v>2.8120000000000003</v>
      </c>
      <c r="H37" s="16">
        <f>SchottkyDiodeSB5100[[#This Row],[Vs (V)]]*SchottkyDiodeSB5100[[#This Row],[Is (A)]]</f>
        <v>5.9968E-2</v>
      </c>
      <c r="I37" s="16">
        <f>SchottkyDiodeSB5100[[#This Row],[Is (A)]]*SchottkyDiodeSB5100[[#This Row],[VD1 (V)]]</f>
        <v>7.2711199999999998E-3</v>
      </c>
      <c r="J37" s="16">
        <f>SchottkyDiodeSB5100[[#This Row],[Is (A)]]*SchottkyDiodeSB5100[[#This Row],[Is * R1(V)]]</f>
        <v>5.2467427439999999E-2</v>
      </c>
      <c r="K37" s="14">
        <f>2*(SchottkyDiodeSB5100[[#This Row],[Is * R1(V)]]-SchottkyDiodeSB5100[[#This Row],[Vs - VD1 (V)]])/(SchottkyDiodeSB5100[[#This Row],[Is * R1(V)]]+SchottkyDiodeSB5100[[#This Row],[Vs - VD1 (V)]])</f>
        <v>-4.3636964971393508E-3</v>
      </c>
      <c r="L37" s="17">
        <f>SchottkyDiodeSB5100[[#This Row],[Is from Kungber (A)]]/SchottkyDiodeSB5100[[#This Row],[Is (A)]]-1</f>
        <v>0.12059765208111006</v>
      </c>
    </row>
    <row r="38" spans="1:12" x14ac:dyDescent="0.25">
      <c r="A38" s="11">
        <v>3.3</v>
      </c>
      <c r="B38" s="12">
        <v>1.9439999999999999E-2</v>
      </c>
      <c r="C38" s="12">
        <v>2.1000000000000001E-2</v>
      </c>
      <c r="D38" s="11">
        <v>0.38900000000000001</v>
      </c>
      <c r="E38" s="13">
        <v>149.4</v>
      </c>
      <c r="F38" s="15">
        <f>SchottkyDiodeSB5100[[#This Row],[Is (A)]]*SchottkyDiodeSB5100[[#This Row],[R1 (Ω)]]</f>
        <v>2.9043359999999998</v>
      </c>
      <c r="G38" s="15">
        <f>SchottkyDiodeSB5100[[#This Row],[Vs (V)]]-SchottkyDiodeSB5100[[#This Row],[VD1 (V)]]</f>
        <v>2.9109999999999996</v>
      </c>
      <c r="H38" s="16">
        <f>SchottkyDiodeSB5100[[#This Row],[Vs (V)]]*SchottkyDiodeSB5100[[#This Row],[Is (A)]]</f>
        <v>6.4151999999999987E-2</v>
      </c>
      <c r="I38" s="16">
        <f>SchottkyDiodeSB5100[[#This Row],[Is (A)]]*SchottkyDiodeSB5100[[#This Row],[VD1 (V)]]</f>
        <v>7.5621600000000001E-3</v>
      </c>
      <c r="J38" s="16">
        <f>SchottkyDiodeSB5100[[#This Row],[Is (A)]]*SchottkyDiodeSB5100[[#This Row],[Is * R1(V)]]</f>
        <v>5.6460291839999996E-2</v>
      </c>
      <c r="K38" s="14">
        <f>2*(SchottkyDiodeSB5100[[#This Row],[Is * R1(V)]]-SchottkyDiodeSB5100[[#This Row],[Vs - VD1 (V)]])/(SchottkyDiodeSB5100[[#This Row],[Is * R1(V)]]+SchottkyDiodeSB5100[[#This Row],[Vs - VD1 (V)]])</f>
        <v>-2.2918710114083803E-3</v>
      </c>
      <c r="L38" s="17">
        <f>SchottkyDiodeSB5100[[#This Row],[Is from Kungber (A)]]/SchottkyDiodeSB5100[[#This Row],[Is (A)]]-1</f>
        <v>8.0246913580247048E-2</v>
      </c>
    </row>
    <row r="39" spans="1:12" x14ac:dyDescent="0.25">
      <c r="A39" s="11">
        <v>3.4</v>
      </c>
      <c r="B39" s="12">
        <v>2.009E-2</v>
      </c>
      <c r="C39" s="12">
        <v>2.1999999999999999E-2</v>
      </c>
      <c r="D39" s="11">
        <v>0.39100000000000001</v>
      </c>
      <c r="E39" s="13">
        <v>149.4</v>
      </c>
      <c r="F39" s="15">
        <f>SchottkyDiodeSB5100[[#This Row],[Is (A)]]*SchottkyDiodeSB5100[[#This Row],[R1 (Ω)]]</f>
        <v>3.0014460000000001</v>
      </c>
      <c r="G39" s="15">
        <f>SchottkyDiodeSB5100[[#This Row],[Vs (V)]]-SchottkyDiodeSB5100[[#This Row],[VD1 (V)]]</f>
        <v>3.0089999999999999</v>
      </c>
      <c r="H39" s="16">
        <f>SchottkyDiodeSB5100[[#This Row],[Vs (V)]]*SchottkyDiodeSB5100[[#This Row],[Is (A)]]</f>
        <v>6.8306000000000006E-2</v>
      </c>
      <c r="I39" s="16">
        <f>SchottkyDiodeSB5100[[#This Row],[Is (A)]]*SchottkyDiodeSB5100[[#This Row],[VD1 (V)]]</f>
        <v>7.8551899999999997E-3</v>
      </c>
      <c r="J39" s="16">
        <f>SchottkyDiodeSB5100[[#This Row],[Is (A)]]*SchottkyDiodeSB5100[[#This Row],[Is * R1(V)]]</f>
        <v>6.0299050140000005E-2</v>
      </c>
      <c r="K39" s="14">
        <f>2*(SchottkyDiodeSB5100[[#This Row],[Is * R1(V)]]-SchottkyDiodeSB5100[[#This Row],[Vs - VD1 (V)]])/(SchottkyDiodeSB5100[[#This Row],[Is * R1(V)]]+SchottkyDiodeSB5100[[#This Row],[Vs - VD1 (V)]])</f>
        <v>-2.51362378099723E-3</v>
      </c>
      <c r="L39" s="17">
        <f>SchottkyDiodeSB5100[[#This Row],[Is from Kungber (A)]]/SchottkyDiodeSB5100[[#This Row],[Is (A)]]-1</f>
        <v>9.5072175211547982E-2</v>
      </c>
    </row>
    <row r="40" spans="1:12" x14ac:dyDescent="0.25">
      <c r="A40" s="11">
        <v>3.5</v>
      </c>
      <c r="B40" s="12">
        <v>2.0719999999999999E-2</v>
      </c>
      <c r="C40" s="12">
        <v>2.1999999999999999E-2</v>
      </c>
      <c r="D40" s="11">
        <v>0.39100000000000001</v>
      </c>
      <c r="E40" s="13">
        <v>149.4</v>
      </c>
      <c r="F40" s="15">
        <f>SchottkyDiodeSB5100[[#This Row],[Is (A)]]*SchottkyDiodeSB5100[[#This Row],[R1 (Ω)]]</f>
        <v>3.0955680000000001</v>
      </c>
      <c r="G40" s="15">
        <f>SchottkyDiodeSB5100[[#This Row],[Vs (V)]]-SchottkyDiodeSB5100[[#This Row],[VD1 (V)]]</f>
        <v>3.109</v>
      </c>
      <c r="H40" s="16">
        <f>SchottkyDiodeSB5100[[#This Row],[Vs (V)]]*SchottkyDiodeSB5100[[#This Row],[Is (A)]]</f>
        <v>7.2520000000000001E-2</v>
      </c>
      <c r="I40" s="16">
        <f>SchottkyDiodeSB5100[[#This Row],[Is (A)]]*SchottkyDiodeSB5100[[#This Row],[VD1 (V)]]</f>
        <v>8.1015199999999992E-3</v>
      </c>
      <c r="J40" s="16">
        <f>SchottkyDiodeSB5100[[#This Row],[Is (A)]]*SchottkyDiodeSB5100[[#This Row],[Is * R1(V)]]</f>
        <v>6.4140168959999994E-2</v>
      </c>
      <c r="K40" s="14">
        <f>2*(SchottkyDiodeSB5100[[#This Row],[Is * R1(V)]]-SchottkyDiodeSB5100[[#This Row],[Vs - VD1 (V)]])/(SchottkyDiodeSB5100[[#This Row],[Is * R1(V)]]+SchottkyDiodeSB5100[[#This Row],[Vs - VD1 (V)]])</f>
        <v>-4.3297132048516155E-3</v>
      </c>
      <c r="L40" s="17">
        <f>SchottkyDiodeSB5100[[#This Row],[Is from Kungber (A)]]/SchottkyDiodeSB5100[[#This Row],[Is (A)]]-1</f>
        <v>6.1776061776061875E-2</v>
      </c>
    </row>
    <row r="41" spans="1:12" x14ac:dyDescent="0.25">
      <c r="A41" s="11">
        <v>3.6</v>
      </c>
      <c r="B41" s="12">
        <v>2.1430000000000001E-2</v>
      </c>
      <c r="C41" s="12">
        <v>2.1999999999999999E-2</v>
      </c>
      <c r="D41" s="11">
        <v>0.39300000000000002</v>
      </c>
      <c r="E41" s="13">
        <v>149.4</v>
      </c>
      <c r="F41" s="15">
        <f>SchottkyDiodeSB5100[[#This Row],[Is (A)]]*SchottkyDiodeSB5100[[#This Row],[R1 (Ω)]]</f>
        <v>3.2016420000000001</v>
      </c>
      <c r="G41" s="15">
        <f>SchottkyDiodeSB5100[[#This Row],[Vs (V)]]-SchottkyDiodeSB5100[[#This Row],[VD1 (V)]]</f>
        <v>3.2069999999999999</v>
      </c>
      <c r="H41" s="16">
        <f>SchottkyDiodeSB5100[[#This Row],[Vs (V)]]*SchottkyDiodeSB5100[[#This Row],[Is (A)]]</f>
        <v>7.7148000000000008E-2</v>
      </c>
      <c r="I41" s="16">
        <f>SchottkyDiodeSB5100[[#This Row],[Is (A)]]*SchottkyDiodeSB5100[[#This Row],[VD1 (V)]]</f>
        <v>8.4219900000000007E-3</v>
      </c>
      <c r="J41" s="16">
        <f>SchottkyDiodeSB5100[[#This Row],[Is (A)]]*SchottkyDiodeSB5100[[#This Row],[Is * R1(V)]]</f>
        <v>6.8611188060000008E-2</v>
      </c>
      <c r="K41" s="14">
        <f>2*(SchottkyDiodeSB5100[[#This Row],[Is * R1(V)]]-SchottkyDiodeSB5100[[#This Row],[Vs - VD1 (V)]])/(SchottkyDiodeSB5100[[#This Row],[Is * R1(V)]]+SchottkyDiodeSB5100[[#This Row],[Vs - VD1 (V)]])</f>
        <v>-1.6721171193521971E-3</v>
      </c>
      <c r="L41" s="17">
        <f>SchottkyDiodeSB5100[[#This Row],[Is from Kungber (A)]]/SchottkyDiodeSB5100[[#This Row],[Is (A)]]-1</f>
        <v>2.6598226784880996E-2</v>
      </c>
    </row>
    <row r="42" spans="1:12" x14ac:dyDescent="0.25">
      <c r="A42" s="11">
        <v>3.7</v>
      </c>
      <c r="B42" s="12">
        <v>2.198E-2</v>
      </c>
      <c r="C42" s="12">
        <v>2.3E-2</v>
      </c>
      <c r="D42" s="11">
        <v>0.39300000000000002</v>
      </c>
      <c r="E42" s="13">
        <v>149.4</v>
      </c>
      <c r="F42" s="15">
        <f>SchottkyDiodeSB5100[[#This Row],[Is (A)]]*SchottkyDiodeSB5100[[#This Row],[R1 (Ω)]]</f>
        <v>3.2838120000000002</v>
      </c>
      <c r="G42" s="15">
        <f>SchottkyDiodeSB5100[[#This Row],[Vs (V)]]-SchottkyDiodeSB5100[[#This Row],[VD1 (V)]]</f>
        <v>3.3070000000000004</v>
      </c>
      <c r="H42" s="16">
        <f>SchottkyDiodeSB5100[[#This Row],[Vs (V)]]*SchottkyDiodeSB5100[[#This Row],[Is (A)]]</f>
        <v>8.1325999999999996E-2</v>
      </c>
      <c r="I42" s="16">
        <f>SchottkyDiodeSB5100[[#This Row],[Is (A)]]*SchottkyDiodeSB5100[[#This Row],[VD1 (V)]]</f>
        <v>8.6381400000000007E-3</v>
      </c>
      <c r="J42" s="16">
        <f>SchottkyDiodeSB5100[[#This Row],[Is (A)]]*SchottkyDiodeSB5100[[#This Row],[Is * R1(V)]]</f>
        <v>7.2178187759999998E-2</v>
      </c>
      <c r="K42" s="14">
        <f>2*(SchottkyDiodeSB5100[[#This Row],[Is * R1(V)]]-SchottkyDiodeSB5100[[#This Row],[Vs - VD1 (V)]])/(SchottkyDiodeSB5100[[#This Row],[Is * R1(V)]]+SchottkyDiodeSB5100[[#This Row],[Vs - VD1 (V)]])</f>
        <v>-7.0364622750581285E-3</v>
      </c>
      <c r="L42" s="17">
        <f>SchottkyDiodeSB5100[[#This Row],[Is from Kungber (A)]]/SchottkyDiodeSB5100[[#This Row],[Is (A)]]-1</f>
        <v>4.6405823475887065E-2</v>
      </c>
    </row>
    <row r="43" spans="1:12" x14ac:dyDescent="0.25">
      <c r="A43" s="11">
        <v>3.8</v>
      </c>
      <c r="B43" s="12">
        <v>2.2720000000000001E-2</v>
      </c>
      <c r="C43" s="12">
        <v>2.3E-2</v>
      </c>
      <c r="D43" s="11">
        <v>0.39400000000000002</v>
      </c>
      <c r="E43" s="13">
        <v>149.4</v>
      </c>
      <c r="F43" s="15">
        <f>SchottkyDiodeSB5100[[#This Row],[Is (A)]]*SchottkyDiodeSB5100[[#This Row],[R1 (Ω)]]</f>
        <v>3.3943680000000001</v>
      </c>
      <c r="G43" s="15">
        <f>SchottkyDiodeSB5100[[#This Row],[Vs (V)]]-SchottkyDiodeSB5100[[#This Row],[VD1 (V)]]</f>
        <v>3.4059999999999997</v>
      </c>
      <c r="H43" s="16">
        <f>SchottkyDiodeSB5100[[#This Row],[Vs (V)]]*SchottkyDiodeSB5100[[#This Row],[Is (A)]]</f>
        <v>8.6335999999999996E-2</v>
      </c>
      <c r="I43" s="16">
        <f>SchottkyDiodeSB5100[[#This Row],[Is (A)]]*SchottkyDiodeSB5100[[#This Row],[VD1 (V)]]</f>
        <v>8.9516800000000001E-3</v>
      </c>
      <c r="J43" s="16">
        <f>SchottkyDiodeSB5100[[#This Row],[Is (A)]]*SchottkyDiodeSB5100[[#This Row],[Is * R1(V)]]</f>
        <v>7.7120040959999997E-2</v>
      </c>
      <c r="K43" s="14">
        <f>2*(SchottkyDiodeSB5100[[#This Row],[Is * R1(V)]]-SchottkyDiodeSB5100[[#This Row],[Vs - VD1 (V)]])/(SchottkyDiodeSB5100[[#This Row],[Is * R1(V)]]+SchottkyDiodeSB5100[[#This Row],[Vs - VD1 (V)]])</f>
        <v>-3.4209913345864939E-3</v>
      </c>
      <c r="L43" s="17">
        <f>SchottkyDiodeSB5100[[#This Row],[Is from Kungber (A)]]/SchottkyDiodeSB5100[[#This Row],[Is (A)]]-1</f>
        <v>1.2323943661971759E-2</v>
      </c>
    </row>
    <row r="44" spans="1:12" x14ac:dyDescent="0.25">
      <c r="A44" s="11">
        <v>3.9</v>
      </c>
      <c r="B44" s="12">
        <v>2.3359999999999999E-2</v>
      </c>
      <c r="C44" s="12">
        <v>2.4E-2</v>
      </c>
      <c r="D44" s="11">
        <v>0.39500000000000002</v>
      </c>
      <c r="E44" s="13">
        <v>149.4</v>
      </c>
      <c r="F44" s="15">
        <f>SchottkyDiodeSB5100[[#This Row],[Is (A)]]*SchottkyDiodeSB5100[[#This Row],[R1 (Ω)]]</f>
        <v>3.4899839999999998</v>
      </c>
      <c r="G44" s="15">
        <f>SchottkyDiodeSB5100[[#This Row],[Vs (V)]]-SchottkyDiodeSB5100[[#This Row],[VD1 (V)]]</f>
        <v>3.5049999999999999</v>
      </c>
      <c r="H44" s="16">
        <f>SchottkyDiodeSB5100[[#This Row],[Vs (V)]]*SchottkyDiodeSB5100[[#This Row],[Is (A)]]</f>
        <v>9.1103999999999991E-2</v>
      </c>
      <c r="I44" s="16">
        <f>SchottkyDiodeSB5100[[#This Row],[Is (A)]]*SchottkyDiodeSB5100[[#This Row],[VD1 (V)]]</f>
        <v>9.2271999999999996E-3</v>
      </c>
      <c r="J44" s="16">
        <f>SchottkyDiodeSB5100[[#This Row],[Is (A)]]*SchottkyDiodeSB5100[[#This Row],[Is * R1(V)]]</f>
        <v>8.1526026239999994E-2</v>
      </c>
      <c r="K44" s="14">
        <f>2*(SchottkyDiodeSB5100[[#This Row],[Is * R1(V)]]-SchottkyDiodeSB5100[[#This Row],[Vs - VD1 (V)]])/(SchottkyDiodeSB5100[[#This Row],[Is * R1(V)]]+SchottkyDiodeSB5100[[#This Row],[Vs - VD1 (V)]])</f>
        <v>-4.2933622149815189E-3</v>
      </c>
      <c r="L44" s="17">
        <f>SchottkyDiodeSB5100[[#This Row],[Is from Kungber (A)]]/SchottkyDiodeSB5100[[#This Row],[Is (A)]]-1</f>
        <v>2.7397260273972712E-2</v>
      </c>
    </row>
    <row r="45" spans="1:12" x14ac:dyDescent="0.25">
      <c r="A45" s="11">
        <v>4</v>
      </c>
      <c r="B45" s="12">
        <v>2.4029999999999999E-2</v>
      </c>
      <c r="C45" s="12">
        <v>2.5999999999999999E-2</v>
      </c>
      <c r="D45" s="11">
        <v>0.39600000000000002</v>
      </c>
      <c r="E45" s="13">
        <v>149.4</v>
      </c>
      <c r="F45" s="15">
        <f>SchottkyDiodeSB5100[[#This Row],[Is (A)]]*SchottkyDiodeSB5100[[#This Row],[R1 (Ω)]]</f>
        <v>3.5900820000000002</v>
      </c>
      <c r="G45" s="15">
        <f>SchottkyDiodeSB5100[[#This Row],[Vs (V)]]-SchottkyDiodeSB5100[[#This Row],[VD1 (V)]]</f>
        <v>3.6040000000000001</v>
      </c>
      <c r="H45" s="16">
        <f>SchottkyDiodeSB5100[[#This Row],[Vs (V)]]*SchottkyDiodeSB5100[[#This Row],[Is (A)]]</f>
        <v>9.6119999999999997E-2</v>
      </c>
      <c r="I45" s="16">
        <f>SchottkyDiodeSB5100[[#This Row],[Is (A)]]*SchottkyDiodeSB5100[[#This Row],[VD1 (V)]]</f>
        <v>9.5158800000000009E-3</v>
      </c>
      <c r="J45" s="16">
        <f>SchottkyDiodeSB5100[[#This Row],[Is (A)]]*SchottkyDiodeSB5100[[#This Row],[Is * R1(V)]]</f>
        <v>8.6269670460000003E-2</v>
      </c>
      <c r="K45" s="14">
        <f>2*(SchottkyDiodeSB5100[[#This Row],[Is * R1(V)]]-SchottkyDiodeSB5100[[#This Row],[Vs - VD1 (V)]])/(SchottkyDiodeSB5100[[#This Row],[Is * R1(V)]]+SchottkyDiodeSB5100[[#This Row],[Vs - VD1 (V)]])</f>
        <v>-3.8692914537254023E-3</v>
      </c>
      <c r="L45" s="17">
        <f>SchottkyDiodeSB5100[[#This Row],[Is from Kungber (A)]]/SchottkyDiodeSB5100[[#This Row],[Is (A)]]-1</f>
        <v>8.198085726175619E-2</v>
      </c>
    </row>
    <row r="46" spans="1:12" x14ac:dyDescent="0.25">
      <c r="A46" s="11">
        <v>15.26</v>
      </c>
      <c r="B46" s="12">
        <v>0.10050000000000001</v>
      </c>
      <c r="C46" s="12">
        <v>0.10299999999999999</v>
      </c>
      <c r="D46" s="11">
        <v>0.44900000000000001</v>
      </c>
      <c r="E46" s="13">
        <v>149.4</v>
      </c>
      <c r="F46" s="15">
        <f>SchottkyDiodeSB5100[[#This Row],[Is (A)]]*SchottkyDiodeSB5100[[#This Row],[R1 (Ω)]]</f>
        <v>15.014700000000001</v>
      </c>
      <c r="G46" s="15">
        <f>SchottkyDiodeSB5100[[#This Row],[Vs (V)]]-SchottkyDiodeSB5100[[#This Row],[VD1 (V)]]</f>
        <v>14.811</v>
      </c>
      <c r="H46" s="16">
        <f>SchottkyDiodeSB5100[[#This Row],[Vs (V)]]*SchottkyDiodeSB5100[[#This Row],[Is (A)]]</f>
        <v>1.53363</v>
      </c>
      <c r="I46" s="16">
        <f>SchottkyDiodeSB5100[[#This Row],[Is (A)]]*SchottkyDiodeSB5100[[#This Row],[VD1 (V)]]</f>
        <v>4.5124500000000005E-2</v>
      </c>
      <c r="J46" s="16">
        <f>SchottkyDiodeSB5100[[#This Row],[Is (A)]]*SchottkyDiodeSB5100[[#This Row],[Is * R1(V)]]</f>
        <v>1.5089773500000003</v>
      </c>
      <c r="K46" s="14">
        <f>2*(SchottkyDiodeSB5100[[#This Row],[Is * R1(V)]]-SchottkyDiodeSB5100[[#This Row],[Vs - VD1 (V)]])/(SchottkyDiodeSB5100[[#This Row],[Is * R1(V)]]+SchottkyDiodeSB5100[[#This Row],[Vs - VD1 (V)]])</f>
        <v>1.3659360886752117E-2</v>
      </c>
      <c r="L46" s="17">
        <f>SchottkyDiodeSB5100[[#This Row],[Is from Kungber (A)]]/SchottkyDiodeSB5100[[#This Row],[Is (A)]]-1</f>
        <v>2.4875621890547039E-2</v>
      </c>
    </row>
  </sheetData>
  <mergeCells count="1">
    <mergeCell ref="A1:I3"/>
  </mergeCells>
  <phoneticPr fontId="4" type="noConversion"/>
  <pageMargins left="0.7" right="0.7" top="0.75" bottom="0.75" header="0.3" footer="0.3"/>
  <pageSetup orientation="portrait" horizontalDpi="4294967293" verticalDpi="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Red LED THT</vt:lpstr>
      <vt:lpstr>PC817X</vt:lpstr>
      <vt:lpstr>MJE3055T</vt:lpstr>
      <vt:lpstr>Schottky Diode SB5100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Rafael Munoz JR</dc:creator>
  <cp:lastModifiedBy>Juan Rafael Munoz JR</cp:lastModifiedBy>
  <dcterms:created xsi:type="dcterms:W3CDTF">2023-01-11T14:52:03Z</dcterms:created>
  <dcterms:modified xsi:type="dcterms:W3CDTF">2023-01-29T04:26:19Z</dcterms:modified>
</cp:coreProperties>
</file>