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74114\Documents\Research\EHUB-Py_Productive\cases\old\NorthSea_v3\Cost_Networks\"/>
    </mc:Choice>
  </mc:AlternateContent>
  <xr:revisionPtr revIDLastSave="0" documentId="13_ncr:1_{8FB644D6-5464-416C-9428-813C993C1EB6}" xr6:coauthVersionLast="47" xr6:coauthVersionMax="47" xr10:uidLastSave="{00000000-0000-0000-0000-000000000000}"/>
  <bookViews>
    <workbookView xWindow="-120" yWindow="-120" windowWidth="29040" windowHeight="15840" xr2:uid="{3A7FF563-27D4-4AF5-809C-541AF091A2A6}"/>
  </bookViews>
  <sheets>
    <sheet name="ToModel" sheetId="1" r:id="rId1"/>
    <sheet name="H2" sheetId="11" r:id="rId2"/>
    <sheet name="DC" sheetId="9" r:id="rId3"/>
    <sheet name="ACDC" sheetId="10" r:id="rId4"/>
  </sheets>
  <definedNames>
    <definedName name="_xlnm._FilterDatabase" localSheetId="0" hidden="1">ToModel!$A$2:$Q$2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'H2'!$Z$38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E4" i="1"/>
  <c r="F4" i="1"/>
  <c r="G4" i="1"/>
  <c r="E5" i="1"/>
  <c r="F5" i="1"/>
  <c r="G5" i="1"/>
  <c r="F3" i="1"/>
  <c r="G3" i="1"/>
  <c r="E3" i="1"/>
  <c r="R4" i="1"/>
  <c r="R5" i="1"/>
  <c r="H5" i="1" l="1"/>
  <c r="H4" i="1"/>
  <c r="B14" i="11"/>
  <c r="C14" i="11"/>
  <c r="D14" i="11"/>
  <c r="B15" i="11"/>
  <c r="C15" i="11"/>
  <c r="D15" i="11"/>
  <c r="E28" i="11"/>
  <c r="E36" i="11"/>
  <c r="K32" i="11"/>
  <c r="K40" i="11"/>
  <c r="K6" i="1"/>
  <c r="E6" i="11"/>
  <c r="E7" i="11"/>
  <c r="E8" i="11"/>
  <c r="E9" i="11"/>
  <c r="E10" i="11"/>
  <c r="E5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21" i="11"/>
  <c r="H25" i="11"/>
  <c r="K25" i="11" s="1"/>
  <c r="H26" i="11"/>
  <c r="K26" i="11" s="1"/>
  <c r="H27" i="11"/>
  <c r="K27" i="11" s="1"/>
  <c r="H28" i="11"/>
  <c r="K28" i="11" s="1"/>
  <c r="H29" i="11"/>
  <c r="K29" i="11" s="1"/>
  <c r="H30" i="11"/>
  <c r="K30" i="11" s="1"/>
  <c r="H31" i="11"/>
  <c r="K31" i="11" s="1"/>
  <c r="H32" i="11"/>
  <c r="H33" i="11"/>
  <c r="K33" i="11" s="1"/>
  <c r="H34" i="11"/>
  <c r="K34" i="11" s="1"/>
  <c r="H35" i="11"/>
  <c r="K35" i="11" s="1"/>
  <c r="H36" i="11"/>
  <c r="K36" i="11" s="1"/>
  <c r="H37" i="11"/>
  <c r="K37" i="11" s="1"/>
  <c r="H38" i="11"/>
  <c r="K38" i="11" s="1"/>
  <c r="H39" i="11"/>
  <c r="K39" i="11" s="1"/>
  <c r="H40" i="11"/>
  <c r="B25" i="11"/>
  <c r="E25" i="11" s="1"/>
  <c r="B26" i="11"/>
  <c r="E26" i="11" s="1"/>
  <c r="B27" i="11"/>
  <c r="E27" i="11" s="1"/>
  <c r="B28" i="11"/>
  <c r="B29" i="11"/>
  <c r="E29" i="11" s="1"/>
  <c r="B30" i="11"/>
  <c r="E30" i="11" s="1"/>
  <c r="B31" i="11"/>
  <c r="E31" i="11" s="1"/>
  <c r="B32" i="11"/>
  <c r="E32" i="11" s="1"/>
  <c r="B33" i="11"/>
  <c r="E33" i="11" s="1"/>
  <c r="B34" i="11"/>
  <c r="E34" i="11" s="1"/>
  <c r="B35" i="11"/>
  <c r="E35" i="11" s="1"/>
  <c r="B36" i="11"/>
  <c r="B37" i="11"/>
  <c r="E37" i="11" s="1"/>
  <c r="B38" i="11"/>
  <c r="E38" i="11" s="1"/>
  <c r="B39" i="11"/>
  <c r="E39" i="11" s="1"/>
  <c r="B40" i="11"/>
  <c r="E40" i="11" s="1"/>
  <c r="H24" i="11" l="1"/>
  <c r="K24" i="11" s="1"/>
  <c r="H23" i="11"/>
  <c r="K23" i="11" s="1"/>
  <c r="H22" i="11"/>
  <c r="K22" i="11" s="1"/>
  <c r="H21" i="11"/>
  <c r="K21" i="11" s="1"/>
  <c r="B22" i="11"/>
  <c r="E22" i="11" s="1"/>
  <c r="B23" i="11"/>
  <c r="E23" i="11" s="1"/>
  <c r="B24" i="11"/>
  <c r="E24" i="11" s="1"/>
  <c r="B21" i="11"/>
  <c r="E21" i="11" s="1"/>
  <c r="B5" i="1" l="1"/>
  <c r="C5" i="1"/>
  <c r="H3" i="1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T8" i="9"/>
  <c r="U8" i="9"/>
  <c r="T9" i="9"/>
  <c r="U9" i="9"/>
  <c r="T10" i="9"/>
  <c r="U10" i="9"/>
  <c r="T11" i="9"/>
  <c r="U11" i="9"/>
  <c r="T12" i="9"/>
  <c r="U12" i="9"/>
  <c r="T13" i="9"/>
  <c r="U13" i="9"/>
  <c r="T14" i="9"/>
  <c r="U14" i="9"/>
  <c r="T15" i="9"/>
  <c r="U15" i="9"/>
  <c r="T16" i="9"/>
  <c r="U16" i="9"/>
  <c r="T17" i="9"/>
  <c r="U17" i="9"/>
  <c r="T18" i="9"/>
  <c r="U18" i="9"/>
  <c r="T19" i="9"/>
  <c r="U19" i="9"/>
  <c r="T7" i="9"/>
  <c r="U7" i="9"/>
  <c r="M10" i="9"/>
  <c r="M13" i="9"/>
  <c r="P13" i="9" s="1"/>
  <c r="M18" i="9"/>
  <c r="L19" i="9"/>
  <c r="K19" i="9"/>
  <c r="L18" i="9"/>
  <c r="K18" i="9"/>
  <c r="L17" i="9"/>
  <c r="K17" i="9"/>
  <c r="L16" i="9"/>
  <c r="K16" i="9"/>
  <c r="L15" i="9"/>
  <c r="K15" i="9"/>
  <c r="M15" i="9" s="1"/>
  <c r="L14" i="9"/>
  <c r="K14" i="9"/>
  <c r="M14" i="9" s="1"/>
  <c r="L13" i="9"/>
  <c r="K13" i="9"/>
  <c r="O13" i="9" s="1"/>
  <c r="L12" i="9"/>
  <c r="K12" i="9"/>
  <c r="L11" i="9"/>
  <c r="K11" i="9"/>
  <c r="L10" i="9"/>
  <c r="K10" i="9"/>
  <c r="L9" i="9"/>
  <c r="K9" i="9"/>
  <c r="O9" i="9" s="1"/>
  <c r="L8" i="9"/>
  <c r="K8" i="9"/>
  <c r="L7" i="9"/>
  <c r="K7" i="9"/>
  <c r="P10" i="9" l="1"/>
  <c r="O7" i="9"/>
  <c r="R7" i="9" s="1"/>
  <c r="O15" i="9"/>
  <c r="N15" i="9" s="1"/>
  <c r="Q15" i="9" s="1"/>
  <c r="M7" i="9"/>
  <c r="P7" i="9" s="1"/>
  <c r="M12" i="9"/>
  <c r="P12" i="9" s="1"/>
  <c r="M19" i="9"/>
  <c r="P19" i="9" s="1"/>
  <c r="M11" i="9"/>
  <c r="P11" i="9" s="1"/>
  <c r="M17" i="9"/>
  <c r="P17" i="9" s="1"/>
  <c r="M9" i="9"/>
  <c r="P9" i="9" s="1"/>
  <c r="P18" i="9"/>
  <c r="M16" i="9"/>
  <c r="P16" i="9" s="1"/>
  <c r="M8" i="9"/>
  <c r="P8" i="9" s="1"/>
  <c r="P14" i="9"/>
  <c r="R9" i="9"/>
  <c r="R13" i="9"/>
  <c r="N13" i="9"/>
  <c r="Q13" i="9" s="1"/>
  <c r="R15" i="9"/>
  <c r="O17" i="9"/>
  <c r="O11" i="9"/>
  <c r="O19" i="9"/>
  <c r="P15" i="9"/>
  <c r="O10" i="9"/>
  <c r="N10" i="9" s="1"/>
  <c r="Q10" i="9" s="1"/>
  <c r="O14" i="9"/>
  <c r="R14" i="9" s="1"/>
  <c r="O12" i="9"/>
  <c r="O8" i="9"/>
  <c r="O18" i="9"/>
  <c r="R18" i="9" s="1"/>
  <c r="O16" i="9"/>
  <c r="R10" i="9" l="1"/>
  <c r="N9" i="9"/>
  <c r="Q9" i="9" s="1"/>
  <c r="N8" i="9"/>
  <c r="Q8" i="9" s="1"/>
  <c r="R8" i="9"/>
  <c r="N11" i="9"/>
  <c r="Q11" i="9" s="1"/>
  <c r="R11" i="9"/>
  <c r="N19" i="9"/>
  <c r="Q19" i="9" s="1"/>
  <c r="R19" i="9"/>
  <c r="N12" i="9"/>
  <c r="Q12" i="9" s="1"/>
  <c r="R12" i="9"/>
  <c r="N17" i="9"/>
  <c r="Q17" i="9" s="1"/>
  <c r="R17" i="9"/>
  <c r="N16" i="9"/>
  <c r="Q16" i="9" s="1"/>
  <c r="R16" i="9"/>
  <c r="N18" i="9"/>
  <c r="Q18" i="9" s="1"/>
  <c r="N14" i="9"/>
  <c r="Q14" i="9" s="1"/>
  <c r="N7" i="9"/>
  <c r="Q7" i="9" s="1"/>
</calcChain>
</file>

<file path=xl/sharedStrings.xml><?xml version="1.0" encoding="utf-8"?>
<sst xmlns="http://schemas.openxmlformats.org/spreadsheetml/2006/main" count="179" uniqueCount="109">
  <si>
    <t>Type</t>
  </si>
  <si>
    <t>new</t>
  </si>
  <si>
    <t>interest rate</t>
  </si>
  <si>
    <t>Lifetime</t>
  </si>
  <si>
    <t>OPEX Fixed</t>
  </si>
  <si>
    <t>OPEX Variable</t>
  </si>
  <si>
    <t>Source</t>
  </si>
  <si>
    <t>Year</t>
  </si>
  <si>
    <t>years</t>
  </si>
  <si>
    <t>EUR/MWh_e</t>
  </si>
  <si>
    <t>F</t>
  </si>
  <si>
    <t>km</t>
  </si>
  <si>
    <t>EUR/MW</t>
  </si>
  <si>
    <t>annualization factor</t>
  </si>
  <si>
    <t>% of annual investment</t>
  </si>
  <si>
    <t>Note</t>
  </si>
  <si>
    <t>MW</t>
  </si>
  <si>
    <t>EUR/MW/km</t>
  </si>
  <si>
    <t>Network</t>
  </si>
  <si>
    <t>Investment Cost gamma1</t>
  </si>
  <si>
    <t>Investment Cost gamma2</t>
  </si>
  <si>
    <t>Investment Cost gamma3</t>
  </si>
  <si>
    <t>l=</t>
  </si>
  <si>
    <t>p=</t>
  </si>
  <si>
    <t>Review of investment model cost parameters for VSC HVDC transmission infrastructure</t>
  </si>
  <si>
    <t>total</t>
  </si>
  <si>
    <t>/km</t>
  </si>
  <si>
    <t>B_lp</t>
  </si>
  <si>
    <t>B_l</t>
  </si>
  <si>
    <t>B_0</t>
  </si>
  <si>
    <t>N_p</t>
  </si>
  <si>
    <t>N_0</t>
  </si>
  <si>
    <t>S_p</t>
  </si>
  <si>
    <t>S_0</t>
  </si>
  <si>
    <t>Pj</t>
  </si>
  <si>
    <t>First factor</t>
  </si>
  <si>
    <t>Second factor</t>
  </si>
  <si>
    <t>cost Branch</t>
  </si>
  <si>
    <t>cost Node</t>
  </si>
  <si>
    <t>total (mio Euro)</t>
  </si>
  <si>
    <t>Realize Grid</t>
  </si>
  <si>
    <t>Wind Speed</t>
  </si>
  <si>
    <t>ENTSOE-E</t>
  </si>
  <si>
    <t>Ergun et al</t>
  </si>
  <si>
    <t>ETYS</t>
  </si>
  <si>
    <t>NSTG</t>
  </si>
  <si>
    <t>NSOG</t>
  </si>
  <si>
    <t>Imperial C</t>
  </si>
  <si>
    <t>NorthSeaGrid</t>
  </si>
  <si>
    <t>OffshoreDC</t>
  </si>
  <si>
    <t>Adariaga et al</t>
  </si>
  <si>
    <t>Torbaghan</t>
  </si>
  <si>
    <t>mio EUR</t>
  </si>
  <si>
    <t>GW</t>
  </si>
  <si>
    <t>mioEUR/GW/km</t>
  </si>
  <si>
    <t>mioEUR/GW</t>
  </si>
  <si>
    <t>https://www.sciencedirect.com/science/article/pii/S0378779617302572</t>
  </si>
  <si>
    <t>https://www.sciencedirect.com/science/article/pii/S0306261918312790#b0440</t>
  </si>
  <si>
    <t>electricityAC</t>
  </si>
  <si>
    <t>electricityDC</t>
  </si>
  <si>
    <t>loss</t>
  </si>
  <si>
    <t>%/km</t>
  </si>
  <si>
    <t>electricityDC_int</t>
  </si>
  <si>
    <t>rated power</t>
  </si>
  <si>
    <t>https://ehb.eu/page/publications</t>
  </si>
  <si>
    <t>European Hydrogen Backbone, April 2022</t>
  </si>
  <si>
    <t>Capacity</t>
  </si>
  <si>
    <t>mio EUR/km</t>
  </si>
  <si>
    <t>repurposed</t>
  </si>
  <si>
    <t>factors</t>
  </si>
  <si>
    <t>gamma1</t>
  </si>
  <si>
    <t>gamma2</t>
  </si>
  <si>
    <t>gamma3</t>
  </si>
  <si>
    <t>Size</t>
  </si>
  <si>
    <t>Distance</t>
  </si>
  <si>
    <t>Cost</t>
  </si>
  <si>
    <t>S*D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</si>
  <si>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</si>
  <si>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</si>
  <si>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</si>
  <si>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</si>
  <si>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</si>
  <si>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</si>
  <si>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</si>
  <si>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</si>
  <si>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</si>
  <si>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</si>
  <si>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</si>
  <si>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</si>
  <si>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</si>
  <si>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</si>
  <si>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</si>
  <si>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</si>
  <si>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</si>
  <si>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</si>
  <si>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</si>
  <si>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</si>
  <si>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</si>
  <si>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</si>
  <si>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</si>
  <si>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</si>
  <si>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</si>
  <si>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</si>
  <si>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</si>
  <si>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</si>
  <si>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</si>
  <si>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gamma1 * D + gamma2</t>
  </si>
  <si>
    <t>hydrogenPipeline_int</t>
  </si>
  <si>
    <t>Inflation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</si>
</sst>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-* #,##0.00\ _F_t_-;\-* #,##0.00\ _F_t_-;_-* &quot;-&quot;??\ _F_t_-;_-@_-"/>
    <numFmt numFmtId="165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0" applyNumberFormat="0" applyBorder="0" applyProtection="0">
      <alignment horizontal="left"/>
    </xf>
    <xf numFmtId="0" fontId="4" fillId="0" borderId="0"/>
    <xf numFmtId="0" fontId="5" fillId="0" borderId="0">
      <alignment vertical="center" wrapText="1"/>
    </xf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4" fontId="0" fillId="0" borderId="0" xfId="0" applyNumberFormat="1"/>
    <xf numFmtId="44" fontId="0" fillId="0" borderId="0" xfId="6" applyFont="1"/>
    <xf numFmtId="43" fontId="0" fillId="0" borderId="0" xfId="5" applyFont="1"/>
    <xf numFmtId="10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Continuous"/>
    </xf>
  </cellXfs>
  <cellStyles count="7">
    <cellStyle name="Comma" xfId="5" builtinId="3"/>
    <cellStyle name="Comma 3" xfId="4" xr:uid="{130D7120-2293-4788-93B8-C8A24435CE09}"/>
    <cellStyle name="Currency" xfId="6" builtinId="4"/>
    <cellStyle name="Normal" xfId="0" builtinId="0"/>
    <cellStyle name="Normal 4" xfId="3" xr:uid="{4602A863-2D89-4649-A621-76184ECB91DE}"/>
    <cellStyle name="Standard_Data provided by OT3" xfId="2" xr:uid="{33DF283E-2552-47A0-AC48-E01DBA05B3D9}"/>
    <cellStyle name="Style 22" xfId="1" xr:uid="{569CA179-60FD-4E5D-9285-1C54815089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'H2'!$H$21:$H$32</c:f>
              <c:numCache>
                <c:formatCode>General</c:formatCode>
                <c:ptCount val="12"/>
                <c:pt idx="0">
                  <c:v>650000</c:v>
                </c:pt>
                <c:pt idx="1">
                  <c:v>1300000</c:v>
                </c:pt>
                <c:pt idx="2">
                  <c:v>1950000</c:v>
                </c:pt>
                <c:pt idx="3">
                  <c:v>2600000</c:v>
                </c:pt>
                <c:pt idx="4">
                  <c:v>3250000</c:v>
                </c:pt>
                <c:pt idx="5">
                  <c:v>3900000</c:v>
                </c:pt>
                <c:pt idx="6">
                  <c:v>4550000</c:v>
                </c:pt>
                <c:pt idx="7">
                  <c:v>5200000</c:v>
                </c:pt>
                <c:pt idx="8">
                  <c:v>5850000</c:v>
                </c:pt>
                <c:pt idx="9">
                  <c:v>6500000</c:v>
                </c:pt>
                <c:pt idx="10">
                  <c:v>7150000</c:v>
                </c:pt>
                <c:pt idx="11">
                  <c:v>7800000</c:v>
                </c:pt>
              </c:numCache>
            </c:numRef>
          </c:xVal>
          <c:yVal>
            <c:numRef>
              <c:f>'H2'!$AA$45:$AA$56</c:f>
              <c:numCache>
                <c:formatCode>General</c:formatCode>
                <c:ptCount val="12"/>
                <c:pt idx="0">
                  <c:v>29.22364559950131</c:v>
                </c:pt>
                <c:pt idx="1">
                  <c:v>3.6942735535864131</c:v>
                </c:pt>
                <c:pt idx="2">
                  <c:v>-21.835098492328484</c:v>
                </c:pt>
                <c:pt idx="3">
                  <c:v>-47.364470538243381</c:v>
                </c:pt>
                <c:pt idx="4">
                  <c:v>-51.840362021220358</c:v>
                </c:pt>
                <c:pt idx="5">
                  <c:v>3.1067111621796357</c:v>
                </c:pt>
                <c:pt idx="6">
                  <c:v>58.053784345579629</c:v>
                </c:pt>
                <c:pt idx="7">
                  <c:v>113.00085752897962</c:v>
                </c:pt>
                <c:pt idx="8">
                  <c:v>-113.54807607815115</c:v>
                </c:pt>
                <c:pt idx="9">
                  <c:v>-52.18924888238945</c:v>
                </c:pt>
                <c:pt idx="10">
                  <c:v>9.1695783133722557</c:v>
                </c:pt>
                <c:pt idx="11">
                  <c:v>70.528405509133961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D-40ED-A9E1-3FA4D881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94288"/>
        <c:axId val="752199536"/>
      </c:scatterChart>
      <c:valAx>
        <c:axId val="75219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99536"/>
        <c:crosses val="autoZero"/>
        <c:crossBetween val="midCat"/>
      </c:valAx>
      <c:valAx>
        <c:axId val="75219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94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'H2'!$I$21:$I$32</c:f>
              <c:numCache>
                <c:formatCode>General</c:formatCode>
                <c:ptCount val="12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</c:numCache>
            </c:numRef>
          </c:xVal>
          <c:yVal>
            <c:numRef>
              <c:f>'H2'!$AA$45:$AA$56</c:f>
              <c:numCache>
                <c:formatCode>General</c:formatCode>
                <c:ptCount val="12"/>
                <c:pt idx="0">
                  <c:v>29.22364559950131</c:v>
                </c:pt>
                <c:pt idx="1">
                  <c:v>3.6942735535864131</c:v>
                </c:pt>
                <c:pt idx="2">
                  <c:v>-21.835098492328484</c:v>
                </c:pt>
                <c:pt idx="3">
                  <c:v>-47.364470538243381</c:v>
                </c:pt>
                <c:pt idx="4">
                  <c:v>-51.840362021220358</c:v>
                </c:pt>
                <c:pt idx="5">
                  <c:v>3.1067111621796357</c:v>
                </c:pt>
                <c:pt idx="6">
                  <c:v>58.053784345579629</c:v>
                </c:pt>
                <c:pt idx="7">
                  <c:v>113.00085752897962</c:v>
                </c:pt>
                <c:pt idx="8">
                  <c:v>-113.54807607815115</c:v>
                </c:pt>
                <c:pt idx="9">
                  <c:v>-52.18924888238945</c:v>
                </c:pt>
                <c:pt idx="10">
                  <c:v>9.1695783133722557</c:v>
                </c:pt>
                <c:pt idx="11">
                  <c:v>70.528405509133961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1-4CA8-990C-5D3F3E76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51080"/>
        <c:axId val="829652720"/>
      </c:scatterChart>
      <c:valAx>
        <c:axId val="82965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52720"/>
        <c:crosses val="autoZero"/>
        <c:crossBetween val="midCat"/>
      </c:valAx>
      <c:valAx>
        <c:axId val="82965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51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'H2'!$I$21:$I$32</c:f>
              <c:numCache>
                <c:formatCode>General</c:formatCode>
                <c:ptCount val="12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</c:numCache>
            </c:numRef>
          </c:xVal>
          <c:yVal>
            <c:numRef>
              <c:f>'H2'!$AA$45:$AA$56</c:f>
              <c:numCache>
                <c:formatCode>General</c:formatCode>
                <c:ptCount val="12"/>
                <c:pt idx="0">
                  <c:v>29.22364559950131</c:v>
                </c:pt>
                <c:pt idx="1">
                  <c:v>3.6942735535864131</c:v>
                </c:pt>
                <c:pt idx="2">
                  <c:v>-21.835098492328484</c:v>
                </c:pt>
                <c:pt idx="3">
                  <c:v>-47.364470538243381</c:v>
                </c:pt>
                <c:pt idx="4">
                  <c:v>-51.840362021220358</c:v>
                </c:pt>
                <c:pt idx="5">
                  <c:v>3.1067111621796357</c:v>
                </c:pt>
                <c:pt idx="6">
                  <c:v>58.053784345579629</c:v>
                </c:pt>
                <c:pt idx="7">
                  <c:v>113.00085752897962</c:v>
                </c:pt>
                <c:pt idx="8">
                  <c:v>-113.54807607815115</c:v>
                </c:pt>
                <c:pt idx="9">
                  <c:v>-52.18924888238945</c:v>
                </c:pt>
                <c:pt idx="10">
                  <c:v>9.1695783133722557</c:v>
                </c:pt>
                <c:pt idx="11">
                  <c:v>70.528405509133961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5-429D-912D-B5267057C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99864"/>
        <c:axId val="752194944"/>
      </c:scatterChart>
      <c:valAx>
        <c:axId val="75219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94944"/>
        <c:crosses val="autoZero"/>
        <c:crossBetween val="midCat"/>
      </c:valAx>
      <c:valAx>
        <c:axId val="75219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199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'H2'!$H$21:$H$32</c:f>
              <c:numCache>
                <c:formatCode>General</c:formatCode>
                <c:ptCount val="12"/>
                <c:pt idx="0">
                  <c:v>650000</c:v>
                </c:pt>
                <c:pt idx="1">
                  <c:v>1300000</c:v>
                </c:pt>
                <c:pt idx="2">
                  <c:v>1950000</c:v>
                </c:pt>
                <c:pt idx="3">
                  <c:v>2600000</c:v>
                </c:pt>
                <c:pt idx="4">
                  <c:v>3250000</c:v>
                </c:pt>
                <c:pt idx="5">
                  <c:v>3900000</c:v>
                </c:pt>
                <c:pt idx="6">
                  <c:v>4550000</c:v>
                </c:pt>
                <c:pt idx="7">
                  <c:v>5200000</c:v>
                </c:pt>
                <c:pt idx="8">
                  <c:v>5850000</c:v>
                </c:pt>
                <c:pt idx="9">
                  <c:v>6500000</c:v>
                </c:pt>
                <c:pt idx="10">
                  <c:v>7150000</c:v>
                </c:pt>
                <c:pt idx="11">
                  <c:v>7800000</c:v>
                </c:pt>
              </c:numCache>
            </c:numRef>
          </c:xVal>
          <c:yVal>
            <c:numRef>
              <c:f>'H2'!$AA$84:$AA$95</c:f>
              <c:numCache>
                <c:formatCode>General</c:formatCode>
                <c:ptCount val="12"/>
                <c:pt idx="0">
                  <c:v>-25.578326776760122</c:v>
                </c:pt>
                <c:pt idx="1">
                  <c:v>-51.056821044944286</c:v>
                </c:pt>
                <c:pt idx="2">
                  <c:v>-76.535315313128422</c:v>
                </c:pt>
                <c:pt idx="3">
                  <c:v>-102.01380958131267</c:v>
                </c:pt>
                <c:pt idx="4">
                  <c:v>54.929374165325186</c:v>
                </c:pt>
                <c:pt idx="5">
                  <c:v>109.89484162221245</c:v>
                </c:pt>
                <c:pt idx="6">
                  <c:v>164.86030907909972</c:v>
                </c:pt>
                <c:pt idx="7">
                  <c:v>219.82577653598702</c:v>
                </c:pt>
                <c:pt idx="8">
                  <c:v>61.35430829752984</c:v>
                </c:pt>
                <c:pt idx="9">
                  <c:v>122.71783190354361</c:v>
                </c:pt>
                <c:pt idx="10">
                  <c:v>184.08135550955737</c:v>
                </c:pt>
                <c:pt idx="11">
                  <c:v>245.44487911557115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5-4D0E-B675-DB658E87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49720"/>
        <c:axId val="786545128"/>
      </c:scatterChart>
      <c:valAx>
        <c:axId val="78654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545128"/>
        <c:crosses val="autoZero"/>
        <c:crossBetween val="midCat"/>
      </c:valAx>
      <c:valAx>
        <c:axId val="786545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549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'H2'!$I$21:$I$32</c:f>
              <c:numCache>
                <c:formatCode>General</c:formatCode>
                <c:ptCount val="12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</c:numCache>
            </c:numRef>
          </c:xVal>
          <c:yVal>
            <c:numRef>
              <c:f>'H2'!$AA$84:$AA$95</c:f>
              <c:numCache>
                <c:formatCode>General</c:formatCode>
                <c:ptCount val="12"/>
                <c:pt idx="0">
                  <c:v>-25.578326776760122</c:v>
                </c:pt>
                <c:pt idx="1">
                  <c:v>-51.056821044944286</c:v>
                </c:pt>
                <c:pt idx="2">
                  <c:v>-76.535315313128422</c:v>
                </c:pt>
                <c:pt idx="3">
                  <c:v>-102.01380958131267</c:v>
                </c:pt>
                <c:pt idx="4">
                  <c:v>54.929374165325186</c:v>
                </c:pt>
                <c:pt idx="5">
                  <c:v>109.89484162221245</c:v>
                </c:pt>
                <c:pt idx="6">
                  <c:v>164.86030907909972</c:v>
                </c:pt>
                <c:pt idx="7">
                  <c:v>219.82577653598702</c:v>
                </c:pt>
                <c:pt idx="8">
                  <c:v>61.35430829752984</c:v>
                </c:pt>
                <c:pt idx="9">
                  <c:v>122.71783190354361</c:v>
                </c:pt>
                <c:pt idx="10">
                  <c:v>184.08135550955737</c:v>
                </c:pt>
                <c:pt idx="11">
                  <c:v>245.44487911557115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F-47E2-BD70-5E696604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46112"/>
        <c:axId val="786553656"/>
      </c:scatterChart>
      <c:valAx>
        <c:axId val="7865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553656"/>
        <c:crosses val="autoZero"/>
        <c:crossBetween val="midCat"/>
      </c:valAx>
      <c:valAx>
        <c:axId val="786553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546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'H2'!$H$21:$H$56</c:f>
              <c:numCache>
                <c:formatCode>General</c:formatCode>
                <c:ptCount val="36"/>
                <c:pt idx="0">
                  <c:v>650000</c:v>
                </c:pt>
                <c:pt idx="1">
                  <c:v>1300000</c:v>
                </c:pt>
                <c:pt idx="2">
                  <c:v>1950000</c:v>
                </c:pt>
                <c:pt idx="3">
                  <c:v>2600000</c:v>
                </c:pt>
                <c:pt idx="4">
                  <c:v>3250000</c:v>
                </c:pt>
                <c:pt idx="5">
                  <c:v>3900000</c:v>
                </c:pt>
                <c:pt idx="6">
                  <c:v>4550000</c:v>
                </c:pt>
                <c:pt idx="7">
                  <c:v>5200000</c:v>
                </c:pt>
                <c:pt idx="8">
                  <c:v>5850000</c:v>
                </c:pt>
                <c:pt idx="9">
                  <c:v>6500000</c:v>
                </c:pt>
                <c:pt idx="10">
                  <c:v>7150000</c:v>
                </c:pt>
                <c:pt idx="11">
                  <c:v>7800000</c:v>
                </c:pt>
                <c:pt idx="12">
                  <c:v>8450000</c:v>
                </c:pt>
                <c:pt idx="13">
                  <c:v>9100000</c:v>
                </c:pt>
                <c:pt idx="14">
                  <c:v>9750000</c:v>
                </c:pt>
                <c:pt idx="15">
                  <c:v>10400000</c:v>
                </c:pt>
                <c:pt idx="16">
                  <c:v>11050000</c:v>
                </c:pt>
                <c:pt idx="17">
                  <c:v>11700000</c:v>
                </c:pt>
                <c:pt idx="18">
                  <c:v>12350000</c:v>
                </c:pt>
                <c:pt idx="19">
                  <c:v>13000000</c:v>
                </c:pt>
              </c:numCache>
            </c:numRef>
          </c:xVal>
          <c:yVal>
            <c:numRef>
              <c:f>'H2'!$AA$84:$AA$119</c:f>
              <c:numCache>
                <c:formatCode>General</c:formatCode>
                <c:ptCount val="36"/>
                <c:pt idx="0">
                  <c:v>-25.578326776760122</c:v>
                </c:pt>
                <c:pt idx="1">
                  <c:v>-51.056821044944286</c:v>
                </c:pt>
                <c:pt idx="2">
                  <c:v>-76.535315313128422</c:v>
                </c:pt>
                <c:pt idx="3">
                  <c:v>-102.01380958131267</c:v>
                </c:pt>
                <c:pt idx="4">
                  <c:v>54.929374165325186</c:v>
                </c:pt>
                <c:pt idx="5">
                  <c:v>109.89484162221245</c:v>
                </c:pt>
                <c:pt idx="6">
                  <c:v>164.86030907909972</c:v>
                </c:pt>
                <c:pt idx="7">
                  <c:v>219.82577653598702</c:v>
                </c:pt>
                <c:pt idx="8">
                  <c:v>61.35430829752984</c:v>
                </c:pt>
                <c:pt idx="9">
                  <c:v>122.71783190354361</c:v>
                </c:pt>
                <c:pt idx="10">
                  <c:v>184.08135550955737</c:v>
                </c:pt>
                <c:pt idx="11">
                  <c:v>245.44487911557115</c:v>
                </c:pt>
                <c:pt idx="12">
                  <c:v>-127.49230384949681</c:v>
                </c:pt>
                <c:pt idx="13">
                  <c:v>-152.97079811768072</c:v>
                </c:pt>
                <c:pt idx="14">
                  <c:v>-178.44929238586496</c:v>
                </c:pt>
                <c:pt idx="15">
                  <c:v>-203.92778665404921</c:v>
                </c:pt>
                <c:pt idx="16">
                  <c:v>357.92520816475474</c:v>
                </c:pt>
                <c:pt idx="17">
                  <c:v>429.51577898279606</c:v>
                </c:pt>
                <c:pt idx="18">
                  <c:v>501.10634980083739</c:v>
                </c:pt>
                <c:pt idx="19">
                  <c:v>572.69692061887872</c:v>
                </c:pt>
                <c:pt idx="20">
                  <c:v>306.80840272158491</c:v>
                </c:pt>
                <c:pt idx="21">
                  <c:v>368.17192632759873</c:v>
                </c:pt>
                <c:pt idx="22">
                  <c:v>429.53544993361243</c:v>
                </c:pt>
                <c:pt idx="23">
                  <c:v>490.89897353962624</c:v>
                </c:pt>
                <c:pt idx="24">
                  <c:v>-229.40628092223324</c:v>
                </c:pt>
                <c:pt idx="25">
                  <c:v>-254.88477519041749</c:v>
                </c:pt>
                <c:pt idx="26">
                  <c:v>-280.36326945860174</c:v>
                </c:pt>
                <c:pt idx="27">
                  <c:v>-305.84176372678576</c:v>
                </c:pt>
                <c:pt idx="28">
                  <c:v>644.28749143691994</c:v>
                </c:pt>
                <c:pt idx="29">
                  <c:v>715.87806225496126</c:v>
                </c:pt>
                <c:pt idx="30">
                  <c:v>787.46863307300259</c:v>
                </c:pt>
                <c:pt idx="31">
                  <c:v>859.05920389104392</c:v>
                </c:pt>
                <c:pt idx="32">
                  <c:v>552.26249714564005</c:v>
                </c:pt>
                <c:pt idx="33">
                  <c:v>613.62602075165375</c:v>
                </c:pt>
                <c:pt idx="34">
                  <c:v>674.98954435766757</c:v>
                </c:pt>
                <c:pt idx="35">
                  <c:v>736.35306796368127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0-4F66-830C-5E56C28C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60592"/>
        <c:axId val="829655344"/>
      </c:scatterChart>
      <c:valAx>
        <c:axId val="82966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55344"/>
        <c:crosses val="autoZero"/>
        <c:crossBetween val="midCat"/>
      </c:valAx>
      <c:valAx>
        <c:axId val="82965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60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'H2'!$I$21:$I$56</c:f>
              <c:numCache>
                <c:formatCode>General</c:formatCode>
                <c:ptCount val="36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</c:numCache>
            </c:numRef>
          </c:xVal>
          <c:yVal>
            <c:numRef>
              <c:f>'H2'!$AA$84:$AA$119</c:f>
              <c:numCache>
                <c:formatCode>General</c:formatCode>
                <c:ptCount val="36"/>
                <c:pt idx="0">
                  <c:v>-25.578326776760122</c:v>
                </c:pt>
                <c:pt idx="1">
                  <c:v>-51.056821044944286</c:v>
                </c:pt>
                <c:pt idx="2">
                  <c:v>-76.535315313128422</c:v>
                </c:pt>
                <c:pt idx="3">
                  <c:v>-102.01380958131267</c:v>
                </c:pt>
                <c:pt idx="4">
                  <c:v>54.929374165325186</c:v>
                </c:pt>
                <c:pt idx="5">
                  <c:v>109.89484162221245</c:v>
                </c:pt>
                <c:pt idx="6">
                  <c:v>164.86030907909972</c:v>
                </c:pt>
                <c:pt idx="7">
                  <c:v>219.82577653598702</c:v>
                </c:pt>
                <c:pt idx="8">
                  <c:v>61.35430829752984</c:v>
                </c:pt>
                <c:pt idx="9">
                  <c:v>122.71783190354361</c:v>
                </c:pt>
                <c:pt idx="10">
                  <c:v>184.08135550955737</c:v>
                </c:pt>
                <c:pt idx="11">
                  <c:v>245.44487911557115</c:v>
                </c:pt>
                <c:pt idx="12">
                  <c:v>-127.49230384949681</c:v>
                </c:pt>
                <c:pt idx="13">
                  <c:v>-152.97079811768072</c:v>
                </c:pt>
                <c:pt idx="14">
                  <c:v>-178.44929238586496</c:v>
                </c:pt>
                <c:pt idx="15">
                  <c:v>-203.92778665404921</c:v>
                </c:pt>
                <c:pt idx="16">
                  <c:v>357.92520816475474</c:v>
                </c:pt>
                <c:pt idx="17">
                  <c:v>429.51577898279606</c:v>
                </c:pt>
                <c:pt idx="18">
                  <c:v>501.10634980083739</c:v>
                </c:pt>
                <c:pt idx="19">
                  <c:v>572.69692061887872</c:v>
                </c:pt>
                <c:pt idx="20">
                  <c:v>306.80840272158491</c:v>
                </c:pt>
                <c:pt idx="21">
                  <c:v>368.17192632759873</c:v>
                </c:pt>
                <c:pt idx="22">
                  <c:v>429.53544993361243</c:v>
                </c:pt>
                <c:pt idx="23">
                  <c:v>490.89897353962624</c:v>
                </c:pt>
                <c:pt idx="24">
                  <c:v>-229.40628092223324</c:v>
                </c:pt>
                <c:pt idx="25">
                  <c:v>-254.88477519041749</c:v>
                </c:pt>
                <c:pt idx="26">
                  <c:v>-280.36326945860174</c:v>
                </c:pt>
                <c:pt idx="27">
                  <c:v>-305.84176372678576</c:v>
                </c:pt>
                <c:pt idx="28">
                  <c:v>644.28749143691994</c:v>
                </c:pt>
                <c:pt idx="29">
                  <c:v>715.87806225496126</c:v>
                </c:pt>
                <c:pt idx="30">
                  <c:v>787.46863307300259</c:v>
                </c:pt>
                <c:pt idx="31">
                  <c:v>859.05920389104392</c:v>
                </c:pt>
                <c:pt idx="32">
                  <c:v>552.26249714564005</c:v>
                </c:pt>
                <c:pt idx="33">
                  <c:v>613.62602075165375</c:v>
                </c:pt>
                <c:pt idx="34">
                  <c:v>674.98954435766757</c:v>
                </c:pt>
                <c:pt idx="35">
                  <c:v>736.35306796368127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9-4D6F-9C01-B4103760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56000"/>
        <c:axId val="829658952"/>
      </c:scatterChart>
      <c:valAx>
        <c:axId val="82965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58952"/>
        <c:crosses val="autoZero"/>
        <c:crossBetween val="midCat"/>
      </c:valAx>
      <c:valAx>
        <c:axId val="829658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56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'H2'!$H$21:$H$56</c:f>
              <c:numCache>
                <c:formatCode>General</c:formatCode>
                <c:ptCount val="36"/>
                <c:pt idx="0">
                  <c:v>650000</c:v>
                </c:pt>
                <c:pt idx="1">
                  <c:v>1300000</c:v>
                </c:pt>
                <c:pt idx="2">
                  <c:v>1950000</c:v>
                </c:pt>
                <c:pt idx="3">
                  <c:v>2600000</c:v>
                </c:pt>
                <c:pt idx="4">
                  <c:v>3250000</c:v>
                </c:pt>
                <c:pt idx="5">
                  <c:v>3900000</c:v>
                </c:pt>
                <c:pt idx="6">
                  <c:v>4550000</c:v>
                </c:pt>
                <c:pt idx="7">
                  <c:v>5200000</c:v>
                </c:pt>
                <c:pt idx="8">
                  <c:v>5850000</c:v>
                </c:pt>
                <c:pt idx="9">
                  <c:v>6500000</c:v>
                </c:pt>
                <c:pt idx="10">
                  <c:v>7150000</c:v>
                </c:pt>
                <c:pt idx="11">
                  <c:v>7800000</c:v>
                </c:pt>
                <c:pt idx="12">
                  <c:v>8450000</c:v>
                </c:pt>
                <c:pt idx="13">
                  <c:v>9100000</c:v>
                </c:pt>
                <c:pt idx="14">
                  <c:v>9750000</c:v>
                </c:pt>
                <c:pt idx="15">
                  <c:v>10400000</c:v>
                </c:pt>
                <c:pt idx="16">
                  <c:v>11050000</c:v>
                </c:pt>
                <c:pt idx="17">
                  <c:v>11700000</c:v>
                </c:pt>
                <c:pt idx="18">
                  <c:v>12350000</c:v>
                </c:pt>
                <c:pt idx="19">
                  <c:v>13000000</c:v>
                </c:pt>
              </c:numCache>
            </c:numRef>
          </c:xVal>
          <c:yVal>
            <c:numRef>
              <c:f>'H2'!$AA$45:$AA$80</c:f>
              <c:numCache>
                <c:formatCode>General</c:formatCode>
                <c:ptCount val="36"/>
                <c:pt idx="0">
                  <c:v>29.22364559950131</c:v>
                </c:pt>
                <c:pt idx="1">
                  <c:v>3.6942735535864131</c:v>
                </c:pt>
                <c:pt idx="2">
                  <c:v>-21.835098492328484</c:v>
                </c:pt>
                <c:pt idx="3">
                  <c:v>-47.364470538243381</c:v>
                </c:pt>
                <c:pt idx="4">
                  <c:v>-51.840362021220358</c:v>
                </c:pt>
                <c:pt idx="5">
                  <c:v>3.1067111621796357</c:v>
                </c:pt>
                <c:pt idx="6">
                  <c:v>58.053784345579629</c:v>
                </c:pt>
                <c:pt idx="7">
                  <c:v>113.00085752897962</c:v>
                </c:pt>
                <c:pt idx="8">
                  <c:v>-113.54807607815115</c:v>
                </c:pt>
                <c:pt idx="9">
                  <c:v>-52.18924888238945</c:v>
                </c:pt>
                <c:pt idx="10">
                  <c:v>9.1695783133722557</c:v>
                </c:pt>
                <c:pt idx="11">
                  <c:v>70.528405509133961</c:v>
                </c:pt>
                <c:pt idx="12">
                  <c:v>22.266210252077713</c:v>
                </c:pt>
                <c:pt idx="13">
                  <c:v>-4.1196596272707211</c:v>
                </c:pt>
                <c:pt idx="14">
                  <c:v>-30.505529506619496</c:v>
                </c:pt>
                <c:pt idx="15">
                  <c:v>-56.891399385967816</c:v>
                </c:pt>
                <c:pt idx="16">
                  <c:v>-3.1078647075032677</c:v>
                </c:pt>
                <c:pt idx="17">
                  <c:v>68.231432864369481</c:v>
                </c:pt>
                <c:pt idx="18">
                  <c:v>139.57073043624223</c:v>
                </c:pt>
                <c:pt idx="19">
                  <c:v>210.91002800811486</c:v>
                </c:pt>
                <c:pt idx="20">
                  <c:v>-184.63954342058764</c:v>
                </c:pt>
                <c:pt idx="21">
                  <c:v>-123.3597775632968</c:v>
                </c:pt>
                <c:pt idx="22">
                  <c:v>-62.080011706005848</c:v>
                </c:pt>
                <c:pt idx="23">
                  <c:v>-0.80024584871500792</c:v>
                </c:pt>
                <c:pt idx="24">
                  <c:v>-83.27726926531659</c:v>
                </c:pt>
                <c:pt idx="25">
                  <c:v>-109.66313914466491</c:v>
                </c:pt>
                <c:pt idx="26">
                  <c:v>-136.04900902401369</c:v>
                </c:pt>
                <c:pt idx="27">
                  <c:v>-162.43487890336201</c:v>
                </c:pt>
                <c:pt idx="28">
                  <c:v>282.2493255799875</c:v>
                </c:pt>
                <c:pt idx="29">
                  <c:v>353.58862315186025</c:v>
                </c:pt>
                <c:pt idx="30">
                  <c:v>424.927920723733</c:v>
                </c:pt>
                <c:pt idx="31">
                  <c:v>496.26721829560574</c:v>
                </c:pt>
                <c:pt idx="32">
                  <c:v>60.479520008575946</c:v>
                </c:pt>
                <c:pt idx="33">
                  <c:v>121.7592858658669</c:v>
                </c:pt>
                <c:pt idx="34">
                  <c:v>183.03905172315774</c:v>
                </c:pt>
                <c:pt idx="35">
                  <c:v>244.31881758044858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4-4986-B788-B3F364B9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57304"/>
        <c:axId val="780158288"/>
      </c:scatterChart>
      <c:valAx>
        <c:axId val="78015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0158288"/>
        <c:crosses val="autoZero"/>
        <c:crossBetween val="midCat"/>
      </c:valAx>
      <c:valAx>
        <c:axId val="78015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0157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'H2'!$I$21:$I$56</c:f>
              <c:numCache>
                <c:formatCode>General</c:formatCode>
                <c:ptCount val="36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</c:numCache>
            </c:numRef>
          </c:xVal>
          <c:yVal>
            <c:numRef>
              <c:f>'H2'!$AA$45:$AA$80</c:f>
              <c:numCache>
                <c:formatCode>General</c:formatCode>
                <c:ptCount val="36"/>
                <c:pt idx="0">
                  <c:v>29.22364559950131</c:v>
                </c:pt>
                <c:pt idx="1">
                  <c:v>3.6942735535864131</c:v>
                </c:pt>
                <c:pt idx="2">
                  <c:v>-21.835098492328484</c:v>
                </c:pt>
                <c:pt idx="3">
                  <c:v>-47.364470538243381</c:v>
                </c:pt>
                <c:pt idx="4">
                  <c:v>-51.840362021220358</c:v>
                </c:pt>
                <c:pt idx="5">
                  <c:v>3.1067111621796357</c:v>
                </c:pt>
                <c:pt idx="6">
                  <c:v>58.053784345579629</c:v>
                </c:pt>
                <c:pt idx="7">
                  <c:v>113.00085752897962</c:v>
                </c:pt>
                <c:pt idx="8">
                  <c:v>-113.54807607815115</c:v>
                </c:pt>
                <c:pt idx="9">
                  <c:v>-52.18924888238945</c:v>
                </c:pt>
                <c:pt idx="10">
                  <c:v>9.1695783133722557</c:v>
                </c:pt>
                <c:pt idx="11">
                  <c:v>70.528405509133961</c:v>
                </c:pt>
                <c:pt idx="12">
                  <c:v>22.266210252077713</c:v>
                </c:pt>
                <c:pt idx="13">
                  <c:v>-4.1196596272707211</c:v>
                </c:pt>
                <c:pt idx="14">
                  <c:v>-30.505529506619496</c:v>
                </c:pt>
                <c:pt idx="15">
                  <c:v>-56.891399385967816</c:v>
                </c:pt>
                <c:pt idx="16">
                  <c:v>-3.1078647075032677</c:v>
                </c:pt>
                <c:pt idx="17">
                  <c:v>68.231432864369481</c:v>
                </c:pt>
                <c:pt idx="18">
                  <c:v>139.57073043624223</c:v>
                </c:pt>
                <c:pt idx="19">
                  <c:v>210.91002800811486</c:v>
                </c:pt>
                <c:pt idx="20">
                  <c:v>-184.63954342058764</c:v>
                </c:pt>
                <c:pt idx="21">
                  <c:v>-123.3597775632968</c:v>
                </c:pt>
                <c:pt idx="22">
                  <c:v>-62.080011706005848</c:v>
                </c:pt>
                <c:pt idx="23">
                  <c:v>-0.80024584871500792</c:v>
                </c:pt>
                <c:pt idx="24">
                  <c:v>-83.27726926531659</c:v>
                </c:pt>
                <c:pt idx="25">
                  <c:v>-109.66313914466491</c:v>
                </c:pt>
                <c:pt idx="26">
                  <c:v>-136.04900902401369</c:v>
                </c:pt>
                <c:pt idx="27">
                  <c:v>-162.43487890336201</c:v>
                </c:pt>
                <c:pt idx="28">
                  <c:v>282.2493255799875</c:v>
                </c:pt>
                <c:pt idx="29">
                  <c:v>353.58862315186025</c:v>
                </c:pt>
                <c:pt idx="30">
                  <c:v>424.927920723733</c:v>
                </c:pt>
                <c:pt idx="31">
                  <c:v>496.26721829560574</c:v>
                </c:pt>
                <c:pt idx="32">
                  <c:v>60.479520008575946</c:v>
                </c:pt>
                <c:pt idx="33">
                  <c:v>121.7592858658669</c:v>
                </c:pt>
                <c:pt idx="34">
                  <c:v>183.03905172315774</c:v>
                </c:pt>
                <c:pt idx="35">
                  <c:v>244.31881758044858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9-42C8-935F-531A83072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57960"/>
        <c:axId val="780155008"/>
      </c:scatterChart>
      <c:valAx>
        <c:axId val="78015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155008"/>
        <c:crosses val="autoZero"/>
        <c:crossBetween val="midCat"/>
      </c:valAx>
      <c:valAx>
        <c:axId val="780155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80157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'H2'!$H$21:$H$32</c:f>
              <c:numCache>
                <c:formatCode>General</c:formatCode>
                <c:ptCount val="12"/>
                <c:pt idx="0">
                  <c:v>650000</c:v>
                </c:pt>
                <c:pt idx="1">
                  <c:v>1300000</c:v>
                </c:pt>
                <c:pt idx="2">
                  <c:v>1950000</c:v>
                </c:pt>
                <c:pt idx="3">
                  <c:v>2600000</c:v>
                </c:pt>
                <c:pt idx="4">
                  <c:v>3250000</c:v>
                </c:pt>
                <c:pt idx="5">
                  <c:v>3900000</c:v>
                </c:pt>
                <c:pt idx="6">
                  <c:v>4550000</c:v>
                </c:pt>
                <c:pt idx="7">
                  <c:v>5200000</c:v>
                </c:pt>
                <c:pt idx="8">
                  <c:v>5850000</c:v>
                </c:pt>
                <c:pt idx="9">
                  <c:v>6500000</c:v>
                </c:pt>
                <c:pt idx="10">
                  <c:v>7150000</c:v>
                </c:pt>
                <c:pt idx="11">
                  <c:v>7800000</c:v>
                </c:pt>
              </c:numCache>
            </c:numRef>
          </c:xVal>
          <c:yVal>
            <c:numRef>
              <c:f>'H2'!$AA$45:$AA$56</c:f>
              <c:numCache>
                <c:formatCode>General</c:formatCode>
                <c:ptCount val="12"/>
                <c:pt idx="0">
                  <c:v>29.22364559950131</c:v>
                </c:pt>
                <c:pt idx="1">
                  <c:v>3.6942735535864131</c:v>
                </c:pt>
                <c:pt idx="2">
                  <c:v>-21.835098492328484</c:v>
                </c:pt>
                <c:pt idx="3">
                  <c:v>-47.364470538243381</c:v>
                </c:pt>
                <c:pt idx="4">
                  <c:v>-51.840362021220358</c:v>
                </c:pt>
                <c:pt idx="5">
                  <c:v>3.1067111621796357</c:v>
                </c:pt>
                <c:pt idx="6">
                  <c:v>58.053784345579629</c:v>
                </c:pt>
                <c:pt idx="7">
                  <c:v>113.00085752897962</c:v>
                </c:pt>
                <c:pt idx="8">
                  <c:v>-113.54807607815115</c:v>
                </c:pt>
                <c:pt idx="9">
                  <c:v>-52.18924888238945</c:v>
                </c:pt>
                <c:pt idx="10">
                  <c:v>9.1695783133722557</c:v>
                </c:pt>
                <c:pt idx="11">
                  <c:v>70.528405509133961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2-45E7-9F13-6FDA6D5A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53704"/>
        <c:axId val="829656000"/>
      </c:scatterChart>
      <c:valAx>
        <c:axId val="82965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56000"/>
        <c:crosses val="autoZero"/>
        <c:crossBetween val="midCat"/>
      </c:valAx>
      <c:valAx>
        <c:axId val="82965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53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238125</xdr:colOff>
      <xdr:row>10</xdr:row>
      <xdr:rowOff>180975</xdr:rowOff>
    </xdr:from>
    <xdr:to>
      <xdr:col>39</xdr:col>
      <xdr:colOff>238125</xdr:colOff>
      <xdr:row>21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A52838-EDDB-4C43-8B48-81286BDE3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238125</xdr:colOff>
      <xdr:row>13</xdr:row>
      <xdr:rowOff>0</xdr:rowOff>
    </xdr:from>
    <xdr:to>
      <xdr:col>40</xdr:col>
      <xdr:colOff>238125</xdr:colOff>
      <xdr:row>23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2116B7-40C5-505F-50EB-CEBE92893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238125</xdr:colOff>
      <xdr:row>23</xdr:row>
      <xdr:rowOff>9525</xdr:rowOff>
    </xdr:from>
    <xdr:to>
      <xdr:col>39</xdr:col>
      <xdr:colOff>238125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B8D937-7900-A1A4-EE55-7D1208B6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238125</xdr:colOff>
      <xdr:row>25</xdr:row>
      <xdr:rowOff>19050</xdr:rowOff>
    </xdr:from>
    <xdr:to>
      <xdr:col>40</xdr:col>
      <xdr:colOff>238125</xdr:colOff>
      <xdr:row>35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B49717-9F9A-83DB-9B3D-83DF690FC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238125</xdr:colOff>
      <xdr:row>39</xdr:row>
      <xdr:rowOff>9525</xdr:rowOff>
    </xdr:from>
    <xdr:to>
      <xdr:col>39</xdr:col>
      <xdr:colOff>238125</xdr:colOff>
      <xdr:row>49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2B6689-BBE8-BAED-4FF6-30D645593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238125</xdr:colOff>
      <xdr:row>41</xdr:row>
      <xdr:rowOff>19050</xdr:rowOff>
    </xdr:from>
    <xdr:to>
      <xdr:col>40</xdr:col>
      <xdr:colOff>238125</xdr:colOff>
      <xdr:row>51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855160-87A3-67E0-014A-0893932D4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238125</xdr:colOff>
      <xdr:row>19</xdr:row>
      <xdr:rowOff>180975</xdr:rowOff>
    </xdr:from>
    <xdr:to>
      <xdr:col>39</xdr:col>
      <xdr:colOff>238125</xdr:colOff>
      <xdr:row>29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5389E6E-F805-C3DC-FF12-B09790EA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238125</xdr:colOff>
      <xdr:row>21</xdr:row>
      <xdr:rowOff>180975</xdr:rowOff>
    </xdr:from>
    <xdr:to>
      <xdr:col>40</xdr:col>
      <xdr:colOff>238125</xdr:colOff>
      <xdr:row>31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8678252-F9A7-A0E5-C5FF-1EE97DD1F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238125</xdr:colOff>
      <xdr:row>0</xdr:row>
      <xdr:rowOff>180975</xdr:rowOff>
    </xdr:from>
    <xdr:to>
      <xdr:col>39</xdr:col>
      <xdr:colOff>238125</xdr:colOff>
      <xdr:row>11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FF11C5-719A-3E8D-D435-2B3CA4EA6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238125</xdr:colOff>
      <xdr:row>3</xdr:row>
      <xdr:rowOff>0</xdr:rowOff>
    </xdr:from>
    <xdr:to>
      <xdr:col>40</xdr:col>
      <xdr:colOff>238125</xdr:colOff>
      <xdr:row>13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2C124E-D0C4-F84F-09F9-832B4B6CA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AA7A-A190-40C3-8275-483C16A74E0D}">
  <dimension ref="A1:R6"/>
  <sheetViews>
    <sheetView tabSelected="1" workbookViewId="0">
      <selection activeCell="E9" sqref="E9"/>
    </sheetView>
  </sheetViews>
  <sheetFormatPr defaultRowHeight="15" x14ac:dyDescent="0.25"/>
  <cols>
    <col min="1" max="1" width="29" bestFit="1" customWidth="1"/>
    <col min="2" max="2" width="17.85546875" bestFit="1" customWidth="1"/>
    <col min="3" max="9" width="17.85546875" customWidth="1"/>
    <col min="10" max="10" width="10.7109375" bestFit="1" customWidth="1"/>
    <col min="11" max="11" width="22.28515625" bestFit="1" customWidth="1"/>
    <col min="12" max="12" width="16" bestFit="1" customWidth="1"/>
    <col min="13" max="13" width="7.140625" bestFit="1" customWidth="1"/>
    <col min="14" max="14" width="9.28515625" bestFit="1" customWidth="1"/>
    <col min="15" max="15" width="25.7109375" bestFit="1" customWidth="1"/>
    <col min="16" max="17" width="16.42578125" customWidth="1"/>
    <col min="18" max="18" width="75.28515625" bestFit="1" customWidth="1"/>
    <col min="19" max="19" width="60.42578125" bestFit="1" customWidth="1"/>
    <col min="20" max="20" width="59.28515625" bestFit="1" customWidth="1"/>
    <col min="21" max="22" width="51.140625" bestFit="1" customWidth="1"/>
    <col min="23" max="23" width="50.5703125" bestFit="1" customWidth="1"/>
    <col min="24" max="25" width="51.140625" bestFit="1" customWidth="1"/>
    <col min="26" max="26" width="58.7109375" bestFit="1" customWidth="1"/>
    <col min="27" max="28" width="55.140625" bestFit="1" customWidth="1"/>
    <col min="29" max="29" width="58.28515625" bestFit="1" customWidth="1"/>
    <col min="30" max="31" width="65.42578125" bestFit="1" customWidth="1"/>
    <col min="32" max="33" width="51.28515625" bestFit="1" customWidth="1"/>
    <col min="34" max="34" width="50.7109375" bestFit="1" customWidth="1"/>
    <col min="35" max="36" width="51.28515625" bestFit="1" customWidth="1"/>
    <col min="37" max="37" width="58.28515625" bestFit="1" customWidth="1"/>
    <col min="38" max="38" width="48.28515625" bestFit="1" customWidth="1"/>
    <col min="39" max="39" width="55.42578125" bestFit="1" customWidth="1"/>
    <col min="40" max="40" width="49.140625" bestFit="1" customWidth="1"/>
    <col min="41" max="41" width="45.85546875" bestFit="1" customWidth="1"/>
    <col min="42" max="42" width="76.5703125" bestFit="1" customWidth="1"/>
    <col min="43" max="43" width="72.85546875" bestFit="1" customWidth="1"/>
    <col min="44" max="44" width="80" bestFit="1" customWidth="1"/>
    <col min="45" max="45" width="64.140625" bestFit="1" customWidth="1"/>
    <col min="46" max="46" width="57.7109375" bestFit="1" customWidth="1"/>
    <col min="47" max="47" width="51.5703125" bestFit="1" customWidth="1"/>
    <col min="48" max="48" width="60" bestFit="1" customWidth="1"/>
    <col min="49" max="49" width="55.5703125" bestFit="1" customWidth="1"/>
    <col min="50" max="50" width="49.140625" bestFit="1" customWidth="1"/>
    <col min="51" max="51" width="56.28515625" bestFit="1" customWidth="1"/>
    <col min="52" max="52" width="49.42578125" bestFit="1" customWidth="1"/>
    <col min="53" max="53" width="56.5703125" bestFit="1" customWidth="1"/>
    <col min="54" max="54" width="73" bestFit="1" customWidth="1"/>
    <col min="55" max="55" width="81.140625" bestFit="1" customWidth="1"/>
    <col min="56" max="56" width="91.5703125" bestFit="1" customWidth="1"/>
    <col min="57" max="57" width="65.5703125" bestFit="1" customWidth="1"/>
    <col min="58" max="58" width="59.42578125" bestFit="1" customWidth="1"/>
    <col min="59" max="59" width="77.42578125" bestFit="1" customWidth="1"/>
    <col min="60" max="60" width="48.5703125" bestFit="1" customWidth="1"/>
    <col min="61" max="61" width="63.28515625" bestFit="1" customWidth="1"/>
    <col min="62" max="62" width="11.28515625" bestFit="1" customWidth="1"/>
    <col min="63" max="63" width="48.85546875" bestFit="1" customWidth="1"/>
    <col min="64" max="64" width="39.7109375" bestFit="1" customWidth="1"/>
    <col min="65" max="65" width="38" bestFit="1" customWidth="1"/>
    <col min="66" max="66" width="14.42578125" bestFit="1" customWidth="1"/>
    <col min="67" max="67" width="26" bestFit="1" customWidth="1"/>
    <col min="68" max="68" width="22.7109375" bestFit="1" customWidth="1"/>
    <col min="69" max="69" width="42.7109375" bestFit="1" customWidth="1"/>
    <col min="70" max="70" width="27.85546875" bestFit="1" customWidth="1"/>
    <col min="71" max="71" width="53.42578125" bestFit="1" customWidth="1"/>
    <col min="72" max="72" width="25.5703125" bestFit="1" customWidth="1"/>
    <col min="73" max="73" width="38.85546875" bestFit="1" customWidth="1"/>
    <col min="74" max="74" width="12.28515625" bestFit="1" customWidth="1"/>
    <col min="75" max="75" width="10.7109375" bestFit="1" customWidth="1"/>
    <col min="76" max="76" width="52.7109375" bestFit="1" customWidth="1"/>
    <col min="77" max="78" width="46.28515625" bestFit="1" customWidth="1"/>
    <col min="79" max="79" width="45.5703125" bestFit="1" customWidth="1"/>
    <col min="80" max="80" width="42.42578125" bestFit="1" customWidth="1"/>
    <col min="81" max="82" width="46.28515625" bestFit="1" customWidth="1"/>
    <col min="83" max="83" width="53.28515625" bestFit="1" customWidth="1"/>
    <col min="84" max="84" width="51.7109375" bestFit="1" customWidth="1"/>
    <col min="85" max="85" width="75.28515625" bestFit="1" customWidth="1"/>
    <col min="86" max="86" width="60.42578125" bestFit="1" customWidth="1"/>
    <col min="87" max="87" width="59.28515625" bestFit="1" customWidth="1"/>
    <col min="88" max="89" width="51.140625" bestFit="1" customWidth="1"/>
    <col min="90" max="90" width="50.5703125" bestFit="1" customWidth="1"/>
    <col min="91" max="92" width="51.140625" bestFit="1" customWidth="1"/>
    <col min="93" max="93" width="58.7109375" bestFit="1" customWidth="1"/>
    <col min="94" max="95" width="55.140625" bestFit="1" customWidth="1"/>
    <col min="96" max="96" width="58.28515625" bestFit="1" customWidth="1"/>
    <col min="97" max="98" width="65.42578125" bestFit="1" customWidth="1"/>
    <col min="99" max="100" width="51.28515625" bestFit="1" customWidth="1"/>
    <col min="101" max="101" width="50.7109375" bestFit="1" customWidth="1"/>
    <col min="102" max="103" width="51.28515625" bestFit="1" customWidth="1"/>
    <col min="104" max="104" width="58.28515625" bestFit="1" customWidth="1"/>
    <col min="105" max="105" width="48.28515625" bestFit="1" customWidth="1"/>
    <col min="106" max="106" width="55.42578125" bestFit="1" customWidth="1"/>
    <col min="107" max="107" width="49.140625" bestFit="1" customWidth="1"/>
    <col min="108" max="108" width="45.85546875" bestFit="1" customWidth="1"/>
    <col min="109" max="109" width="76.5703125" bestFit="1" customWidth="1"/>
    <col min="110" max="110" width="72.85546875" bestFit="1" customWidth="1"/>
    <col min="111" max="111" width="80" bestFit="1" customWidth="1"/>
    <col min="112" max="112" width="64.140625" bestFit="1" customWidth="1"/>
    <col min="113" max="113" width="57.7109375" bestFit="1" customWidth="1"/>
    <col min="114" max="114" width="51.5703125" bestFit="1" customWidth="1"/>
    <col min="115" max="115" width="60" bestFit="1" customWidth="1"/>
    <col min="116" max="116" width="55.5703125" bestFit="1" customWidth="1"/>
    <col min="117" max="117" width="49.140625" bestFit="1" customWidth="1"/>
    <col min="118" max="118" width="56.28515625" bestFit="1" customWidth="1"/>
    <col min="119" max="119" width="49.42578125" bestFit="1" customWidth="1"/>
    <col min="120" max="120" width="56.5703125" bestFit="1" customWidth="1"/>
    <col min="121" max="121" width="73" bestFit="1" customWidth="1"/>
    <col min="122" max="122" width="81.140625" bestFit="1" customWidth="1"/>
    <col min="123" max="123" width="91.5703125" bestFit="1" customWidth="1"/>
    <col min="124" max="124" width="65.5703125" bestFit="1" customWidth="1"/>
    <col min="125" max="125" width="59.42578125" bestFit="1" customWidth="1"/>
    <col min="126" max="126" width="77.42578125" bestFit="1" customWidth="1"/>
    <col min="127" max="127" width="48.5703125" bestFit="1" customWidth="1"/>
    <col min="128" max="128" width="63.28515625" bestFit="1" customWidth="1"/>
    <col min="129" max="129" width="39" bestFit="1" customWidth="1"/>
    <col min="130" max="130" width="12.42578125" bestFit="1" customWidth="1"/>
    <col min="131" max="131" width="10.85546875" bestFit="1" customWidth="1"/>
    <col min="132" max="132" width="24.42578125" bestFit="1" customWidth="1"/>
    <col min="133" max="133" width="26.42578125" bestFit="1" customWidth="1"/>
    <col min="134" max="134" width="44.140625" bestFit="1" customWidth="1"/>
    <col min="135" max="135" width="40.7109375" bestFit="1" customWidth="1"/>
    <col min="136" max="136" width="16.140625" bestFit="1" customWidth="1"/>
    <col min="137" max="137" width="46.85546875" bestFit="1" customWidth="1"/>
    <col min="138" max="138" width="47.140625" bestFit="1" customWidth="1"/>
    <col min="139" max="139" width="57.28515625" bestFit="1" customWidth="1"/>
    <col min="140" max="140" width="30.85546875" bestFit="1" customWidth="1"/>
    <col min="141" max="141" width="71.5703125" bestFit="1" customWidth="1"/>
    <col min="142" max="142" width="45.85546875" bestFit="1" customWidth="1"/>
    <col min="143" max="143" width="32.5703125" bestFit="1" customWidth="1"/>
    <col min="144" max="144" width="18.28515625" bestFit="1" customWidth="1"/>
    <col min="145" max="145" width="70.5703125" bestFit="1" customWidth="1"/>
    <col min="146" max="146" width="45" bestFit="1" customWidth="1"/>
    <col min="147" max="147" width="31" bestFit="1" customWidth="1"/>
    <col min="148" max="148" width="29.42578125" bestFit="1" customWidth="1"/>
    <col min="149" max="149" width="55.140625" bestFit="1" customWidth="1"/>
    <col min="150" max="150" width="11.85546875" bestFit="1" customWidth="1"/>
    <col min="151" max="151" width="61" bestFit="1" customWidth="1"/>
    <col min="152" max="152" width="42.140625" bestFit="1" customWidth="1"/>
    <col min="153" max="154" width="34.5703125" bestFit="1" customWidth="1"/>
    <col min="155" max="155" width="37.5703125" bestFit="1" customWidth="1"/>
    <col min="156" max="156" width="33.85546875" bestFit="1" customWidth="1"/>
    <col min="157" max="157" width="24" bestFit="1" customWidth="1"/>
    <col min="158" max="160" width="36.42578125" bestFit="1" customWidth="1"/>
    <col min="161" max="161" width="12.85546875" bestFit="1" customWidth="1"/>
    <col min="162" max="162" width="23.85546875" bestFit="1" customWidth="1"/>
    <col min="163" max="163" width="18.85546875" bestFit="1" customWidth="1"/>
    <col min="164" max="164" width="35.28515625" bestFit="1" customWidth="1"/>
    <col min="165" max="167" width="39.85546875" bestFit="1" customWidth="1"/>
    <col min="168" max="168" width="39.28515625" bestFit="1" customWidth="1"/>
    <col min="169" max="170" width="39.85546875" bestFit="1" customWidth="1"/>
    <col min="171" max="172" width="65.42578125" bestFit="1" customWidth="1"/>
    <col min="173" max="173" width="47.85546875" bestFit="1" customWidth="1"/>
    <col min="174" max="174" width="42.85546875" bestFit="1" customWidth="1"/>
    <col min="175" max="175" width="47.85546875" bestFit="1" customWidth="1"/>
    <col min="176" max="176" width="45" bestFit="1" customWidth="1"/>
    <col min="177" max="177" width="40" bestFit="1" customWidth="1"/>
    <col min="178" max="178" width="45" bestFit="1" customWidth="1"/>
    <col min="179" max="179" width="52.28515625" bestFit="1" customWidth="1"/>
    <col min="180" max="180" width="25.85546875" bestFit="1" customWidth="1"/>
    <col min="181" max="181" width="11.28515625" bestFit="1" customWidth="1"/>
  </cols>
  <sheetData>
    <row r="1" spans="1:18" x14ac:dyDescent="0.25">
      <c r="B1" t="s">
        <v>17</v>
      </c>
      <c r="C1" t="s">
        <v>12</v>
      </c>
      <c r="H1" t="s">
        <v>61</v>
      </c>
      <c r="I1" t="s">
        <v>16</v>
      </c>
      <c r="J1" t="s">
        <v>8</v>
      </c>
      <c r="K1" t="s">
        <v>14</v>
      </c>
      <c r="L1" t="s">
        <v>9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70</v>
      </c>
      <c r="F2" t="s">
        <v>71</v>
      </c>
      <c r="G2" t="s">
        <v>72</v>
      </c>
      <c r="H2" t="s">
        <v>60</v>
      </c>
      <c r="I2" t="s">
        <v>63</v>
      </c>
      <c r="J2" t="s">
        <v>3</v>
      </c>
      <c r="K2" t="s">
        <v>4</v>
      </c>
      <c r="L2" t="s">
        <v>5</v>
      </c>
      <c r="M2" t="s">
        <v>7</v>
      </c>
      <c r="N2" t="s">
        <v>6</v>
      </c>
      <c r="O2" t="s">
        <v>15</v>
      </c>
      <c r="P2" t="s">
        <v>13</v>
      </c>
      <c r="Q2" t="s">
        <v>2</v>
      </c>
      <c r="R2" t="s">
        <v>108</v>
      </c>
    </row>
    <row r="3" spans="1:18" x14ac:dyDescent="0.25">
      <c r="A3" t="s">
        <v>58</v>
      </c>
      <c r="B3">
        <v>330</v>
      </c>
      <c r="C3">
        <v>38800</v>
      </c>
      <c r="D3">
        <v>0</v>
      </c>
      <c r="E3">
        <f>ROUND(B3*$R3,0)</f>
        <v>372</v>
      </c>
      <c r="F3">
        <f t="shared" ref="F3:G3" si="0">ROUND(C3*$R3,0)</f>
        <v>43695</v>
      </c>
      <c r="G3">
        <f t="shared" si="0"/>
        <v>0</v>
      </c>
      <c r="H3" s="6">
        <f>0.7%/100</f>
        <v>6.9999999999999994E-5</v>
      </c>
      <c r="I3" s="6"/>
      <c r="J3">
        <v>40</v>
      </c>
      <c r="K3" s="5">
        <v>3.5000000000000003E-2</v>
      </c>
      <c r="L3">
        <v>0</v>
      </c>
      <c r="M3">
        <v>2030</v>
      </c>
      <c r="N3" t="s">
        <v>57</v>
      </c>
      <c r="Q3">
        <v>0.1</v>
      </c>
      <c r="R3">
        <f>1.02^6</f>
        <v>1.1261624192640001</v>
      </c>
    </row>
    <row r="4" spans="1:18" x14ac:dyDescent="0.25">
      <c r="A4" t="s">
        <v>59</v>
      </c>
      <c r="B4">
        <v>240</v>
      </c>
      <c r="C4">
        <v>121000</v>
      </c>
      <c r="D4">
        <v>0</v>
      </c>
      <c r="E4">
        <f t="shared" ref="E4:E5" si="1">ROUND(B4*$R4,0)</f>
        <v>270</v>
      </c>
      <c r="F4">
        <f t="shared" ref="F4:F5" si="2">ROUND(C4*$R4,0)</f>
        <v>136266</v>
      </c>
      <c r="G4">
        <f t="shared" ref="G4:G5" si="3">ROUND(D4*$R4,0)</f>
        <v>0</v>
      </c>
      <c r="H4" s="6">
        <f>0.4%/100</f>
        <v>4.0000000000000003E-5</v>
      </c>
      <c r="I4" s="6"/>
      <c r="J4">
        <v>40</v>
      </c>
      <c r="K4" s="5">
        <v>3.5000000000000003E-2</v>
      </c>
      <c r="L4">
        <v>0</v>
      </c>
      <c r="M4">
        <v>2030</v>
      </c>
      <c r="N4" t="s">
        <v>57</v>
      </c>
      <c r="Q4">
        <v>0.1</v>
      </c>
      <c r="R4">
        <f t="shared" ref="R4:R5" si="4">1.02^6</f>
        <v>1.1261624192640001</v>
      </c>
    </row>
    <row r="5" spans="1:18" x14ac:dyDescent="0.25">
      <c r="A5" t="s">
        <v>62</v>
      </c>
      <c r="B5">
        <f>B4*I5</f>
        <v>240000</v>
      </c>
      <c r="C5">
        <f>C4*I5</f>
        <v>121000000</v>
      </c>
      <c r="D5">
        <v>0</v>
      </c>
      <c r="E5">
        <f t="shared" si="1"/>
        <v>270279</v>
      </c>
      <c r="F5">
        <f t="shared" si="2"/>
        <v>136265653</v>
      </c>
      <c r="G5">
        <f t="shared" si="3"/>
        <v>0</v>
      </c>
      <c r="H5" s="6">
        <f>0.4%/100</f>
        <v>4.0000000000000003E-5</v>
      </c>
      <c r="I5">
        <v>1000</v>
      </c>
      <c r="J5">
        <v>40</v>
      </c>
      <c r="K5" s="5">
        <v>3.5000000000000003E-2</v>
      </c>
      <c r="M5">
        <v>2030</v>
      </c>
      <c r="N5" t="s">
        <v>57</v>
      </c>
      <c r="Q5">
        <v>0.1</v>
      </c>
      <c r="R5">
        <f t="shared" si="4"/>
        <v>1.1261624192640001</v>
      </c>
    </row>
    <row r="6" spans="1:18" x14ac:dyDescent="0.25">
      <c r="A6" t="s">
        <v>107</v>
      </c>
      <c r="I6">
        <v>13000</v>
      </c>
      <c r="J6">
        <v>40</v>
      </c>
      <c r="K6" s="5">
        <f>(0.8+1.7)/2/100</f>
        <v>1.2500000000000001E-2</v>
      </c>
    </row>
  </sheetData>
  <autoFilter ref="A2:Q2" xr:uid="{2A4BAA7A-A190-40C3-8275-483C16A74E0D}"/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4304-D793-4A46-9E41-9D5D2FD6D4F2}">
  <dimension ref="A1:AG119"/>
  <sheetViews>
    <sheetView workbookViewId="0">
      <selection activeCell="E18" sqref="E18"/>
    </sheetView>
  </sheetViews>
  <sheetFormatPr defaultRowHeight="15" x14ac:dyDescent="0.25"/>
  <cols>
    <col min="2" max="2" width="12" bestFit="1" customWidth="1"/>
    <col min="3" max="4" width="11.85546875" bestFit="1" customWidth="1"/>
    <col min="10" max="10" width="10" bestFit="1" customWidth="1"/>
  </cols>
  <sheetData>
    <row r="1" spans="1:5" x14ac:dyDescent="0.25">
      <c r="A1" t="s">
        <v>64</v>
      </c>
    </row>
    <row r="2" spans="1:5" x14ac:dyDescent="0.25">
      <c r="A2" t="s">
        <v>65</v>
      </c>
    </row>
    <row r="4" spans="1:5" x14ac:dyDescent="0.25">
      <c r="A4" t="s">
        <v>0</v>
      </c>
      <c r="B4" t="s">
        <v>66</v>
      </c>
      <c r="C4" t="s">
        <v>67</v>
      </c>
      <c r="D4" t="s">
        <v>67</v>
      </c>
    </row>
    <row r="5" spans="1:5" x14ac:dyDescent="0.25">
      <c r="A5" t="s">
        <v>68</v>
      </c>
      <c r="B5">
        <v>13000</v>
      </c>
      <c r="C5">
        <v>0.5</v>
      </c>
      <c r="D5">
        <v>0.62</v>
      </c>
      <c r="E5">
        <f>C5+D5</f>
        <v>1.1200000000000001</v>
      </c>
    </row>
    <row r="6" spans="1:5" x14ac:dyDescent="0.25">
      <c r="A6" t="s">
        <v>1</v>
      </c>
      <c r="B6">
        <v>13000</v>
      </c>
      <c r="C6">
        <v>2.8</v>
      </c>
      <c r="D6">
        <v>0.62</v>
      </c>
      <c r="E6">
        <f t="shared" ref="E6:E10" si="0">C6+D6</f>
        <v>3.42</v>
      </c>
    </row>
    <row r="7" spans="1:5" x14ac:dyDescent="0.25">
      <c r="A7" t="s">
        <v>68</v>
      </c>
      <c r="B7">
        <v>3600</v>
      </c>
      <c r="C7">
        <v>0.4</v>
      </c>
      <c r="D7">
        <v>0.14000000000000001</v>
      </c>
      <c r="E7">
        <f t="shared" si="0"/>
        <v>0.54</v>
      </c>
    </row>
    <row r="8" spans="1:5" x14ac:dyDescent="0.25">
      <c r="A8" t="s">
        <v>1</v>
      </c>
      <c r="B8">
        <v>4700</v>
      </c>
      <c r="C8">
        <v>2.2000000000000002</v>
      </c>
      <c r="D8">
        <v>0.32</v>
      </c>
      <c r="E8">
        <f t="shared" si="0"/>
        <v>2.52</v>
      </c>
    </row>
    <row r="9" spans="1:5" x14ac:dyDescent="0.25">
      <c r="A9" t="s">
        <v>68</v>
      </c>
      <c r="B9">
        <v>1200</v>
      </c>
      <c r="C9">
        <v>0.3</v>
      </c>
      <c r="D9">
        <v>0.09</v>
      </c>
      <c r="E9">
        <f t="shared" si="0"/>
        <v>0.39</v>
      </c>
    </row>
    <row r="10" spans="1:5" x14ac:dyDescent="0.25">
      <c r="A10" t="s">
        <v>1</v>
      </c>
      <c r="B10">
        <v>1200</v>
      </c>
      <c r="C10">
        <v>1.5</v>
      </c>
      <c r="D10">
        <v>0.09</v>
      </c>
      <c r="E10">
        <f t="shared" si="0"/>
        <v>1.59</v>
      </c>
    </row>
    <row r="12" spans="1:5" x14ac:dyDescent="0.25">
      <c r="B12" t="s">
        <v>106</v>
      </c>
    </row>
    <row r="13" spans="1:5" x14ac:dyDescent="0.25">
      <c r="A13" s="1" t="s">
        <v>69</v>
      </c>
      <c r="B13" t="s">
        <v>70</v>
      </c>
      <c r="C13" t="s">
        <v>71</v>
      </c>
      <c r="D13" t="s">
        <v>72</v>
      </c>
    </row>
    <row r="14" spans="1:5" x14ac:dyDescent="0.25">
      <c r="A14" t="s">
        <v>68</v>
      </c>
      <c r="B14">
        <f>P37</f>
        <v>9.2540894220283573E-5</v>
      </c>
      <c r="C14">
        <f>P38</f>
        <v>-3.8402806153825454E-3</v>
      </c>
      <c r="D14">
        <f>P36</f>
        <v>39.567835104559464</v>
      </c>
    </row>
    <row r="15" spans="1:5" x14ac:dyDescent="0.25">
      <c r="A15" t="s">
        <v>1</v>
      </c>
      <c r="B15">
        <f>Z37</f>
        <v>3.0235288007063831E-4</v>
      </c>
      <c r="C15">
        <f>Z38</f>
        <v>-1.9462705162655004E-2</v>
      </c>
      <c r="D15">
        <f>Z36</f>
        <v>198.26214946909886</v>
      </c>
    </row>
    <row r="19" spans="1:30" x14ac:dyDescent="0.25">
      <c r="A19" t="s">
        <v>68</v>
      </c>
      <c r="G19" t="s">
        <v>1</v>
      </c>
    </row>
    <row r="20" spans="1:30" x14ac:dyDescent="0.25">
      <c r="A20" t="s">
        <v>74</v>
      </c>
      <c r="B20" t="s">
        <v>76</v>
      </c>
      <c r="C20" t="s">
        <v>73</v>
      </c>
      <c r="D20" t="s">
        <v>75</v>
      </c>
      <c r="G20" t="s">
        <v>74</v>
      </c>
      <c r="H20" t="s">
        <v>76</v>
      </c>
      <c r="I20" t="s">
        <v>73</v>
      </c>
      <c r="J20" t="s">
        <v>75</v>
      </c>
      <c r="O20" t="s">
        <v>77</v>
      </c>
      <c r="Y20" t="s">
        <v>77</v>
      </c>
    </row>
    <row r="21" spans="1:30" ht="15.75" thickBot="1" x14ac:dyDescent="0.3">
      <c r="A21">
        <v>50</v>
      </c>
      <c r="B21">
        <f>C21*A21</f>
        <v>650000</v>
      </c>
      <c r="C21">
        <v>13000</v>
      </c>
      <c r="D21">
        <f>($C$5+$D$5)*A21*10^6</f>
        <v>56000000.000000007</v>
      </c>
      <c r="E21">
        <f t="shared" ref="E21:E40" si="1">B21*$P$37+C21*$P$38+$P$36</f>
        <v>49.795768347770696</v>
      </c>
      <c r="G21">
        <v>50</v>
      </c>
      <c r="H21">
        <f>I21*G21</f>
        <v>650000</v>
      </c>
      <c r="I21">
        <v>13000</v>
      </c>
      <c r="J21">
        <f>($C$6+$D$6)*G21*10^6</f>
        <v>171000000</v>
      </c>
      <c r="K21">
        <f t="shared" ref="K21:K40" si="2">H21*$Z$37+I21*$Z$38+$Z$36</f>
        <v>141.77635440049869</v>
      </c>
    </row>
    <row r="22" spans="1:30" x14ac:dyDescent="0.25">
      <c r="A22">
        <v>100</v>
      </c>
      <c r="B22">
        <f>C22*A22</f>
        <v>1300000</v>
      </c>
      <c r="C22">
        <v>13000</v>
      </c>
      <c r="D22">
        <f t="shared" ref="D22:D40" si="3">($C$5+$D$5)*A22*10^6</f>
        <v>112000000.00000001</v>
      </c>
      <c r="E22">
        <f t="shared" si="1"/>
        <v>109.94734959095501</v>
      </c>
      <c r="G22">
        <v>100</v>
      </c>
      <c r="H22">
        <f>I22*G22</f>
        <v>1300000</v>
      </c>
      <c r="I22">
        <v>13000</v>
      </c>
      <c r="J22">
        <f t="shared" ref="J22:J40" si="4">($C$6+$D$6)*G22*10^6</f>
        <v>342000000</v>
      </c>
      <c r="K22">
        <f t="shared" si="2"/>
        <v>338.30572644641359</v>
      </c>
      <c r="O22" s="10" t="s">
        <v>78</v>
      </c>
      <c r="P22" s="10"/>
      <c r="Y22" s="10" t="s">
        <v>78</v>
      </c>
      <c r="Z22" s="10"/>
    </row>
    <row r="23" spans="1:30" x14ac:dyDescent="0.25">
      <c r="A23">
        <v>150</v>
      </c>
      <c r="B23">
        <f>C23*A23</f>
        <v>1950000</v>
      </c>
      <c r="C23">
        <v>13000</v>
      </c>
      <c r="D23">
        <f t="shared" si="3"/>
        <v>168000000.00000003</v>
      </c>
      <c r="E23">
        <f t="shared" si="1"/>
        <v>170.09893083413934</v>
      </c>
      <c r="G23">
        <v>150</v>
      </c>
      <c r="H23">
        <f>I23*G23</f>
        <v>1950000</v>
      </c>
      <c r="I23">
        <v>13000</v>
      </c>
      <c r="J23">
        <f t="shared" si="4"/>
        <v>513000000</v>
      </c>
      <c r="K23">
        <f t="shared" si="2"/>
        <v>534.83509849232848</v>
      </c>
      <c r="O23" s="7" t="s">
        <v>79</v>
      </c>
      <c r="P23" s="7">
        <v>0.97977577700084184</v>
      </c>
      <c r="Y23" s="7" t="s">
        <v>79</v>
      </c>
      <c r="Z23" s="7">
        <v>0.93855775701874167</v>
      </c>
    </row>
    <row r="24" spans="1:30" x14ac:dyDescent="0.25">
      <c r="A24">
        <v>200</v>
      </c>
      <c r="B24">
        <f>C24*A24</f>
        <v>2600000</v>
      </c>
      <c r="C24">
        <v>13000</v>
      </c>
      <c r="D24">
        <f t="shared" si="3"/>
        <v>224000000.00000003</v>
      </c>
      <c r="E24">
        <f t="shared" si="1"/>
        <v>230.25051207732366</v>
      </c>
      <c r="G24">
        <v>200</v>
      </c>
      <c r="H24">
        <f>I24*G24</f>
        <v>2600000</v>
      </c>
      <c r="I24">
        <v>13000</v>
      </c>
      <c r="J24">
        <f t="shared" si="4"/>
        <v>684000000</v>
      </c>
      <c r="K24">
        <f t="shared" si="2"/>
        <v>731.36447053824338</v>
      </c>
      <c r="O24" s="7" t="s">
        <v>80</v>
      </c>
      <c r="P24" s="7">
        <v>0.95996057319760342</v>
      </c>
      <c r="Y24" s="7" t="s">
        <v>80</v>
      </c>
      <c r="Z24" s="7">
        <v>0.88089066326005128</v>
      </c>
    </row>
    <row r="25" spans="1:30" x14ac:dyDescent="0.25">
      <c r="A25">
        <v>250</v>
      </c>
      <c r="B25">
        <f t="shared" ref="B25:B40" si="5">C25*A25</f>
        <v>3250000</v>
      </c>
      <c r="C25">
        <v>13000</v>
      </c>
      <c r="D25">
        <f t="shared" si="3"/>
        <v>280000000</v>
      </c>
      <c r="E25">
        <f t="shared" si="1"/>
        <v>290.40209332050796</v>
      </c>
      <c r="G25">
        <v>250</v>
      </c>
      <c r="H25">
        <f t="shared" ref="H25:H40" si="6">I25*G25</f>
        <v>3250000</v>
      </c>
      <c r="I25">
        <v>13000</v>
      </c>
      <c r="J25">
        <f t="shared" si="4"/>
        <v>855000000</v>
      </c>
      <c r="K25">
        <f t="shared" si="2"/>
        <v>927.89384258415828</v>
      </c>
      <c r="O25" s="7" t="s">
        <v>81</v>
      </c>
      <c r="P25" s="7">
        <v>0.95106292279707083</v>
      </c>
      <c r="Y25" s="7" t="s">
        <v>81</v>
      </c>
      <c r="Z25" s="7">
        <v>0.85442192176228504</v>
      </c>
    </row>
    <row r="26" spans="1:30" x14ac:dyDescent="0.25">
      <c r="A26">
        <v>300</v>
      </c>
      <c r="B26">
        <f t="shared" si="5"/>
        <v>3900000</v>
      </c>
      <c r="C26">
        <v>13000</v>
      </c>
      <c r="D26">
        <f t="shared" si="3"/>
        <v>336000000.00000006</v>
      </c>
      <c r="E26">
        <f t="shared" si="1"/>
        <v>350.55367456369231</v>
      </c>
      <c r="G26">
        <v>300</v>
      </c>
      <c r="H26">
        <f t="shared" si="6"/>
        <v>3900000</v>
      </c>
      <c r="I26">
        <v>13000</v>
      </c>
      <c r="J26">
        <f t="shared" si="4"/>
        <v>1026000000</v>
      </c>
      <c r="K26">
        <f t="shared" si="2"/>
        <v>1124.4232146300733</v>
      </c>
      <c r="O26" s="7" t="s">
        <v>82</v>
      </c>
      <c r="P26" s="7">
        <v>13.307416758100223</v>
      </c>
      <c r="Y26" s="7" t="s">
        <v>82</v>
      </c>
      <c r="Z26" s="7">
        <v>69.201448774718187</v>
      </c>
    </row>
    <row r="27" spans="1:30" ht="15.75" thickBot="1" x14ac:dyDescent="0.3">
      <c r="A27">
        <v>350</v>
      </c>
      <c r="B27">
        <f t="shared" si="5"/>
        <v>4550000</v>
      </c>
      <c r="C27">
        <v>13000</v>
      </c>
      <c r="D27">
        <f t="shared" si="3"/>
        <v>392000000.00000006</v>
      </c>
      <c r="E27">
        <f t="shared" si="1"/>
        <v>410.70525580687661</v>
      </c>
      <c r="G27">
        <v>350</v>
      </c>
      <c r="H27">
        <f t="shared" si="6"/>
        <v>4550000</v>
      </c>
      <c r="I27">
        <v>13000</v>
      </c>
      <c r="J27">
        <f t="shared" si="4"/>
        <v>1197000000</v>
      </c>
      <c r="K27">
        <f t="shared" si="2"/>
        <v>1320.9525866759882</v>
      </c>
      <c r="O27" s="8" t="s">
        <v>83</v>
      </c>
      <c r="P27" s="8">
        <v>12</v>
      </c>
      <c r="Y27" s="8" t="s">
        <v>83</v>
      </c>
      <c r="Z27" s="8">
        <v>12</v>
      </c>
    </row>
    <row r="28" spans="1:30" x14ac:dyDescent="0.25">
      <c r="A28">
        <v>400</v>
      </c>
      <c r="B28">
        <f t="shared" si="5"/>
        <v>5200000</v>
      </c>
      <c r="C28">
        <v>13000</v>
      </c>
      <c r="D28">
        <f t="shared" si="3"/>
        <v>448000000.00000006</v>
      </c>
      <c r="E28">
        <f t="shared" si="1"/>
        <v>470.85683705006102</v>
      </c>
      <c r="G28">
        <v>400</v>
      </c>
      <c r="H28">
        <f t="shared" si="6"/>
        <v>5200000</v>
      </c>
      <c r="I28">
        <v>13000</v>
      </c>
      <c r="J28">
        <f t="shared" si="4"/>
        <v>1368000000</v>
      </c>
      <c r="K28">
        <f t="shared" si="2"/>
        <v>1517.4819587219031</v>
      </c>
    </row>
    <row r="29" spans="1:30" ht="15.75" thickBot="1" x14ac:dyDescent="0.3">
      <c r="A29">
        <v>450</v>
      </c>
      <c r="B29">
        <f t="shared" si="5"/>
        <v>5850000</v>
      </c>
      <c r="C29">
        <v>13000</v>
      </c>
      <c r="D29">
        <f t="shared" si="3"/>
        <v>504000000.00000006</v>
      </c>
      <c r="E29">
        <f t="shared" si="1"/>
        <v>531.00841829324531</v>
      </c>
      <c r="G29">
        <v>450</v>
      </c>
      <c r="H29">
        <f t="shared" si="6"/>
        <v>5850000</v>
      </c>
      <c r="I29">
        <v>13000</v>
      </c>
      <c r="J29">
        <f t="shared" si="4"/>
        <v>1539000000</v>
      </c>
      <c r="K29">
        <f t="shared" si="2"/>
        <v>1714.011330767818</v>
      </c>
      <c r="O29" t="s">
        <v>84</v>
      </c>
      <c r="Y29" t="s">
        <v>84</v>
      </c>
    </row>
    <row r="30" spans="1:30" x14ac:dyDescent="0.25">
      <c r="A30">
        <v>500</v>
      </c>
      <c r="B30">
        <f t="shared" si="5"/>
        <v>6500000</v>
      </c>
      <c r="C30">
        <v>13000</v>
      </c>
      <c r="D30">
        <f t="shared" si="3"/>
        <v>560000000</v>
      </c>
      <c r="E30">
        <f t="shared" si="1"/>
        <v>591.1599995364295</v>
      </c>
      <c r="G30">
        <v>500</v>
      </c>
      <c r="H30">
        <f t="shared" si="6"/>
        <v>6500000</v>
      </c>
      <c r="I30">
        <v>13000</v>
      </c>
      <c r="J30">
        <f t="shared" si="4"/>
        <v>1710000000</v>
      </c>
      <c r="K30">
        <f t="shared" si="2"/>
        <v>1910.5407028137329</v>
      </c>
      <c r="O30" s="9"/>
      <c r="P30" s="9" t="s">
        <v>89</v>
      </c>
      <c r="Q30" s="9" t="s">
        <v>90</v>
      </c>
      <c r="R30" s="9" t="s">
        <v>91</v>
      </c>
      <c r="S30" s="9" t="s">
        <v>10</v>
      </c>
      <c r="T30" s="9" t="s">
        <v>92</v>
      </c>
      <c r="Y30" s="9"/>
      <c r="Z30" s="9" t="s">
        <v>89</v>
      </c>
      <c r="AA30" s="9" t="s">
        <v>90</v>
      </c>
      <c r="AB30" s="9" t="s">
        <v>91</v>
      </c>
      <c r="AC30" s="9" t="s">
        <v>10</v>
      </c>
      <c r="AD30" s="9" t="s">
        <v>92</v>
      </c>
    </row>
    <row r="31" spans="1:30" x14ac:dyDescent="0.25">
      <c r="A31">
        <v>550</v>
      </c>
      <c r="B31">
        <f t="shared" si="5"/>
        <v>7150000</v>
      </c>
      <c r="C31">
        <v>13000</v>
      </c>
      <c r="D31">
        <f t="shared" si="3"/>
        <v>616000000.00000012</v>
      </c>
      <c r="E31">
        <f t="shared" si="1"/>
        <v>651.31158077961391</v>
      </c>
      <c r="G31">
        <v>550</v>
      </c>
      <c r="H31">
        <f t="shared" si="6"/>
        <v>7150000</v>
      </c>
      <c r="I31">
        <v>13000</v>
      </c>
      <c r="J31">
        <f t="shared" si="4"/>
        <v>1881000000</v>
      </c>
      <c r="K31">
        <f t="shared" si="2"/>
        <v>2107.0700748596478</v>
      </c>
      <c r="O31" s="7" t="s">
        <v>85</v>
      </c>
      <c r="P31" s="7">
        <v>2</v>
      </c>
      <c r="Q31" s="7">
        <v>38211.630599702788</v>
      </c>
      <c r="R31" s="7">
        <v>19105.815299851394</v>
      </c>
      <c r="S31" s="7">
        <v>107.88922130949798</v>
      </c>
      <c r="T31" s="7">
        <v>5.1427490430817188E-7</v>
      </c>
      <c r="Y31" s="7" t="s">
        <v>85</v>
      </c>
      <c r="Z31" s="7">
        <v>2</v>
      </c>
      <c r="AA31" s="7">
        <v>318749.18538732047</v>
      </c>
      <c r="AB31" s="7">
        <v>159374.59269366023</v>
      </c>
      <c r="AC31" s="7">
        <v>33.280413552506346</v>
      </c>
      <c r="AD31" s="7">
        <v>6.9463414638694794E-5</v>
      </c>
    </row>
    <row r="32" spans="1:30" x14ac:dyDescent="0.25">
      <c r="A32">
        <v>600</v>
      </c>
      <c r="B32">
        <f t="shared" si="5"/>
        <v>7800000</v>
      </c>
      <c r="C32">
        <v>13000</v>
      </c>
      <c r="D32">
        <f t="shared" si="3"/>
        <v>672000000.00000012</v>
      </c>
      <c r="E32">
        <f t="shared" si="1"/>
        <v>711.4631620227982</v>
      </c>
      <c r="G32">
        <v>600</v>
      </c>
      <c r="H32">
        <f t="shared" si="6"/>
        <v>7800000</v>
      </c>
      <c r="I32">
        <v>13000</v>
      </c>
      <c r="J32">
        <f t="shared" si="4"/>
        <v>2052000000</v>
      </c>
      <c r="K32">
        <f t="shared" si="2"/>
        <v>2303.5994469055627</v>
      </c>
      <c r="O32" s="7" t="s">
        <v>86</v>
      </c>
      <c r="P32" s="7">
        <v>9</v>
      </c>
      <c r="Q32" s="7">
        <v>1593.7860669638997</v>
      </c>
      <c r="R32" s="7">
        <v>177.08734077376664</v>
      </c>
      <c r="S32" s="7"/>
      <c r="T32" s="7"/>
      <c r="Y32" s="7" t="s">
        <v>86</v>
      </c>
      <c r="Z32" s="7">
        <v>9</v>
      </c>
      <c r="AA32" s="7">
        <v>43099.564612679504</v>
      </c>
      <c r="AB32" s="7">
        <v>4788.8405125199452</v>
      </c>
      <c r="AC32" s="7"/>
      <c r="AD32" s="7"/>
    </row>
    <row r="33" spans="1:33" ht="15.75" thickBot="1" x14ac:dyDescent="0.3">
      <c r="A33">
        <v>650</v>
      </c>
      <c r="B33">
        <f t="shared" si="5"/>
        <v>8450000</v>
      </c>
      <c r="C33">
        <v>13000</v>
      </c>
      <c r="D33">
        <f t="shared" si="3"/>
        <v>728000000.00000012</v>
      </c>
      <c r="E33">
        <f t="shared" si="1"/>
        <v>771.6147432659825</v>
      </c>
      <c r="G33">
        <v>650</v>
      </c>
      <c r="H33">
        <f t="shared" si="6"/>
        <v>8450000</v>
      </c>
      <c r="I33">
        <v>13000</v>
      </c>
      <c r="J33">
        <f t="shared" si="4"/>
        <v>2223000000</v>
      </c>
      <c r="K33">
        <f t="shared" si="2"/>
        <v>2500.1288189514776</v>
      </c>
      <c r="O33" s="8" t="s">
        <v>87</v>
      </c>
      <c r="P33" s="8">
        <v>11</v>
      </c>
      <c r="Q33" s="8">
        <v>39805.416666666686</v>
      </c>
      <c r="R33" s="8"/>
      <c r="S33" s="8"/>
      <c r="T33" s="8"/>
      <c r="Y33" s="8" t="s">
        <v>87</v>
      </c>
      <c r="Z33" s="8">
        <v>11</v>
      </c>
      <c r="AA33" s="8">
        <v>361848.75</v>
      </c>
      <c r="AB33" s="8"/>
      <c r="AC33" s="8"/>
      <c r="AD33" s="8"/>
    </row>
    <row r="34" spans="1:33" ht="15.75" thickBot="1" x14ac:dyDescent="0.3">
      <c r="A34">
        <v>700</v>
      </c>
      <c r="B34">
        <f t="shared" si="5"/>
        <v>9100000</v>
      </c>
      <c r="C34">
        <v>13000</v>
      </c>
      <c r="D34">
        <f t="shared" si="3"/>
        <v>784000000.00000012</v>
      </c>
      <c r="E34">
        <f t="shared" si="1"/>
        <v>831.76632450916679</v>
      </c>
      <c r="G34">
        <v>700</v>
      </c>
      <c r="H34">
        <f t="shared" si="6"/>
        <v>9100000</v>
      </c>
      <c r="I34">
        <v>13000</v>
      </c>
      <c r="J34">
        <f t="shared" si="4"/>
        <v>2394000000</v>
      </c>
      <c r="K34">
        <f t="shared" si="2"/>
        <v>2696.6581909973925</v>
      </c>
    </row>
    <row r="35" spans="1:33" x14ac:dyDescent="0.25">
      <c r="A35">
        <v>750</v>
      </c>
      <c r="B35">
        <f t="shared" si="5"/>
        <v>9750000</v>
      </c>
      <c r="C35">
        <v>13000</v>
      </c>
      <c r="D35">
        <f t="shared" si="3"/>
        <v>840000000.00000012</v>
      </c>
      <c r="E35">
        <f t="shared" si="1"/>
        <v>891.9179057523512</v>
      </c>
      <c r="G35">
        <v>750</v>
      </c>
      <c r="H35">
        <f t="shared" si="6"/>
        <v>9750000</v>
      </c>
      <c r="I35">
        <v>13000</v>
      </c>
      <c r="J35">
        <f t="shared" si="4"/>
        <v>2565000000</v>
      </c>
      <c r="K35">
        <f t="shared" si="2"/>
        <v>2893.1875630433074</v>
      </c>
      <c r="O35" s="9"/>
      <c r="P35" s="9" t="s">
        <v>93</v>
      </c>
      <c r="Q35" s="9" t="s">
        <v>82</v>
      </c>
      <c r="R35" s="9" t="s">
        <v>94</v>
      </c>
      <c r="S35" s="9" t="s">
        <v>95</v>
      </c>
      <c r="T35" s="9" t="s">
        <v>96</v>
      </c>
      <c r="U35" s="9" t="s">
        <v>97</v>
      </c>
      <c r="V35" s="9" t="s">
        <v>98</v>
      </c>
      <c r="W35" s="9" t="s">
        <v>99</v>
      </c>
      <c r="Y35" s="9"/>
      <c r="Z35" s="9" t="s">
        <v>93</v>
      </c>
      <c r="AA35" s="9" t="s">
        <v>82</v>
      </c>
      <c r="AB35" s="9" t="s">
        <v>94</v>
      </c>
      <c r="AC35" s="9" t="s">
        <v>95</v>
      </c>
      <c r="AD35" s="9" t="s">
        <v>96</v>
      </c>
      <c r="AE35" s="9" t="s">
        <v>97</v>
      </c>
      <c r="AF35" s="9" t="s">
        <v>98</v>
      </c>
      <c r="AG35" s="9" t="s">
        <v>99</v>
      </c>
    </row>
    <row r="36" spans="1:33" x14ac:dyDescent="0.25">
      <c r="A36">
        <v>800</v>
      </c>
      <c r="B36">
        <f t="shared" si="5"/>
        <v>10400000</v>
      </c>
      <c r="C36">
        <v>13000</v>
      </c>
      <c r="D36">
        <f t="shared" si="3"/>
        <v>896000000.00000012</v>
      </c>
      <c r="E36">
        <f t="shared" si="1"/>
        <v>952.0694869955355</v>
      </c>
      <c r="G36">
        <v>800</v>
      </c>
      <c r="H36">
        <f t="shared" si="6"/>
        <v>10400000</v>
      </c>
      <c r="I36">
        <v>13000</v>
      </c>
      <c r="J36">
        <f t="shared" si="4"/>
        <v>2736000000</v>
      </c>
      <c r="K36">
        <f t="shared" si="2"/>
        <v>3089.7169350892223</v>
      </c>
      <c r="O36" s="7" t="s">
        <v>88</v>
      </c>
      <c r="P36" s="7">
        <v>39.567835104559464</v>
      </c>
      <c r="Q36" s="7">
        <v>5.8986172990611365</v>
      </c>
      <c r="R36" s="7">
        <v>6.707984786681676</v>
      </c>
      <c r="S36" s="7">
        <v>8.7735845784733563E-5</v>
      </c>
      <c r="T36" s="7">
        <v>26.22423573088291</v>
      </c>
      <c r="U36" s="7">
        <v>52.911434478236018</v>
      </c>
      <c r="V36" s="7">
        <v>26.22423573088291</v>
      </c>
      <c r="W36" s="7">
        <v>52.911434478236018</v>
      </c>
      <c r="Y36" s="7" t="s">
        <v>88</v>
      </c>
      <c r="Z36" s="7">
        <v>198.26214946909886</v>
      </c>
      <c r="AA36" s="7">
        <v>32.340617443994461</v>
      </c>
      <c r="AB36" s="7">
        <v>6.1304379798078177</v>
      </c>
      <c r="AC36" s="7">
        <v>1.7275575511672468E-4</v>
      </c>
      <c r="AD36" s="7">
        <v>125.1025900688502</v>
      </c>
      <c r="AE36" s="7">
        <v>271.42170886934753</v>
      </c>
      <c r="AF36" s="7">
        <v>125.1025900688502</v>
      </c>
      <c r="AG36" s="7">
        <v>271.42170886934753</v>
      </c>
    </row>
    <row r="37" spans="1:33" x14ac:dyDescent="0.25">
      <c r="A37">
        <v>850</v>
      </c>
      <c r="B37">
        <f t="shared" si="5"/>
        <v>11050000</v>
      </c>
      <c r="C37">
        <v>13000</v>
      </c>
      <c r="D37">
        <f t="shared" si="3"/>
        <v>952000000.00000012</v>
      </c>
      <c r="E37">
        <f t="shared" si="1"/>
        <v>1012.2210682387198</v>
      </c>
      <c r="G37">
        <v>850</v>
      </c>
      <c r="H37">
        <f t="shared" si="6"/>
        <v>11050000</v>
      </c>
      <c r="I37">
        <v>13000</v>
      </c>
      <c r="J37">
        <f t="shared" si="4"/>
        <v>2907000000</v>
      </c>
      <c r="K37">
        <f t="shared" si="2"/>
        <v>3286.2463071351372</v>
      </c>
      <c r="O37" s="7" t="s">
        <v>100</v>
      </c>
      <c r="P37" s="7">
        <v>9.2540894220283573E-5</v>
      </c>
      <c r="Q37" s="7">
        <v>8.7889923415008414E-6</v>
      </c>
      <c r="R37" s="7">
        <v>10.529181346912056</v>
      </c>
      <c r="S37" s="7">
        <v>2.3257765236709474E-6</v>
      </c>
      <c r="T37" s="7">
        <v>7.2658812241178878E-5</v>
      </c>
      <c r="U37" s="7">
        <v>1.1242297619938827E-4</v>
      </c>
      <c r="V37" s="7">
        <v>7.2658812241178878E-5</v>
      </c>
      <c r="W37" s="7">
        <v>1.1242297619938827E-4</v>
      </c>
      <c r="Y37" s="7" t="s">
        <v>100</v>
      </c>
      <c r="Z37" s="7">
        <v>3.0235288007063831E-4</v>
      </c>
      <c r="AA37" s="7">
        <v>4.460781745478295E-5</v>
      </c>
      <c r="AB37" s="7">
        <v>6.7780245105495371</v>
      </c>
      <c r="AC37" s="7">
        <v>8.1038648058789092E-5</v>
      </c>
      <c r="AD37" s="7">
        <v>2.0144298629850625E-4</v>
      </c>
      <c r="AE37" s="7">
        <v>4.032627738427704E-4</v>
      </c>
      <c r="AF37" s="7">
        <v>2.0144298629850625E-4</v>
      </c>
      <c r="AG37" s="7">
        <v>4.032627738427704E-4</v>
      </c>
    </row>
    <row r="38" spans="1:33" ht="15.75" thickBot="1" x14ac:dyDescent="0.3">
      <c r="A38">
        <v>900</v>
      </c>
      <c r="B38">
        <f t="shared" si="5"/>
        <v>11700000</v>
      </c>
      <c r="C38">
        <v>13000</v>
      </c>
      <c r="D38">
        <f t="shared" si="3"/>
        <v>1008000000.0000001</v>
      </c>
      <c r="E38">
        <f t="shared" si="1"/>
        <v>1072.3726494819041</v>
      </c>
      <c r="G38">
        <v>900</v>
      </c>
      <c r="H38">
        <f t="shared" si="6"/>
        <v>11700000</v>
      </c>
      <c r="I38">
        <v>13000</v>
      </c>
      <c r="J38">
        <f t="shared" si="4"/>
        <v>3078000000</v>
      </c>
      <c r="K38">
        <f t="shared" si="2"/>
        <v>3482.7756791810521</v>
      </c>
      <c r="O38" s="8" t="s">
        <v>101</v>
      </c>
      <c r="P38" s="8">
        <v>-3.8402806153825454E-3</v>
      </c>
      <c r="Q38" s="8">
        <v>1.332711165910458E-3</v>
      </c>
      <c r="R38" s="8">
        <v>-2.881555068805183</v>
      </c>
      <c r="S38" s="8">
        <v>1.8132015569115364E-2</v>
      </c>
      <c r="T38" s="8">
        <v>-6.8550827252880355E-3</v>
      </c>
      <c r="U38" s="8">
        <v>-8.2547850547705533E-4</v>
      </c>
      <c r="V38" s="8">
        <v>-6.8550827252880355E-3</v>
      </c>
      <c r="W38" s="8">
        <v>-8.2547850547705533E-4</v>
      </c>
      <c r="Y38" s="8" t="s">
        <v>101</v>
      </c>
      <c r="Z38" s="8">
        <v>-1.9462705162655004E-2</v>
      </c>
      <c r="AA38" s="8">
        <v>6.8839642692857302E-3</v>
      </c>
      <c r="AB38" s="8">
        <v>-2.8272524959915901</v>
      </c>
      <c r="AC38" s="8">
        <v>1.9811054120046259E-2</v>
      </c>
      <c r="AD38" s="8">
        <v>-3.5035314242866634E-2</v>
      </c>
      <c r="AE38" s="8">
        <v>-3.8900960824433759E-3</v>
      </c>
      <c r="AF38" s="8">
        <v>-3.5035314242866634E-2</v>
      </c>
      <c r="AG38" s="8">
        <v>-3.8900960824433759E-3</v>
      </c>
    </row>
    <row r="39" spans="1:33" x14ac:dyDescent="0.25">
      <c r="A39">
        <v>950</v>
      </c>
      <c r="B39">
        <f t="shared" si="5"/>
        <v>12350000</v>
      </c>
      <c r="C39">
        <v>13000</v>
      </c>
      <c r="D39">
        <f t="shared" si="3"/>
        <v>1064000000</v>
      </c>
      <c r="E39">
        <f t="shared" si="1"/>
        <v>1132.5242307250885</v>
      </c>
      <c r="G39">
        <v>950</v>
      </c>
      <c r="H39">
        <f t="shared" si="6"/>
        <v>12350000</v>
      </c>
      <c r="I39">
        <v>13000</v>
      </c>
      <c r="J39">
        <f t="shared" si="4"/>
        <v>3249000000</v>
      </c>
      <c r="K39">
        <f t="shared" si="2"/>
        <v>3679.305051226967</v>
      </c>
    </row>
    <row r="40" spans="1:33" x14ac:dyDescent="0.25">
      <c r="A40">
        <v>1000</v>
      </c>
      <c r="B40">
        <f t="shared" si="5"/>
        <v>13000000</v>
      </c>
      <c r="C40">
        <v>13000</v>
      </c>
      <c r="D40">
        <f t="shared" si="3"/>
        <v>1120000000</v>
      </c>
      <c r="E40">
        <f t="shared" si="1"/>
        <v>1192.6758119682727</v>
      </c>
      <c r="G40">
        <v>1000</v>
      </c>
      <c r="H40">
        <f t="shared" si="6"/>
        <v>13000000</v>
      </c>
      <c r="I40">
        <v>13000</v>
      </c>
      <c r="J40">
        <f t="shared" si="4"/>
        <v>3420000000</v>
      </c>
      <c r="K40">
        <f t="shared" si="2"/>
        <v>3875.8344232728818</v>
      </c>
    </row>
    <row r="42" spans="1:33" x14ac:dyDescent="0.25">
      <c r="O42" t="s">
        <v>102</v>
      </c>
      <c r="Y42" t="s">
        <v>102</v>
      </c>
    </row>
    <row r="43" spans="1:33" ht="15.75" thickBot="1" x14ac:dyDescent="0.3"/>
    <row r="44" spans="1:33" x14ac:dyDescent="0.25">
      <c r="O44" s="9" t="s">
        <v>103</v>
      </c>
      <c r="P44" s="9" t="s">
        <v>104</v>
      </c>
      <c r="Q44" s="9" t="s">
        <v>105</v>
      </c>
      <c r="Y44" s="9" t="s">
        <v>103</v>
      </c>
      <c r="Z44" s="9" t="s">
        <v>104</v>
      </c>
      <c r="AA44" s="9" t="s">
        <v>105</v>
      </c>
    </row>
    <row r="45" spans="1:33" x14ac:dyDescent="0.25">
      <c r="O45" s="7">
        <v>1</v>
      </c>
      <c r="P45" s="7">
        <v>49.795768347770696</v>
      </c>
      <c r="Q45" s="7">
        <v>6.2042316522293106</v>
      </c>
      <c r="Y45" s="7">
        <v>1</v>
      </c>
      <c r="Z45" s="7">
        <v>141.77635440049869</v>
      </c>
      <c r="AA45" s="7">
        <v>29.22364559950131</v>
      </c>
    </row>
    <row r="46" spans="1:33" x14ac:dyDescent="0.25">
      <c r="O46" s="7">
        <v>2</v>
      </c>
      <c r="P46" s="7">
        <v>109.94734959095501</v>
      </c>
      <c r="Q46" s="7">
        <v>2.0526504090450004</v>
      </c>
      <c r="Y46" s="7">
        <v>2</v>
      </c>
      <c r="Z46" s="7">
        <v>338.30572644641359</v>
      </c>
      <c r="AA46" s="7">
        <v>3.6942735535864131</v>
      </c>
    </row>
    <row r="47" spans="1:33" x14ac:dyDescent="0.25">
      <c r="O47" s="7">
        <v>3</v>
      </c>
      <c r="P47" s="7">
        <v>170.09893083413934</v>
      </c>
      <c r="Q47" s="7">
        <v>-2.0989308341393098</v>
      </c>
      <c r="Y47" s="7">
        <v>3</v>
      </c>
      <c r="Z47" s="7">
        <v>534.83509849232848</v>
      </c>
      <c r="AA47" s="7">
        <v>-21.835098492328484</v>
      </c>
    </row>
    <row r="48" spans="1:33" x14ac:dyDescent="0.25">
      <c r="O48" s="7">
        <v>4</v>
      </c>
      <c r="P48" s="7">
        <v>230.25051207732363</v>
      </c>
      <c r="Q48" s="7">
        <v>-6.2505120773236058</v>
      </c>
      <c r="Y48" s="7">
        <v>4</v>
      </c>
      <c r="Z48" s="7">
        <v>731.36447053824338</v>
      </c>
      <c r="AA48" s="7">
        <v>-47.364470538243381</v>
      </c>
    </row>
    <row r="49" spans="15:27" x14ac:dyDescent="0.25">
      <c r="O49" s="7">
        <v>5</v>
      </c>
      <c r="P49" s="7">
        <v>42.400185848833345</v>
      </c>
      <c r="Q49" s="7">
        <v>-15.400185848833345</v>
      </c>
      <c r="Y49" s="7">
        <v>5</v>
      </c>
      <c r="Z49" s="7">
        <v>177.84036202122036</v>
      </c>
      <c r="AA49" s="7">
        <v>-51.840362021220358</v>
      </c>
    </row>
    <row r="50" spans="15:27" x14ac:dyDescent="0.25">
      <c r="O50" s="7">
        <v>6</v>
      </c>
      <c r="P50" s="7">
        <v>59.057546808484389</v>
      </c>
      <c r="Q50" s="7">
        <v>-5.0575468084843891</v>
      </c>
      <c r="Y50" s="7">
        <v>6</v>
      </c>
      <c r="Z50" s="7">
        <v>248.89328883782036</v>
      </c>
      <c r="AA50" s="7">
        <v>3.1067111621796357</v>
      </c>
    </row>
    <row r="51" spans="15:27" x14ac:dyDescent="0.25">
      <c r="O51" s="7">
        <v>7</v>
      </c>
      <c r="P51" s="7">
        <v>75.714907768135433</v>
      </c>
      <c r="Q51" s="7">
        <v>5.2850922318645672</v>
      </c>
      <c r="Y51" s="7">
        <v>7</v>
      </c>
      <c r="Z51" s="7">
        <v>319.94621565442037</v>
      </c>
      <c r="AA51" s="7">
        <v>58.053784345579629</v>
      </c>
    </row>
    <row r="52" spans="15:27" x14ac:dyDescent="0.25">
      <c r="O52" s="7">
        <v>8</v>
      </c>
      <c r="P52" s="7">
        <v>92.372268727786476</v>
      </c>
      <c r="Q52" s="7">
        <v>15.627731272213524</v>
      </c>
      <c r="Y52" s="7">
        <v>8</v>
      </c>
      <c r="Z52" s="7">
        <v>390.99914247102038</v>
      </c>
      <c r="AA52" s="7">
        <v>113.00085752897962</v>
      </c>
    </row>
    <row r="53" spans="15:27" x14ac:dyDescent="0.25">
      <c r="O53" s="7">
        <v>9</v>
      </c>
      <c r="P53" s="7">
        <v>40.511952019317427</v>
      </c>
      <c r="Q53" s="7">
        <v>-21.011952019317427</v>
      </c>
      <c r="Y53" s="7">
        <v>9</v>
      </c>
      <c r="Z53" s="7">
        <v>193.04807607815115</v>
      </c>
      <c r="AA53" s="7">
        <v>-113.54807607815115</v>
      </c>
    </row>
    <row r="54" spans="15:27" x14ac:dyDescent="0.25">
      <c r="O54" s="7">
        <v>10</v>
      </c>
      <c r="P54" s="7">
        <v>46.064405672534441</v>
      </c>
      <c r="Q54" s="7">
        <v>-7.0644056725344413</v>
      </c>
      <c r="Y54" s="7">
        <v>10</v>
      </c>
      <c r="Z54" s="7">
        <v>211.18924888238945</v>
      </c>
      <c r="AA54" s="7">
        <v>-52.18924888238945</v>
      </c>
    </row>
    <row r="55" spans="15:27" x14ac:dyDescent="0.25">
      <c r="O55" s="7">
        <v>11</v>
      </c>
      <c r="P55" s="7">
        <v>51.616859325751456</v>
      </c>
      <c r="Q55" s="7">
        <v>6.8831406742485441</v>
      </c>
      <c r="Y55" s="7">
        <v>11</v>
      </c>
      <c r="Z55" s="7">
        <v>229.33042168662774</v>
      </c>
      <c r="AA55" s="7">
        <v>9.1695783133722557</v>
      </c>
    </row>
    <row r="56" spans="15:27" ht="15.75" thickBot="1" x14ac:dyDescent="0.3">
      <c r="O56" s="8">
        <v>12</v>
      </c>
      <c r="P56" s="8">
        <v>57.16931297896847</v>
      </c>
      <c r="Q56" s="8">
        <v>20.83068702103153</v>
      </c>
      <c r="Y56" s="8">
        <v>12</v>
      </c>
      <c r="Z56" s="8">
        <v>247.47159449086604</v>
      </c>
      <c r="AA56" s="8">
        <v>70.528405509133961</v>
      </c>
    </row>
    <row r="57" spans="15:27" x14ac:dyDescent="0.25">
      <c r="Y57" s="7">
        <v>13</v>
      </c>
      <c r="Z57" s="7">
        <v>832.73378974792229</v>
      </c>
      <c r="AA57" s="7">
        <v>22.266210252077713</v>
      </c>
    </row>
    <row r="58" spans="15:27" x14ac:dyDescent="0.25">
      <c r="Y58" s="7">
        <v>14</v>
      </c>
      <c r="Z58" s="7">
        <v>1030.1196596272707</v>
      </c>
      <c r="AA58" s="7">
        <v>-4.1196596272707211</v>
      </c>
    </row>
    <row r="59" spans="15:27" x14ac:dyDescent="0.25">
      <c r="Y59" s="7">
        <v>15</v>
      </c>
      <c r="Z59" s="7">
        <v>1227.5055295066195</v>
      </c>
      <c r="AA59" s="7">
        <v>-30.505529506619496</v>
      </c>
    </row>
    <row r="60" spans="15:27" x14ac:dyDescent="0.25">
      <c r="Y60" s="7">
        <v>16</v>
      </c>
      <c r="Z60" s="7">
        <v>1424.8913993859678</v>
      </c>
      <c r="AA60" s="7">
        <v>-56.891399385967816</v>
      </c>
    </row>
    <row r="61" spans="15:27" x14ac:dyDescent="0.25">
      <c r="Y61" s="7">
        <v>17</v>
      </c>
      <c r="Z61" s="7">
        <v>633.10786470750327</v>
      </c>
      <c r="AA61" s="7">
        <v>-3.1078647075032677</v>
      </c>
    </row>
    <row r="62" spans="15:27" x14ac:dyDescent="0.25">
      <c r="Y62" s="7">
        <v>18</v>
      </c>
      <c r="Z62" s="7">
        <v>687.76856713563052</v>
      </c>
      <c r="AA62" s="7">
        <v>68.231432864369481</v>
      </c>
    </row>
    <row r="63" spans="15:27" x14ac:dyDescent="0.25">
      <c r="Y63" s="7">
        <v>19</v>
      </c>
      <c r="Z63" s="7">
        <v>742.42926956375777</v>
      </c>
      <c r="AA63" s="7">
        <v>139.57073043624223</v>
      </c>
    </row>
    <row r="64" spans="15:27" x14ac:dyDescent="0.25">
      <c r="Y64" s="7">
        <v>20</v>
      </c>
      <c r="Z64" s="7">
        <v>797.08997199188514</v>
      </c>
      <c r="AA64" s="7">
        <v>210.91002800811486</v>
      </c>
    </row>
    <row r="65" spans="25:27" x14ac:dyDescent="0.25">
      <c r="Y65" s="7">
        <v>21</v>
      </c>
      <c r="Z65" s="7">
        <v>582.13954342058764</v>
      </c>
      <c r="AA65" s="7">
        <v>-184.63954342058764</v>
      </c>
    </row>
    <row r="66" spans="25:27" x14ac:dyDescent="0.25">
      <c r="Y66" s="7">
        <v>22</v>
      </c>
      <c r="Z66" s="7">
        <v>600.3597775632968</v>
      </c>
      <c r="AA66" s="7">
        <v>-123.3597775632968</v>
      </c>
    </row>
    <row r="67" spans="25:27" x14ac:dyDescent="0.25">
      <c r="Y67" s="7">
        <v>23</v>
      </c>
      <c r="Z67" s="7">
        <v>618.58001170600585</v>
      </c>
      <c r="AA67" s="7">
        <v>-62.080011706005848</v>
      </c>
    </row>
    <row r="68" spans="25:27" x14ac:dyDescent="0.25">
      <c r="Y68" s="7">
        <v>24</v>
      </c>
      <c r="Z68" s="7">
        <v>636.80024584871501</v>
      </c>
      <c r="AA68" s="7">
        <v>-0.80024584871500792</v>
      </c>
    </row>
    <row r="69" spans="25:27" x14ac:dyDescent="0.25">
      <c r="Y69" s="7">
        <v>25</v>
      </c>
      <c r="Z69" s="7">
        <v>1622.2772692653166</v>
      </c>
      <c r="AA69" s="7">
        <v>-83.27726926531659</v>
      </c>
    </row>
    <row r="70" spans="25:27" x14ac:dyDescent="0.25">
      <c r="Y70" s="7">
        <v>26</v>
      </c>
      <c r="Z70" s="7">
        <v>1819.6631391446649</v>
      </c>
      <c r="AA70" s="7">
        <v>-109.66313914466491</v>
      </c>
    </row>
    <row r="71" spans="25:27" x14ac:dyDescent="0.25">
      <c r="Y71" s="7">
        <v>27</v>
      </c>
      <c r="Z71" s="7">
        <v>2017.0490090240137</v>
      </c>
      <c r="AA71" s="7">
        <v>-136.04900902401369</v>
      </c>
    </row>
    <row r="72" spans="25:27" x14ac:dyDescent="0.25">
      <c r="Y72" s="7">
        <v>28</v>
      </c>
      <c r="Z72" s="7">
        <v>2214.434878903362</v>
      </c>
      <c r="AA72" s="7">
        <v>-162.43487890336201</v>
      </c>
    </row>
    <row r="73" spans="25:27" x14ac:dyDescent="0.25">
      <c r="Y73" s="7">
        <v>29</v>
      </c>
      <c r="Z73" s="7">
        <v>851.7506744200125</v>
      </c>
      <c r="AA73" s="7">
        <v>282.2493255799875</v>
      </c>
    </row>
    <row r="74" spans="25:27" x14ac:dyDescent="0.25">
      <c r="Y74" s="7">
        <v>30</v>
      </c>
      <c r="Z74" s="7">
        <v>906.41137684813975</v>
      </c>
      <c r="AA74" s="7">
        <v>353.58862315186025</v>
      </c>
    </row>
    <row r="75" spans="25:27" x14ac:dyDescent="0.25">
      <c r="Y75" s="7">
        <v>31</v>
      </c>
      <c r="Z75" s="7">
        <v>961.072079276267</v>
      </c>
      <c r="AA75" s="7">
        <v>424.927920723733</v>
      </c>
    </row>
    <row r="76" spans="25:27" x14ac:dyDescent="0.25">
      <c r="Y76" s="7">
        <v>32</v>
      </c>
      <c r="Z76" s="7">
        <v>1015.7327817043943</v>
      </c>
      <c r="AA76" s="7">
        <v>496.26721829560574</v>
      </c>
    </row>
    <row r="77" spans="25:27" x14ac:dyDescent="0.25">
      <c r="Y77" s="7">
        <v>33</v>
      </c>
      <c r="Z77" s="7">
        <v>655.02047999142405</v>
      </c>
      <c r="AA77" s="7">
        <v>60.479520008575946</v>
      </c>
    </row>
    <row r="78" spans="25:27" x14ac:dyDescent="0.25">
      <c r="Y78" s="7">
        <v>34</v>
      </c>
      <c r="Z78" s="7">
        <v>673.2407141341331</v>
      </c>
      <c r="AA78" s="7">
        <v>121.7592858658669</v>
      </c>
    </row>
    <row r="79" spans="25:27" x14ac:dyDescent="0.25">
      <c r="Y79" s="7">
        <v>35</v>
      </c>
      <c r="Z79" s="7">
        <v>691.46094827684226</v>
      </c>
      <c r="AA79" s="7">
        <v>183.03905172315774</v>
      </c>
    </row>
    <row r="80" spans="25:27" ht="15.75" thickBot="1" x14ac:dyDescent="0.3">
      <c r="Y80" s="8">
        <v>36</v>
      </c>
      <c r="Z80" s="8">
        <v>709.68118241955142</v>
      </c>
      <c r="AA80" s="8">
        <v>244.31881758044858</v>
      </c>
    </row>
    <row r="81" spans="25:27" x14ac:dyDescent="0.25">
      <c r="Y81" t="s">
        <v>102</v>
      </c>
    </row>
    <row r="82" spans="25:27" ht="15.75" thickBot="1" x14ac:dyDescent="0.3"/>
    <row r="83" spans="25:27" x14ac:dyDescent="0.25">
      <c r="Y83" s="9" t="s">
        <v>103</v>
      </c>
      <c r="Z83" s="9" t="s">
        <v>104</v>
      </c>
      <c r="AA83" s="9" t="s">
        <v>105</v>
      </c>
    </row>
    <row r="84" spans="25:27" x14ac:dyDescent="0.25">
      <c r="Y84" s="7">
        <v>1</v>
      </c>
      <c r="Z84" s="7">
        <v>196.57832677676012</v>
      </c>
      <c r="AA84" s="7">
        <v>-25.578326776760122</v>
      </c>
    </row>
    <row r="85" spans="25:27" x14ac:dyDescent="0.25">
      <c r="Y85" s="7">
        <v>2</v>
      </c>
      <c r="Z85" s="7">
        <v>393.05682104494429</v>
      </c>
      <c r="AA85" s="7">
        <v>-51.056821044944286</v>
      </c>
    </row>
    <row r="86" spans="25:27" x14ac:dyDescent="0.25">
      <c r="Y86" s="7">
        <v>3</v>
      </c>
      <c r="Z86" s="7">
        <v>589.53531531312842</v>
      </c>
      <c r="AA86" s="7">
        <v>-76.535315313128422</v>
      </c>
    </row>
    <row r="87" spans="25:27" x14ac:dyDescent="0.25">
      <c r="Y87" s="7">
        <v>4</v>
      </c>
      <c r="Z87" s="7">
        <v>786.01380958131267</v>
      </c>
      <c r="AA87" s="7">
        <v>-102.01380958131267</v>
      </c>
    </row>
    <row r="88" spans="25:27" x14ac:dyDescent="0.25">
      <c r="Y88" s="7">
        <v>5</v>
      </c>
      <c r="Z88" s="7">
        <v>71.070625834674814</v>
      </c>
      <c r="AA88" s="7">
        <v>54.929374165325186</v>
      </c>
    </row>
    <row r="89" spans="25:27" x14ac:dyDescent="0.25">
      <c r="Y89" s="7">
        <v>6</v>
      </c>
      <c r="Z89" s="7">
        <v>142.10515837778755</v>
      </c>
      <c r="AA89" s="7">
        <v>109.89484162221245</v>
      </c>
    </row>
    <row r="90" spans="25:27" x14ac:dyDescent="0.25">
      <c r="Y90" s="7">
        <v>7</v>
      </c>
      <c r="Z90" s="7">
        <v>213.13969092090028</v>
      </c>
      <c r="AA90" s="7">
        <v>164.86030907909972</v>
      </c>
    </row>
    <row r="91" spans="25:27" x14ac:dyDescent="0.25">
      <c r="Y91" s="7">
        <v>8</v>
      </c>
      <c r="Z91" s="7">
        <v>284.17422346401298</v>
      </c>
      <c r="AA91" s="7">
        <v>219.82577653598702</v>
      </c>
    </row>
    <row r="92" spans="25:27" x14ac:dyDescent="0.25">
      <c r="Y92" s="7">
        <v>9</v>
      </c>
      <c r="Z92" s="7">
        <v>18.145691702470163</v>
      </c>
      <c r="AA92" s="7">
        <v>61.35430829752984</v>
      </c>
    </row>
    <row r="93" spans="25:27" x14ac:dyDescent="0.25">
      <c r="Y93" s="7">
        <v>10</v>
      </c>
      <c r="Z93" s="7">
        <v>36.282168096456395</v>
      </c>
      <c r="AA93" s="7">
        <v>122.71783190354361</v>
      </c>
    </row>
    <row r="94" spans="25:27" x14ac:dyDescent="0.25">
      <c r="Y94" s="7">
        <v>11</v>
      </c>
      <c r="Z94" s="7">
        <v>54.418644490442624</v>
      </c>
      <c r="AA94" s="7">
        <v>184.08135550955737</v>
      </c>
    </row>
    <row r="95" spans="25:27" x14ac:dyDescent="0.25">
      <c r="Y95" s="7">
        <v>12</v>
      </c>
      <c r="Z95" s="7">
        <v>72.555120884428845</v>
      </c>
      <c r="AA95" s="7">
        <v>245.44487911557115</v>
      </c>
    </row>
    <row r="96" spans="25:27" x14ac:dyDescent="0.25">
      <c r="Y96" s="7">
        <v>13</v>
      </c>
      <c r="Z96" s="7">
        <v>982.49230384949681</v>
      </c>
      <c r="AA96" s="7">
        <v>-127.49230384949681</v>
      </c>
    </row>
    <row r="97" spans="25:27" x14ac:dyDescent="0.25">
      <c r="Y97" s="7">
        <v>14</v>
      </c>
      <c r="Z97" s="7">
        <v>1178.9707981176807</v>
      </c>
      <c r="AA97" s="7">
        <v>-152.97079811768072</v>
      </c>
    </row>
    <row r="98" spans="25:27" x14ac:dyDescent="0.25">
      <c r="Y98" s="7">
        <v>15</v>
      </c>
      <c r="Z98" s="7">
        <v>1375.449292385865</v>
      </c>
      <c r="AA98" s="7">
        <v>-178.44929238586496</v>
      </c>
    </row>
    <row r="99" spans="25:27" x14ac:dyDescent="0.25">
      <c r="Y99" s="7">
        <v>16</v>
      </c>
      <c r="Z99" s="7">
        <v>1571.9277866540492</v>
      </c>
      <c r="AA99" s="7">
        <v>-203.92778665404921</v>
      </c>
    </row>
    <row r="100" spans="25:27" x14ac:dyDescent="0.25">
      <c r="Y100" s="7">
        <v>17</v>
      </c>
      <c r="Z100" s="7">
        <v>272.07479183524526</v>
      </c>
      <c r="AA100" s="7">
        <v>357.92520816475474</v>
      </c>
    </row>
    <row r="101" spans="25:27" x14ac:dyDescent="0.25">
      <c r="Y101" s="7">
        <v>18</v>
      </c>
      <c r="Z101" s="7">
        <v>326.48422101720394</v>
      </c>
      <c r="AA101" s="7">
        <v>429.51577898279606</v>
      </c>
    </row>
    <row r="102" spans="25:27" x14ac:dyDescent="0.25">
      <c r="Y102" s="7">
        <v>19</v>
      </c>
      <c r="Z102" s="7">
        <v>380.89365019916261</v>
      </c>
      <c r="AA102" s="7">
        <v>501.10634980083739</v>
      </c>
    </row>
    <row r="103" spans="25:27" x14ac:dyDescent="0.25">
      <c r="Y103" s="7">
        <v>20</v>
      </c>
      <c r="Z103" s="7">
        <v>435.30307938112128</v>
      </c>
      <c r="AA103" s="7">
        <v>572.69692061887872</v>
      </c>
    </row>
    <row r="104" spans="25:27" x14ac:dyDescent="0.25">
      <c r="Y104" s="7">
        <v>21</v>
      </c>
      <c r="Z104" s="7">
        <v>90.691597278415074</v>
      </c>
      <c r="AA104" s="7">
        <v>306.80840272158491</v>
      </c>
    </row>
    <row r="105" spans="25:27" x14ac:dyDescent="0.25">
      <c r="Y105" s="7">
        <v>22</v>
      </c>
      <c r="Z105" s="7">
        <v>108.8280736724013</v>
      </c>
      <c r="AA105" s="7">
        <v>368.17192632759873</v>
      </c>
    </row>
    <row r="106" spans="25:27" x14ac:dyDescent="0.25">
      <c r="Y106" s="7">
        <v>23</v>
      </c>
      <c r="Z106" s="7">
        <v>126.96455006638755</v>
      </c>
      <c r="AA106" s="7">
        <v>429.53544993361243</v>
      </c>
    </row>
    <row r="107" spans="25:27" x14ac:dyDescent="0.25">
      <c r="Y107" s="7">
        <v>24</v>
      </c>
      <c r="Z107" s="7">
        <v>145.10102646037376</v>
      </c>
      <c r="AA107" s="7">
        <v>490.89897353962624</v>
      </c>
    </row>
    <row r="108" spans="25:27" x14ac:dyDescent="0.25">
      <c r="Y108" s="7">
        <v>25</v>
      </c>
      <c r="Z108" s="7">
        <v>1768.4062809222332</v>
      </c>
      <c r="AA108" s="7">
        <v>-229.40628092223324</v>
      </c>
    </row>
    <row r="109" spans="25:27" x14ac:dyDescent="0.25">
      <c r="Y109" s="7">
        <v>26</v>
      </c>
      <c r="Z109" s="7">
        <v>1964.8847751904175</v>
      </c>
      <c r="AA109" s="7">
        <v>-254.88477519041749</v>
      </c>
    </row>
    <row r="110" spans="25:27" x14ac:dyDescent="0.25">
      <c r="Y110" s="7">
        <v>27</v>
      </c>
      <c r="Z110" s="7">
        <v>2161.3632694586017</v>
      </c>
      <c r="AA110" s="7">
        <v>-280.36326945860174</v>
      </c>
    </row>
    <row r="111" spans="25:27" x14ac:dyDescent="0.25">
      <c r="Y111" s="7">
        <v>28</v>
      </c>
      <c r="Z111" s="7">
        <v>2357.8417637267858</v>
      </c>
      <c r="AA111" s="7">
        <v>-305.84176372678576</v>
      </c>
    </row>
    <row r="112" spans="25:27" x14ac:dyDescent="0.25">
      <c r="Y112" s="7">
        <v>29</v>
      </c>
      <c r="Z112" s="7">
        <v>489.71250856308001</v>
      </c>
      <c r="AA112" s="7">
        <v>644.28749143691994</v>
      </c>
    </row>
    <row r="113" spans="25:27" x14ac:dyDescent="0.25">
      <c r="Y113" s="7">
        <v>30</v>
      </c>
      <c r="Z113" s="7">
        <v>544.12193774503874</v>
      </c>
      <c r="AA113" s="7">
        <v>715.87806225496126</v>
      </c>
    </row>
    <row r="114" spans="25:27" x14ac:dyDescent="0.25">
      <c r="Y114" s="7">
        <v>31</v>
      </c>
      <c r="Z114" s="7">
        <v>598.53136692699741</v>
      </c>
      <c r="AA114" s="7">
        <v>787.46863307300259</v>
      </c>
    </row>
    <row r="115" spans="25:27" x14ac:dyDescent="0.25">
      <c r="Y115" s="7">
        <v>32</v>
      </c>
      <c r="Z115" s="7">
        <v>652.94079610895608</v>
      </c>
      <c r="AA115" s="7">
        <v>859.05920389104392</v>
      </c>
    </row>
    <row r="116" spans="25:27" x14ac:dyDescent="0.25">
      <c r="Y116" s="7">
        <v>33</v>
      </c>
      <c r="Z116" s="7">
        <v>163.23750285436</v>
      </c>
      <c r="AA116" s="7">
        <v>552.26249714564005</v>
      </c>
    </row>
    <row r="117" spans="25:27" x14ac:dyDescent="0.25">
      <c r="Y117" s="7">
        <v>34</v>
      </c>
      <c r="Z117" s="7">
        <v>181.37397924834622</v>
      </c>
      <c r="AA117" s="7">
        <v>613.62602075165375</v>
      </c>
    </row>
    <row r="118" spans="25:27" x14ac:dyDescent="0.25">
      <c r="Y118" s="7">
        <v>35</v>
      </c>
      <c r="Z118" s="7">
        <v>199.51045564233246</v>
      </c>
      <c r="AA118" s="7">
        <v>674.98954435766757</v>
      </c>
    </row>
    <row r="119" spans="25:27" ht="15.75" thickBot="1" x14ac:dyDescent="0.3">
      <c r="Y119" s="8">
        <v>36</v>
      </c>
      <c r="Z119" s="8">
        <v>217.64693203631867</v>
      </c>
      <c r="AA119" s="8">
        <v>736.35306796368127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D6FE-4E00-4CD6-871A-4D2AE5966951}">
  <dimension ref="A1:V19"/>
  <sheetViews>
    <sheetView workbookViewId="0">
      <selection activeCell="U9" sqref="U9"/>
    </sheetView>
  </sheetViews>
  <sheetFormatPr defaultRowHeight="15" x14ac:dyDescent="0.25"/>
  <cols>
    <col min="11" max="11" width="15.5703125" bestFit="1" customWidth="1"/>
    <col min="12" max="12" width="13.140625" bestFit="1" customWidth="1"/>
    <col min="22" max="22" width="14.7109375" bestFit="1" customWidth="1"/>
  </cols>
  <sheetData>
    <row r="1" spans="1:22" x14ac:dyDescent="0.25">
      <c r="A1" t="s">
        <v>56</v>
      </c>
      <c r="K1" t="s">
        <v>22</v>
      </c>
      <c r="L1">
        <v>300</v>
      </c>
      <c r="M1" t="s">
        <v>23</v>
      </c>
      <c r="N1">
        <v>0.7</v>
      </c>
    </row>
    <row r="2" spans="1:22" x14ac:dyDescent="0.25">
      <c r="L2" t="s">
        <v>11</v>
      </c>
      <c r="N2" t="s">
        <v>53</v>
      </c>
    </row>
    <row r="4" spans="1:22" x14ac:dyDescent="0.25">
      <c r="M4" t="s">
        <v>52</v>
      </c>
      <c r="N4" t="s">
        <v>52</v>
      </c>
      <c r="O4" t="s">
        <v>52</v>
      </c>
      <c r="P4" t="s">
        <v>52</v>
      </c>
      <c r="Q4" t="s">
        <v>52</v>
      </c>
      <c r="R4" t="s">
        <v>52</v>
      </c>
    </row>
    <row r="5" spans="1:22" x14ac:dyDescent="0.25">
      <c r="B5" t="s">
        <v>24</v>
      </c>
      <c r="K5" t="s">
        <v>54</v>
      </c>
      <c r="L5" t="s">
        <v>55</v>
      </c>
      <c r="M5" t="s">
        <v>25</v>
      </c>
      <c r="N5" t="s">
        <v>25</v>
      </c>
      <c r="O5" t="s">
        <v>25</v>
      </c>
      <c r="P5" t="s">
        <v>26</v>
      </c>
      <c r="Q5" t="s">
        <v>26</v>
      </c>
      <c r="R5" t="s">
        <v>26</v>
      </c>
      <c r="T5" t="s">
        <v>17</v>
      </c>
      <c r="U5" t="s">
        <v>12</v>
      </c>
    </row>
    <row r="6" spans="1:22" x14ac:dyDescent="0.25"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38</v>
      </c>
      <c r="O6" t="s">
        <v>39</v>
      </c>
      <c r="P6" t="s">
        <v>37</v>
      </c>
      <c r="Q6" t="s">
        <v>38</v>
      </c>
      <c r="R6" t="s">
        <v>39</v>
      </c>
    </row>
    <row r="7" spans="1:22" x14ac:dyDescent="0.25">
      <c r="B7" t="s">
        <v>40</v>
      </c>
      <c r="C7">
        <v>2.58</v>
      </c>
      <c r="D7">
        <v>7.0000000000000007E-2</v>
      </c>
      <c r="E7">
        <v>0</v>
      </c>
      <c r="F7">
        <v>83</v>
      </c>
      <c r="G7">
        <v>0</v>
      </c>
      <c r="H7">
        <v>0</v>
      </c>
      <c r="I7">
        <v>28</v>
      </c>
      <c r="J7">
        <v>2</v>
      </c>
      <c r="K7">
        <f>(C7+D7/J7)</f>
        <v>2.6150000000000002</v>
      </c>
      <c r="L7">
        <f>E7/J7+F7+G7/J7+H7+I7/J7</f>
        <v>97</v>
      </c>
      <c r="M7">
        <f>$L$1*$N$1*K7+E7/J7*$N$1</f>
        <v>549.15000000000009</v>
      </c>
      <c r="N7" s="2">
        <f>O7-M7</f>
        <v>67.899999999999977</v>
      </c>
      <c r="O7" s="3">
        <f>$L$1*$N$1*K7+L7*$N$1</f>
        <v>617.05000000000007</v>
      </c>
      <c r="P7" s="2">
        <f>M7/$L$1</f>
        <v>1.8305000000000002</v>
      </c>
      <c r="Q7" s="2">
        <f>N7/$L$1</f>
        <v>0.22633333333333325</v>
      </c>
      <c r="R7" s="2">
        <f>O7/$L$1</f>
        <v>2.0568333333333335</v>
      </c>
      <c r="T7">
        <f>K7*10^3</f>
        <v>2615</v>
      </c>
      <c r="U7">
        <f>L7*10^3</f>
        <v>97000</v>
      </c>
      <c r="V7" s="4">
        <f>T7*350*100+U7*350</f>
        <v>125475000</v>
      </c>
    </row>
    <row r="8" spans="1:22" x14ac:dyDescent="0.25">
      <c r="B8" t="s">
        <v>41</v>
      </c>
      <c r="C8">
        <v>0.33</v>
      </c>
      <c r="D8">
        <v>0.56000000000000005</v>
      </c>
      <c r="E8">
        <v>5</v>
      </c>
      <c r="F8">
        <v>216</v>
      </c>
      <c r="G8">
        <v>6.5</v>
      </c>
      <c r="H8">
        <v>23</v>
      </c>
      <c r="I8">
        <v>17.3</v>
      </c>
      <c r="J8">
        <v>2</v>
      </c>
      <c r="K8">
        <f t="shared" ref="K8:K19" si="0">(C8+D8/J8)</f>
        <v>0.6100000000000001</v>
      </c>
      <c r="L8">
        <f t="shared" ref="L8:L19" si="1">E8/J8+F8+G8/J8+H8+I8/J8</f>
        <v>253.4</v>
      </c>
      <c r="M8">
        <f t="shared" ref="M8:M19" si="2">$L$1*$N$1*K8+E8/J8*$N$1</f>
        <v>129.85000000000002</v>
      </c>
      <c r="N8" s="2">
        <f t="shared" ref="N8:N19" si="3">O8-M8</f>
        <v>175.63</v>
      </c>
      <c r="O8" s="3">
        <f t="shared" ref="O8:O19" si="4">$L$1*$N$1*K8+L8*$N$1</f>
        <v>305.48</v>
      </c>
      <c r="P8" s="2">
        <f t="shared" ref="P8:P19" si="5">M8/$L$1</f>
        <v>0.4328333333333334</v>
      </c>
      <c r="Q8" s="2">
        <f t="shared" ref="Q8:Q19" si="6">N8/$L$1</f>
        <v>0.58543333333333336</v>
      </c>
      <c r="R8" s="2">
        <f t="shared" ref="R8:R19" si="7">O8/$L$1</f>
        <v>1.0182666666666667</v>
      </c>
      <c r="T8">
        <f t="shared" ref="T8:T19" si="8">K8*10^3</f>
        <v>610.00000000000011</v>
      </c>
      <c r="U8">
        <f t="shared" ref="U8:U19" si="9">L8*10^3</f>
        <v>253400</v>
      </c>
      <c r="V8" s="4">
        <f t="shared" ref="V8:V19" si="10">T8*350*100+U8*350</f>
        <v>110040000</v>
      </c>
    </row>
    <row r="9" spans="1:22" x14ac:dyDescent="0.25">
      <c r="B9" t="s">
        <v>42</v>
      </c>
      <c r="C9">
        <v>0.33</v>
      </c>
      <c r="D9">
        <v>1.05</v>
      </c>
      <c r="E9">
        <v>0</v>
      </c>
      <c r="F9">
        <v>58.9</v>
      </c>
      <c r="G9">
        <v>54.9</v>
      </c>
      <c r="H9">
        <v>183.5</v>
      </c>
      <c r="I9">
        <v>-6.8</v>
      </c>
      <c r="J9">
        <v>2</v>
      </c>
      <c r="K9">
        <f t="shared" si="0"/>
        <v>0.85499999999999998</v>
      </c>
      <c r="L9">
        <f t="shared" si="1"/>
        <v>266.45000000000005</v>
      </c>
      <c r="M9">
        <f t="shared" si="2"/>
        <v>179.54999999999998</v>
      </c>
      <c r="N9" s="2">
        <f t="shared" si="3"/>
        <v>186.51500000000001</v>
      </c>
      <c r="O9" s="3">
        <f t="shared" si="4"/>
        <v>366.065</v>
      </c>
      <c r="P9" s="2">
        <f t="shared" si="5"/>
        <v>0.59849999999999992</v>
      </c>
      <c r="Q9" s="2">
        <f t="shared" si="6"/>
        <v>0.6217166666666667</v>
      </c>
      <c r="R9" s="2">
        <f t="shared" si="7"/>
        <v>1.2202166666666667</v>
      </c>
      <c r="T9">
        <f t="shared" si="8"/>
        <v>855</v>
      </c>
      <c r="U9">
        <f t="shared" si="9"/>
        <v>266450.00000000006</v>
      </c>
      <c r="V9" s="4">
        <f t="shared" si="10"/>
        <v>123182500.00000001</v>
      </c>
    </row>
    <row r="10" spans="1:22" x14ac:dyDescent="0.25">
      <c r="B10" t="s">
        <v>43</v>
      </c>
      <c r="C10">
        <v>2.0499999999999998</v>
      </c>
      <c r="D10">
        <v>0.11</v>
      </c>
      <c r="E10">
        <v>0</v>
      </c>
      <c r="F10">
        <v>90</v>
      </c>
      <c r="G10">
        <v>18</v>
      </c>
      <c r="H10">
        <v>0</v>
      </c>
      <c r="I10">
        <v>24</v>
      </c>
      <c r="J10">
        <v>2</v>
      </c>
      <c r="K10">
        <f t="shared" si="0"/>
        <v>2.105</v>
      </c>
      <c r="L10">
        <f t="shared" si="1"/>
        <v>111</v>
      </c>
      <c r="M10">
        <f t="shared" si="2"/>
        <v>442.05</v>
      </c>
      <c r="N10" s="2">
        <f t="shared" si="3"/>
        <v>77.699999999999989</v>
      </c>
      <c r="O10" s="3">
        <f t="shared" si="4"/>
        <v>519.75</v>
      </c>
      <c r="P10" s="2">
        <f t="shared" si="5"/>
        <v>1.4735</v>
      </c>
      <c r="Q10" s="2">
        <f t="shared" si="6"/>
        <v>0.25899999999999995</v>
      </c>
      <c r="R10" s="2">
        <f t="shared" si="7"/>
        <v>1.7324999999999999</v>
      </c>
      <c r="T10">
        <f t="shared" si="8"/>
        <v>2105</v>
      </c>
      <c r="U10">
        <f t="shared" si="9"/>
        <v>111000</v>
      </c>
      <c r="V10" s="4">
        <f t="shared" si="10"/>
        <v>112525000</v>
      </c>
    </row>
    <row r="11" spans="1:22" x14ac:dyDescent="0.25">
      <c r="B11" t="s">
        <v>44</v>
      </c>
      <c r="C11">
        <v>0.28999999999999998</v>
      </c>
      <c r="D11">
        <v>1.06</v>
      </c>
      <c r="E11">
        <v>0</v>
      </c>
      <c r="F11">
        <v>60.8</v>
      </c>
      <c r="G11">
        <v>63.17</v>
      </c>
      <c r="H11">
        <v>216.6</v>
      </c>
      <c r="I11">
        <v>143.66</v>
      </c>
      <c r="J11">
        <v>2</v>
      </c>
      <c r="K11">
        <f t="shared" si="0"/>
        <v>0.82000000000000006</v>
      </c>
      <c r="L11">
        <f t="shared" si="1"/>
        <v>380.815</v>
      </c>
      <c r="M11">
        <f t="shared" si="2"/>
        <v>172.20000000000002</v>
      </c>
      <c r="N11" s="2">
        <f t="shared" si="3"/>
        <v>266.57049999999992</v>
      </c>
      <c r="O11" s="3">
        <f t="shared" si="4"/>
        <v>438.77049999999997</v>
      </c>
      <c r="P11" s="2">
        <f t="shared" si="5"/>
        <v>0.57400000000000007</v>
      </c>
      <c r="Q11" s="2">
        <f t="shared" si="6"/>
        <v>0.88856833333333307</v>
      </c>
      <c r="R11" s="2">
        <f t="shared" si="7"/>
        <v>1.4625683333333332</v>
      </c>
      <c r="T11">
        <f t="shared" si="8"/>
        <v>820.00000000000011</v>
      </c>
      <c r="U11">
        <f t="shared" si="9"/>
        <v>380815</v>
      </c>
      <c r="V11" s="4">
        <f t="shared" si="10"/>
        <v>161985250</v>
      </c>
    </row>
    <row r="12" spans="1:22" x14ac:dyDescent="0.25">
      <c r="B12" t="s">
        <v>45</v>
      </c>
      <c r="C12">
        <v>0.61</v>
      </c>
      <c r="D12">
        <v>0.74</v>
      </c>
      <c r="E12">
        <v>0</v>
      </c>
      <c r="F12">
        <v>58.9</v>
      </c>
      <c r="G12">
        <v>54.9</v>
      </c>
      <c r="H12">
        <v>130.83000000000001</v>
      </c>
      <c r="I12">
        <v>0</v>
      </c>
      <c r="J12">
        <v>2</v>
      </c>
      <c r="K12">
        <f t="shared" si="0"/>
        <v>0.98</v>
      </c>
      <c r="L12">
        <f t="shared" si="1"/>
        <v>217.18</v>
      </c>
      <c r="M12">
        <f t="shared" si="2"/>
        <v>205.79999999999998</v>
      </c>
      <c r="N12" s="2">
        <f t="shared" si="3"/>
        <v>152.02599999999998</v>
      </c>
      <c r="O12" s="3">
        <f t="shared" si="4"/>
        <v>357.82599999999996</v>
      </c>
      <c r="P12" s="2">
        <f t="shared" si="5"/>
        <v>0.68599999999999994</v>
      </c>
      <c r="Q12" s="2">
        <f t="shared" si="6"/>
        <v>0.50675333333333328</v>
      </c>
      <c r="R12" s="2">
        <f t="shared" si="7"/>
        <v>1.1927533333333331</v>
      </c>
      <c r="T12">
        <f t="shared" si="8"/>
        <v>980</v>
      </c>
      <c r="U12">
        <f t="shared" si="9"/>
        <v>217180</v>
      </c>
      <c r="V12" s="4">
        <f t="shared" si="10"/>
        <v>110313000</v>
      </c>
    </row>
    <row r="13" spans="1:22" x14ac:dyDescent="0.25">
      <c r="B13" t="s">
        <v>46</v>
      </c>
      <c r="C13">
        <v>0.5</v>
      </c>
      <c r="D13">
        <v>0.45</v>
      </c>
      <c r="E13">
        <v>0</v>
      </c>
      <c r="F13">
        <v>58.9</v>
      </c>
      <c r="G13">
        <v>54.9</v>
      </c>
      <c r="H13">
        <v>0</v>
      </c>
      <c r="I13">
        <v>111.3</v>
      </c>
      <c r="J13">
        <v>2</v>
      </c>
      <c r="K13">
        <f t="shared" si="0"/>
        <v>0.72499999999999998</v>
      </c>
      <c r="L13">
        <f t="shared" si="1"/>
        <v>142</v>
      </c>
      <c r="M13">
        <f t="shared" si="2"/>
        <v>152.25</v>
      </c>
      <c r="N13" s="2">
        <f t="shared" si="3"/>
        <v>99.399999999999977</v>
      </c>
      <c r="O13" s="3">
        <f t="shared" si="4"/>
        <v>251.64999999999998</v>
      </c>
      <c r="P13" s="2">
        <f t="shared" si="5"/>
        <v>0.50749999999999995</v>
      </c>
      <c r="Q13" s="2">
        <f t="shared" si="6"/>
        <v>0.33133333333333326</v>
      </c>
      <c r="R13" s="2">
        <f t="shared" si="7"/>
        <v>0.83883333333333321</v>
      </c>
      <c r="T13">
        <f t="shared" si="8"/>
        <v>725</v>
      </c>
      <c r="U13">
        <f t="shared" si="9"/>
        <v>142000</v>
      </c>
      <c r="V13" s="4">
        <f t="shared" si="10"/>
        <v>75075000</v>
      </c>
    </row>
    <row r="14" spans="1:22" x14ac:dyDescent="0.25">
      <c r="B14" t="s">
        <v>47</v>
      </c>
      <c r="C14">
        <v>1.5</v>
      </c>
      <c r="D14">
        <v>0.87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f t="shared" si="0"/>
        <v>1.9350000000000001</v>
      </c>
      <c r="L14">
        <f t="shared" si="1"/>
        <v>0</v>
      </c>
      <c r="M14">
        <f t="shared" si="2"/>
        <v>406.35</v>
      </c>
      <c r="N14" s="2">
        <f t="shared" si="3"/>
        <v>0</v>
      </c>
      <c r="O14" s="3">
        <f t="shared" si="4"/>
        <v>406.35</v>
      </c>
      <c r="P14" s="2">
        <f t="shared" si="5"/>
        <v>1.3545</v>
      </c>
      <c r="Q14" s="2">
        <f t="shared" si="6"/>
        <v>0</v>
      </c>
      <c r="R14" s="2">
        <f t="shared" si="7"/>
        <v>1.3545</v>
      </c>
      <c r="T14">
        <f t="shared" si="8"/>
        <v>1935</v>
      </c>
      <c r="U14">
        <f t="shared" si="9"/>
        <v>0</v>
      </c>
      <c r="V14" s="4">
        <f t="shared" si="10"/>
        <v>67725000</v>
      </c>
    </row>
    <row r="15" spans="1:22" x14ac:dyDescent="0.25">
      <c r="B15" t="s">
        <v>48</v>
      </c>
      <c r="C15">
        <v>0.35</v>
      </c>
      <c r="D15">
        <v>1.85</v>
      </c>
      <c r="E15">
        <v>0</v>
      </c>
      <c r="F15">
        <v>65</v>
      </c>
      <c r="G15">
        <v>54</v>
      </c>
      <c r="H15">
        <v>125</v>
      </c>
      <c r="I15">
        <v>218.95</v>
      </c>
      <c r="J15">
        <v>2</v>
      </c>
      <c r="K15">
        <f t="shared" si="0"/>
        <v>1.2749999999999999</v>
      </c>
      <c r="L15">
        <f t="shared" si="1"/>
        <v>326.47500000000002</v>
      </c>
      <c r="M15">
        <f t="shared" si="2"/>
        <v>267.75</v>
      </c>
      <c r="N15" s="2">
        <f t="shared" si="3"/>
        <v>228.53250000000003</v>
      </c>
      <c r="O15" s="3">
        <f t="shared" si="4"/>
        <v>496.28250000000003</v>
      </c>
      <c r="P15" s="2">
        <f t="shared" si="5"/>
        <v>0.89249999999999996</v>
      </c>
      <c r="Q15" s="2">
        <f t="shared" si="6"/>
        <v>0.76177500000000009</v>
      </c>
      <c r="R15" s="2">
        <f t="shared" si="7"/>
        <v>1.6542750000000002</v>
      </c>
      <c r="T15">
        <f t="shared" si="8"/>
        <v>1275</v>
      </c>
      <c r="U15">
        <f t="shared" si="9"/>
        <v>326475</v>
      </c>
      <c r="V15" s="4">
        <f t="shared" si="10"/>
        <v>158891250</v>
      </c>
    </row>
    <row r="16" spans="1:22" x14ac:dyDescent="0.25">
      <c r="B16" t="s">
        <v>49</v>
      </c>
      <c r="C16">
        <v>1.3</v>
      </c>
      <c r="D16">
        <v>0</v>
      </c>
      <c r="E16">
        <v>0</v>
      </c>
      <c r="F16">
        <v>100</v>
      </c>
      <c r="G16">
        <v>0</v>
      </c>
      <c r="H16">
        <v>75</v>
      </c>
      <c r="I16">
        <v>0</v>
      </c>
      <c r="J16">
        <v>2</v>
      </c>
      <c r="K16">
        <f t="shared" si="0"/>
        <v>1.3</v>
      </c>
      <c r="L16">
        <f t="shared" si="1"/>
        <v>175</v>
      </c>
      <c r="M16">
        <f t="shared" si="2"/>
        <v>273</v>
      </c>
      <c r="N16" s="2">
        <f t="shared" si="3"/>
        <v>122.5</v>
      </c>
      <c r="O16" s="3">
        <f t="shared" si="4"/>
        <v>395.5</v>
      </c>
      <c r="P16" s="2">
        <f t="shared" si="5"/>
        <v>0.91</v>
      </c>
      <c r="Q16" s="2">
        <f t="shared" si="6"/>
        <v>0.40833333333333333</v>
      </c>
      <c r="R16" s="2">
        <f t="shared" si="7"/>
        <v>1.3183333333333334</v>
      </c>
      <c r="T16">
        <f t="shared" si="8"/>
        <v>1300</v>
      </c>
      <c r="U16">
        <f t="shared" si="9"/>
        <v>175000</v>
      </c>
      <c r="V16" s="4">
        <f t="shared" si="10"/>
        <v>106750000</v>
      </c>
    </row>
    <row r="17" spans="2:22" x14ac:dyDescent="0.25">
      <c r="B17" t="s">
        <v>50</v>
      </c>
      <c r="C17">
        <v>0.63</v>
      </c>
      <c r="D17">
        <v>0.56000000000000005</v>
      </c>
      <c r="E17">
        <v>4.0599999999999996</v>
      </c>
      <c r="F17">
        <v>157</v>
      </c>
      <c r="G17">
        <v>0</v>
      </c>
      <c r="H17">
        <v>-14.93</v>
      </c>
      <c r="I17">
        <v>0</v>
      </c>
      <c r="J17">
        <v>2</v>
      </c>
      <c r="K17">
        <f t="shared" si="0"/>
        <v>0.91</v>
      </c>
      <c r="L17">
        <f t="shared" si="1"/>
        <v>144.1</v>
      </c>
      <c r="M17">
        <f t="shared" si="2"/>
        <v>192.52099999999999</v>
      </c>
      <c r="N17" s="2">
        <f t="shared" si="3"/>
        <v>99.448999999999984</v>
      </c>
      <c r="O17" s="3">
        <f t="shared" si="4"/>
        <v>291.96999999999997</v>
      </c>
      <c r="P17" s="2">
        <f t="shared" si="5"/>
        <v>0.64173666666666662</v>
      </c>
      <c r="Q17" s="2">
        <f t="shared" si="6"/>
        <v>0.33149666666666661</v>
      </c>
      <c r="R17" s="2">
        <f t="shared" si="7"/>
        <v>0.97323333333333328</v>
      </c>
      <c r="T17">
        <f t="shared" si="8"/>
        <v>910</v>
      </c>
      <c r="U17">
        <f t="shared" si="9"/>
        <v>144100</v>
      </c>
      <c r="V17" s="4">
        <f t="shared" si="10"/>
        <v>82285000</v>
      </c>
    </row>
    <row r="18" spans="2:22" x14ac:dyDescent="0.25">
      <c r="B18" t="s">
        <v>44</v>
      </c>
      <c r="C18">
        <v>0.63</v>
      </c>
      <c r="D18">
        <v>1.45</v>
      </c>
      <c r="E18">
        <v>0</v>
      </c>
      <c r="F18">
        <v>103</v>
      </c>
      <c r="G18">
        <v>62.6</v>
      </c>
      <c r="H18">
        <v>475.9</v>
      </c>
      <c r="I18">
        <v>46.07</v>
      </c>
      <c r="J18">
        <v>2</v>
      </c>
      <c r="K18">
        <f t="shared" si="0"/>
        <v>1.355</v>
      </c>
      <c r="L18">
        <f t="shared" si="1"/>
        <v>633.23500000000001</v>
      </c>
      <c r="M18">
        <f t="shared" si="2"/>
        <v>284.55</v>
      </c>
      <c r="N18" s="2">
        <f t="shared" si="3"/>
        <v>443.26449999999994</v>
      </c>
      <c r="O18" s="3">
        <f t="shared" si="4"/>
        <v>727.81449999999995</v>
      </c>
      <c r="P18" s="2">
        <f t="shared" si="5"/>
        <v>0.94850000000000001</v>
      </c>
      <c r="Q18" s="2">
        <f t="shared" si="6"/>
        <v>1.4775483333333332</v>
      </c>
      <c r="R18" s="2">
        <f t="shared" si="7"/>
        <v>2.4260483333333331</v>
      </c>
      <c r="T18">
        <f t="shared" si="8"/>
        <v>1355</v>
      </c>
      <c r="U18">
        <f t="shared" si="9"/>
        <v>633235</v>
      </c>
      <c r="V18" s="4">
        <f t="shared" si="10"/>
        <v>269057250</v>
      </c>
    </row>
    <row r="19" spans="2:22" x14ac:dyDescent="0.25">
      <c r="B19" t="s">
        <v>51</v>
      </c>
      <c r="C19">
        <v>1.48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f t="shared" si="0"/>
        <v>1.48</v>
      </c>
      <c r="L19">
        <f t="shared" si="1"/>
        <v>0</v>
      </c>
      <c r="M19">
        <f t="shared" si="2"/>
        <v>310.8</v>
      </c>
      <c r="N19" s="2">
        <f t="shared" si="3"/>
        <v>0</v>
      </c>
      <c r="O19" s="3">
        <f t="shared" si="4"/>
        <v>310.8</v>
      </c>
      <c r="P19" s="2">
        <f t="shared" si="5"/>
        <v>1.036</v>
      </c>
      <c r="Q19" s="2">
        <f t="shared" si="6"/>
        <v>0</v>
      </c>
      <c r="R19" s="2">
        <f t="shared" si="7"/>
        <v>1.036</v>
      </c>
      <c r="T19">
        <f t="shared" si="8"/>
        <v>1480</v>
      </c>
      <c r="U19">
        <f t="shared" si="9"/>
        <v>0</v>
      </c>
      <c r="V19" s="4">
        <f t="shared" si="10"/>
        <v>51800000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59A8-D123-4429-B71D-A74BAF1E63EB}">
  <dimension ref="A1"/>
  <sheetViews>
    <sheetView workbookViewId="0"/>
  </sheetViews>
  <sheetFormatPr defaultRowHeight="15" x14ac:dyDescent="0.25"/>
  <sheetData>
    <row r="1" spans="1:1" x14ac:dyDescent="0.25">
      <c r="A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ToModel</vt:lpstr>
      <vt:lpstr>H2</vt:lpstr>
      <vt:lpstr>DC</vt:lpstr>
      <vt:lpstr>ACDC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2023-05-15T12:02:46Z</dcterms:created>
  <dcterms:modified xsi:type="dcterms:W3CDTF">2023-09-14T14:26:43Z</dcterms:modified>
</cp:coreProperties>
</file>