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dy\OneDrive - University of Victoria\Research\grad stipends\"/>
    </mc:Choice>
  </mc:AlternateContent>
  <bookViews>
    <workbookView xWindow="0" yWindow="0" windowWidth="5550" windowHeight="9720"/>
  </bookViews>
  <sheets>
    <sheet name="Finalized Information - Human" sheetId="2" r:id="rId1"/>
    <sheet name="CURRENT Requested Information" sheetId="4" state="hidden" r:id="rId2"/>
    <sheet name="ARCHIVED Requested Information" sheetId="5" state="hidden" r:id="rId3"/>
  </sheets>
  <calcPr calcId="162913"/>
</workbook>
</file>

<file path=xl/calcChain.xml><?xml version="1.0" encoding="utf-8"?>
<calcChain xmlns="http://schemas.openxmlformats.org/spreadsheetml/2006/main">
  <c r="AL140" i="2" l="1"/>
  <c r="AJ140" i="2"/>
  <c r="AL139" i="2"/>
  <c r="AJ139" i="2"/>
  <c r="AL138" i="2"/>
  <c r="AJ138" i="2"/>
  <c r="AL136" i="2"/>
  <c r="AJ136" i="2"/>
  <c r="AL135" i="2"/>
  <c r="AJ135" i="2"/>
  <c r="AL134" i="2"/>
  <c r="AJ134" i="2"/>
  <c r="AL132" i="2"/>
  <c r="AJ132" i="2"/>
  <c r="AL131" i="2"/>
  <c r="AJ131" i="2"/>
  <c r="AL130" i="2"/>
  <c r="AJ130" i="2"/>
  <c r="AJ128" i="2"/>
  <c r="AJ127" i="2"/>
  <c r="AJ126" i="2"/>
  <c r="AL124" i="2"/>
  <c r="AJ124" i="2"/>
  <c r="AL123" i="2"/>
  <c r="AJ123" i="2"/>
  <c r="AL122" i="2"/>
  <c r="AJ122" i="2"/>
  <c r="AL120" i="2"/>
  <c r="AJ120" i="2"/>
  <c r="AL119" i="2"/>
  <c r="AJ119" i="2"/>
  <c r="AL118" i="2"/>
  <c r="AJ118" i="2"/>
  <c r="AL116" i="2"/>
  <c r="AJ116" i="2"/>
  <c r="AL115" i="2"/>
  <c r="AJ115" i="2"/>
  <c r="AL114" i="2"/>
  <c r="AJ114" i="2"/>
  <c r="AL112" i="2"/>
  <c r="AJ112" i="2"/>
  <c r="AL111" i="2"/>
  <c r="AJ111" i="2"/>
  <c r="AL110" i="2"/>
  <c r="AJ110" i="2"/>
  <c r="AL108" i="2"/>
  <c r="AJ108" i="2"/>
  <c r="AL107" i="2"/>
  <c r="AJ107" i="2"/>
  <c r="AL106" i="2"/>
  <c r="AJ106" i="2"/>
  <c r="AL104" i="2"/>
  <c r="AJ104" i="2"/>
  <c r="AL103" i="2"/>
  <c r="AJ103" i="2"/>
  <c r="AL102" i="2"/>
  <c r="AJ102" i="2"/>
  <c r="AL100" i="2"/>
  <c r="AJ100" i="2"/>
  <c r="AL98" i="2"/>
  <c r="AJ98" i="2"/>
  <c r="AL97" i="2"/>
  <c r="AJ97" i="2"/>
  <c r="AL96" i="2"/>
  <c r="AJ96" i="2"/>
  <c r="AL94" i="2"/>
  <c r="AJ94" i="2"/>
  <c r="AL93" i="2"/>
  <c r="AJ93" i="2"/>
  <c r="AL92" i="2"/>
  <c r="AJ92" i="2"/>
  <c r="AL90" i="2"/>
  <c r="AJ90" i="2"/>
  <c r="AL89" i="2"/>
  <c r="AJ89" i="2"/>
  <c r="AL88" i="2"/>
  <c r="AJ88" i="2"/>
  <c r="AL86" i="2"/>
  <c r="AJ86" i="2"/>
  <c r="AL85" i="2"/>
  <c r="AJ85" i="2"/>
  <c r="AL84" i="2"/>
  <c r="AJ84" i="2"/>
  <c r="AL82" i="2"/>
  <c r="AJ82" i="2"/>
  <c r="AL81" i="2"/>
  <c r="AJ81" i="2"/>
  <c r="AL80" i="2"/>
  <c r="AJ80" i="2"/>
  <c r="AJ78" i="2"/>
  <c r="AJ77" i="2"/>
  <c r="AJ76" i="2"/>
  <c r="AL74" i="2"/>
  <c r="AJ74" i="2"/>
  <c r="AL73" i="2"/>
  <c r="AJ73" i="2"/>
  <c r="AL72" i="2"/>
  <c r="AJ72" i="2"/>
  <c r="AL70" i="2"/>
  <c r="AJ70" i="2"/>
  <c r="AL68" i="2"/>
  <c r="AJ68" i="2"/>
  <c r="AJ66" i="2"/>
  <c r="AL64" i="2"/>
  <c r="AJ64" i="2"/>
  <c r="AL63" i="2"/>
  <c r="AJ63" i="2"/>
  <c r="AL62" i="2"/>
  <c r="AJ62" i="2"/>
  <c r="AL60" i="2"/>
  <c r="AJ60" i="2"/>
  <c r="AL59" i="2"/>
  <c r="AJ59" i="2"/>
  <c r="AL58" i="2"/>
  <c r="AJ58" i="2"/>
  <c r="AL56" i="2"/>
  <c r="AJ56" i="2"/>
  <c r="AL55" i="2"/>
  <c r="AJ55" i="2"/>
  <c r="AL54" i="2"/>
  <c r="AJ54" i="2"/>
  <c r="AL52" i="2"/>
  <c r="AJ52" i="2"/>
  <c r="AL51" i="2"/>
  <c r="AJ51" i="2"/>
  <c r="AL50" i="2"/>
  <c r="AJ50" i="2"/>
  <c r="AL48" i="2"/>
  <c r="AJ48" i="2"/>
  <c r="AL47" i="2"/>
  <c r="AJ47" i="2"/>
  <c r="AL46" i="2"/>
  <c r="AJ46" i="2"/>
  <c r="AL44" i="2"/>
  <c r="AJ44" i="2"/>
  <c r="AL43" i="2"/>
  <c r="AJ43" i="2"/>
  <c r="AL42" i="2"/>
  <c r="AJ42" i="2"/>
  <c r="AJ40" i="2"/>
  <c r="AJ39" i="2"/>
  <c r="AJ38" i="2"/>
  <c r="AJ36" i="2"/>
  <c r="AJ35" i="2"/>
  <c r="AJ34" i="2"/>
  <c r="AL32" i="2"/>
  <c r="AJ32" i="2"/>
  <c r="AL31" i="2"/>
  <c r="AJ31" i="2"/>
  <c r="AL30" i="2"/>
  <c r="AJ30" i="2"/>
  <c r="AL28" i="2"/>
  <c r="AJ28" i="2"/>
  <c r="AL27" i="2"/>
  <c r="AJ27" i="2"/>
  <c r="AL26" i="2"/>
  <c r="AJ26" i="2"/>
  <c r="AL24" i="2"/>
  <c r="AJ24" i="2"/>
  <c r="AL23" i="2"/>
  <c r="AJ23" i="2"/>
  <c r="AL22" i="2"/>
  <c r="AJ22" i="2"/>
  <c r="AJ20" i="2"/>
  <c r="AJ19" i="2"/>
  <c r="AL17" i="2"/>
  <c r="AJ17" i="2"/>
  <c r="AL16" i="2"/>
  <c r="AJ16" i="2"/>
  <c r="AL15" i="2"/>
  <c r="AJ15" i="2"/>
  <c r="AL13" i="2"/>
  <c r="AJ13" i="2"/>
  <c r="AL12" i="2"/>
  <c r="AJ12" i="2"/>
  <c r="AL11" i="2"/>
  <c r="AJ11" i="2"/>
  <c r="AL9" i="2"/>
  <c r="AJ9" i="2"/>
  <c r="AL8" i="2"/>
  <c r="AJ8" i="2"/>
  <c r="AL7" i="2"/>
  <c r="AJ7" i="2"/>
  <c r="AL5" i="2"/>
  <c r="AJ5" i="2"/>
  <c r="AL4" i="2"/>
  <c r="AJ4" i="2"/>
  <c r="AL3" i="2"/>
  <c r="AJ3" i="2"/>
  <c r="U560" i="5"/>
  <c r="P560" i="5"/>
  <c r="U559" i="5"/>
  <c r="P559" i="5"/>
  <c r="U558" i="5"/>
  <c r="P558" i="5"/>
  <c r="U557" i="5"/>
  <c r="P557" i="5"/>
  <c r="U556" i="5"/>
  <c r="P556" i="5"/>
  <c r="U555" i="5"/>
  <c r="P555" i="5"/>
  <c r="U554" i="5"/>
  <c r="P554" i="5"/>
  <c r="U553" i="5"/>
  <c r="P553" i="5"/>
  <c r="U552" i="5"/>
  <c r="P552" i="5"/>
  <c r="U551" i="5"/>
  <c r="P551" i="5"/>
  <c r="U550" i="5"/>
  <c r="P550" i="5"/>
  <c r="U549" i="5"/>
  <c r="P549" i="5"/>
  <c r="U547" i="5"/>
  <c r="P547" i="5"/>
  <c r="U546" i="5"/>
  <c r="P546" i="5"/>
  <c r="U545" i="5"/>
  <c r="P545" i="5"/>
  <c r="U544" i="5"/>
  <c r="P544" i="5"/>
  <c r="U543" i="5"/>
  <c r="P543" i="5"/>
  <c r="U542" i="5"/>
  <c r="P542" i="5"/>
  <c r="U541" i="5"/>
  <c r="P541" i="5"/>
  <c r="U540" i="5"/>
  <c r="P540" i="5"/>
  <c r="U539" i="5"/>
  <c r="P539" i="5"/>
  <c r="U538" i="5"/>
  <c r="P538" i="5"/>
  <c r="U537" i="5"/>
  <c r="P537" i="5"/>
  <c r="U536" i="5"/>
  <c r="P536" i="5"/>
  <c r="U534" i="5"/>
  <c r="P534" i="5"/>
  <c r="U533" i="5"/>
  <c r="P533" i="5"/>
  <c r="U532" i="5"/>
  <c r="P532" i="5"/>
  <c r="U531" i="5"/>
  <c r="P531" i="5"/>
  <c r="U530" i="5"/>
  <c r="P530" i="5"/>
  <c r="U529" i="5"/>
  <c r="P529" i="5"/>
  <c r="U528" i="5"/>
  <c r="P528" i="5"/>
  <c r="U527" i="5"/>
  <c r="P527" i="5"/>
  <c r="U526" i="5"/>
  <c r="P526" i="5"/>
  <c r="U525" i="5"/>
  <c r="P525" i="5"/>
  <c r="U524" i="5"/>
  <c r="P524" i="5"/>
  <c r="U523" i="5"/>
  <c r="P523" i="5"/>
  <c r="U521" i="5"/>
  <c r="P521" i="5"/>
  <c r="U520" i="5"/>
  <c r="P520" i="5"/>
  <c r="U519" i="5"/>
  <c r="P519" i="5"/>
  <c r="U518" i="5"/>
  <c r="P518" i="5"/>
  <c r="U517" i="5"/>
  <c r="P517" i="5"/>
  <c r="U516" i="5"/>
  <c r="P516" i="5"/>
  <c r="U515" i="5"/>
  <c r="P515" i="5"/>
  <c r="U514" i="5"/>
  <c r="P514" i="5"/>
  <c r="U513" i="5"/>
  <c r="P513" i="5"/>
  <c r="U512" i="5"/>
  <c r="P512" i="5"/>
  <c r="U511" i="5"/>
  <c r="P511" i="5"/>
  <c r="U510" i="5"/>
  <c r="P510" i="5"/>
  <c r="U508" i="5"/>
  <c r="P508" i="5"/>
  <c r="U507" i="5"/>
  <c r="P507" i="5"/>
  <c r="U506" i="5"/>
  <c r="P506" i="5"/>
  <c r="U505" i="5"/>
  <c r="P505" i="5"/>
  <c r="U504" i="5"/>
  <c r="P504" i="5"/>
  <c r="U503" i="5"/>
  <c r="P503" i="5"/>
  <c r="U502" i="5"/>
  <c r="P502" i="5"/>
  <c r="U501" i="5"/>
  <c r="P501" i="5"/>
  <c r="U500" i="5"/>
  <c r="P500" i="5"/>
  <c r="U499" i="5"/>
  <c r="P499" i="5"/>
  <c r="U498" i="5"/>
  <c r="P498" i="5"/>
  <c r="U497" i="5"/>
  <c r="P497" i="5"/>
  <c r="U495" i="5"/>
  <c r="P495" i="5"/>
  <c r="U494" i="5"/>
  <c r="P494" i="5"/>
  <c r="U493" i="5"/>
  <c r="P493" i="5"/>
  <c r="U492" i="5"/>
  <c r="P492" i="5"/>
  <c r="U491" i="5"/>
  <c r="P491" i="5"/>
  <c r="U490" i="5"/>
  <c r="P490" i="5"/>
  <c r="U489" i="5"/>
  <c r="P489" i="5"/>
  <c r="U488" i="5"/>
  <c r="P488" i="5"/>
  <c r="U487" i="5"/>
  <c r="P487" i="5"/>
  <c r="U486" i="5"/>
  <c r="P486" i="5"/>
  <c r="U485" i="5"/>
  <c r="P485" i="5"/>
  <c r="U484" i="5"/>
  <c r="P484" i="5"/>
  <c r="U482" i="5"/>
  <c r="P482" i="5"/>
  <c r="U481" i="5"/>
  <c r="P481" i="5"/>
  <c r="U480" i="5"/>
  <c r="P480" i="5"/>
  <c r="U479" i="5"/>
  <c r="P479" i="5"/>
  <c r="U478" i="5"/>
  <c r="P478" i="5"/>
  <c r="U477" i="5"/>
  <c r="P477" i="5"/>
  <c r="U476" i="5"/>
  <c r="P476" i="5"/>
  <c r="U475" i="5"/>
  <c r="P475" i="5"/>
  <c r="U474" i="5"/>
  <c r="P474" i="5"/>
  <c r="U473" i="5"/>
  <c r="P473" i="5"/>
  <c r="U472" i="5"/>
  <c r="P472" i="5"/>
  <c r="U471" i="5"/>
  <c r="P471" i="5"/>
  <c r="U469" i="5"/>
  <c r="P469" i="5"/>
  <c r="U468" i="5"/>
  <c r="P468" i="5"/>
  <c r="U467" i="5"/>
  <c r="P467" i="5"/>
  <c r="U466" i="5"/>
  <c r="P466" i="5"/>
  <c r="U465" i="5"/>
  <c r="P465" i="5"/>
  <c r="U464" i="5"/>
  <c r="P464" i="5"/>
  <c r="U463" i="5"/>
  <c r="P463" i="5"/>
  <c r="U462" i="5"/>
  <c r="P462" i="5"/>
  <c r="U461" i="5"/>
  <c r="P461" i="5"/>
  <c r="U460" i="5"/>
  <c r="P460" i="5"/>
  <c r="U459" i="5"/>
  <c r="P459" i="5"/>
  <c r="U458" i="5"/>
  <c r="P458" i="5"/>
  <c r="U455" i="5"/>
  <c r="P455" i="5"/>
  <c r="U454" i="5"/>
  <c r="P454" i="5"/>
  <c r="U453" i="5"/>
  <c r="P453" i="5"/>
  <c r="U452" i="5"/>
  <c r="P452" i="5"/>
  <c r="U451" i="5"/>
  <c r="P451" i="5"/>
  <c r="U450" i="5"/>
  <c r="P450" i="5"/>
  <c r="U449" i="5"/>
  <c r="P449" i="5"/>
  <c r="U448" i="5"/>
  <c r="P448" i="5"/>
  <c r="U447" i="5"/>
  <c r="P447" i="5"/>
  <c r="U446" i="5"/>
  <c r="P446" i="5"/>
  <c r="U445" i="5"/>
  <c r="P445" i="5"/>
  <c r="U444" i="5"/>
  <c r="P444" i="5"/>
  <c r="U442" i="5"/>
  <c r="P442" i="5"/>
  <c r="U441" i="5"/>
  <c r="P441" i="5"/>
  <c r="U440" i="5"/>
  <c r="P440" i="5"/>
  <c r="U439" i="5"/>
  <c r="P439" i="5"/>
  <c r="U438" i="5"/>
  <c r="P438" i="5"/>
  <c r="U437" i="5"/>
  <c r="P437" i="5"/>
  <c r="U436" i="5"/>
  <c r="P436" i="5"/>
  <c r="U435" i="5"/>
  <c r="P435" i="5"/>
  <c r="U434" i="5"/>
  <c r="P434" i="5"/>
  <c r="U433" i="5"/>
  <c r="P433" i="5"/>
  <c r="U432" i="5"/>
  <c r="P432" i="5"/>
  <c r="U431" i="5"/>
  <c r="P431" i="5"/>
  <c r="U429" i="5"/>
  <c r="P429" i="5"/>
  <c r="U428" i="5"/>
  <c r="P428" i="5"/>
  <c r="U427" i="5"/>
  <c r="P427" i="5"/>
  <c r="U426" i="5"/>
  <c r="P426" i="5"/>
  <c r="U425" i="5"/>
  <c r="P425" i="5"/>
  <c r="U424" i="5"/>
  <c r="P424" i="5"/>
  <c r="U423" i="5"/>
  <c r="P423" i="5"/>
  <c r="U422" i="5"/>
  <c r="P422" i="5"/>
  <c r="U421" i="5"/>
  <c r="P421" i="5"/>
  <c r="U420" i="5"/>
  <c r="P420" i="5"/>
  <c r="U419" i="5"/>
  <c r="P419" i="5"/>
  <c r="U418" i="5"/>
  <c r="P418" i="5"/>
  <c r="U416" i="5"/>
  <c r="P416" i="5"/>
  <c r="U415" i="5"/>
  <c r="P415" i="5"/>
  <c r="U414" i="5"/>
  <c r="P414" i="5"/>
  <c r="U413" i="5"/>
  <c r="P413" i="5"/>
  <c r="U412" i="5"/>
  <c r="P412" i="5"/>
  <c r="U411" i="5"/>
  <c r="P411" i="5"/>
  <c r="U410" i="5"/>
  <c r="P410" i="5"/>
  <c r="U409" i="5"/>
  <c r="P409" i="5"/>
  <c r="U408" i="5"/>
  <c r="P408" i="5"/>
  <c r="U407" i="5"/>
  <c r="P407" i="5"/>
  <c r="U406" i="5"/>
  <c r="P406" i="5"/>
  <c r="U405" i="5"/>
  <c r="P405" i="5"/>
  <c r="U403" i="5"/>
  <c r="P403" i="5"/>
  <c r="U402" i="5"/>
  <c r="P402" i="5"/>
  <c r="U401" i="5"/>
  <c r="P401" i="5"/>
  <c r="U400" i="5"/>
  <c r="P400" i="5"/>
  <c r="U399" i="5"/>
  <c r="P399" i="5"/>
  <c r="U398" i="5"/>
  <c r="P398" i="5"/>
  <c r="U397" i="5"/>
  <c r="P397" i="5"/>
  <c r="U396" i="5"/>
  <c r="P396" i="5"/>
  <c r="U395" i="5"/>
  <c r="P395" i="5"/>
  <c r="U394" i="5"/>
  <c r="P394" i="5"/>
  <c r="U393" i="5"/>
  <c r="P393" i="5"/>
  <c r="U392" i="5"/>
  <c r="P392" i="5"/>
  <c r="U390" i="5"/>
  <c r="P390" i="5"/>
  <c r="U389" i="5"/>
  <c r="P389" i="5"/>
  <c r="U388" i="5"/>
  <c r="P388" i="5"/>
  <c r="U387" i="5"/>
  <c r="P387" i="5"/>
  <c r="U386" i="5"/>
  <c r="P386" i="5"/>
  <c r="U385" i="5"/>
  <c r="P385" i="5"/>
  <c r="U384" i="5"/>
  <c r="P384" i="5"/>
  <c r="U383" i="5"/>
  <c r="P383" i="5"/>
  <c r="U382" i="5"/>
  <c r="P382" i="5"/>
  <c r="U381" i="5"/>
  <c r="P381" i="5"/>
  <c r="U380" i="5"/>
  <c r="P380" i="5"/>
  <c r="U379" i="5"/>
  <c r="P379" i="5"/>
  <c r="U377" i="5"/>
  <c r="P377" i="5"/>
  <c r="U376" i="5"/>
  <c r="P376" i="5"/>
  <c r="U375" i="5"/>
  <c r="P375" i="5"/>
  <c r="U374" i="5"/>
  <c r="P374" i="5"/>
  <c r="U373" i="5"/>
  <c r="P373" i="5"/>
  <c r="U372" i="5"/>
  <c r="P372" i="5"/>
  <c r="U371" i="5"/>
  <c r="P371" i="5"/>
  <c r="U370" i="5"/>
  <c r="P370" i="5"/>
  <c r="U369" i="5"/>
  <c r="P369" i="5"/>
  <c r="U368" i="5"/>
  <c r="P368" i="5"/>
  <c r="U367" i="5"/>
  <c r="P367" i="5"/>
  <c r="U366" i="5"/>
  <c r="P366" i="5"/>
  <c r="U364" i="5"/>
  <c r="P364" i="5"/>
  <c r="U363" i="5"/>
  <c r="P363" i="5"/>
  <c r="U362" i="5"/>
  <c r="P362" i="5"/>
  <c r="U361" i="5"/>
  <c r="P361" i="5"/>
  <c r="U360" i="5"/>
  <c r="P360" i="5"/>
  <c r="U359" i="5"/>
  <c r="P359" i="5"/>
  <c r="U358" i="5"/>
  <c r="P358" i="5"/>
  <c r="U357" i="5"/>
  <c r="P357" i="5"/>
  <c r="U356" i="5"/>
  <c r="P356" i="5"/>
  <c r="U355" i="5"/>
  <c r="P355" i="5"/>
  <c r="U354" i="5"/>
  <c r="P354" i="5"/>
  <c r="U353" i="5"/>
  <c r="P353" i="5"/>
  <c r="U351" i="5"/>
  <c r="P351" i="5"/>
  <c r="U350" i="5"/>
  <c r="P350" i="5"/>
  <c r="U349" i="5"/>
  <c r="P349" i="5"/>
  <c r="U348" i="5"/>
  <c r="P348" i="5"/>
  <c r="U347" i="5"/>
  <c r="P347" i="5"/>
  <c r="U346" i="5"/>
  <c r="P346" i="5"/>
  <c r="U345" i="5"/>
  <c r="P345" i="5"/>
  <c r="U344" i="5"/>
  <c r="P344" i="5"/>
  <c r="U343" i="5"/>
  <c r="P343" i="5"/>
  <c r="U342" i="5"/>
  <c r="P342" i="5"/>
  <c r="U341" i="5"/>
  <c r="P341" i="5"/>
  <c r="U340" i="5"/>
  <c r="P340" i="5"/>
  <c r="U338" i="5"/>
  <c r="P338" i="5"/>
  <c r="U337" i="5"/>
  <c r="P337" i="5"/>
  <c r="U336" i="5"/>
  <c r="P336" i="5"/>
  <c r="U335" i="5"/>
  <c r="P335" i="5"/>
  <c r="U334" i="5"/>
  <c r="P334" i="5"/>
  <c r="U333" i="5"/>
  <c r="P333" i="5"/>
  <c r="U332" i="5"/>
  <c r="P332" i="5"/>
  <c r="U331" i="5"/>
  <c r="P331" i="5"/>
  <c r="U330" i="5"/>
  <c r="P330" i="5"/>
  <c r="U329" i="5"/>
  <c r="P329" i="5"/>
  <c r="U328" i="5"/>
  <c r="P328" i="5"/>
  <c r="U327" i="5"/>
  <c r="P327" i="5"/>
  <c r="U325" i="5"/>
  <c r="P325" i="5"/>
  <c r="U324" i="5"/>
  <c r="P324" i="5"/>
  <c r="U323" i="5"/>
  <c r="P323" i="5"/>
  <c r="U322" i="5"/>
  <c r="P322" i="5"/>
  <c r="U321" i="5"/>
  <c r="P321" i="5"/>
  <c r="U320" i="5"/>
  <c r="P320" i="5"/>
  <c r="U319" i="5"/>
  <c r="P319" i="5"/>
  <c r="U318" i="5"/>
  <c r="P318" i="5"/>
  <c r="U317" i="5"/>
  <c r="P317" i="5"/>
  <c r="U316" i="5"/>
  <c r="P316" i="5"/>
  <c r="U315" i="5"/>
  <c r="P315" i="5"/>
  <c r="U314" i="5"/>
  <c r="P314" i="5"/>
  <c r="U312" i="5"/>
  <c r="P312" i="5"/>
  <c r="U311" i="5"/>
  <c r="P311" i="5"/>
  <c r="U310" i="5"/>
  <c r="P310" i="5"/>
  <c r="U309" i="5"/>
  <c r="P309" i="5"/>
  <c r="U308" i="5"/>
  <c r="P308" i="5"/>
  <c r="U307" i="5"/>
  <c r="P307" i="5"/>
  <c r="U306" i="5"/>
  <c r="P306" i="5"/>
  <c r="U305" i="5"/>
  <c r="P305" i="5"/>
  <c r="U304" i="5"/>
  <c r="P304" i="5"/>
  <c r="U303" i="5"/>
  <c r="P303" i="5"/>
  <c r="U302" i="5"/>
  <c r="P302" i="5"/>
  <c r="U301" i="5"/>
  <c r="P301" i="5"/>
  <c r="U299" i="5"/>
  <c r="P299" i="5"/>
  <c r="U298" i="5"/>
  <c r="P298" i="5"/>
  <c r="U297" i="5"/>
  <c r="P297" i="5"/>
  <c r="U296" i="5"/>
  <c r="P296" i="5"/>
  <c r="U295" i="5"/>
  <c r="P295" i="5"/>
  <c r="U294" i="5"/>
  <c r="P294" i="5"/>
  <c r="U293" i="5"/>
  <c r="P293" i="5"/>
  <c r="U292" i="5"/>
  <c r="P292" i="5"/>
  <c r="U291" i="5"/>
  <c r="P291" i="5"/>
  <c r="U290" i="5"/>
  <c r="P290" i="5"/>
  <c r="U289" i="5"/>
  <c r="P289" i="5"/>
  <c r="U288" i="5"/>
  <c r="P288" i="5"/>
  <c r="U286" i="5"/>
  <c r="P286" i="5"/>
  <c r="U285" i="5"/>
  <c r="P285" i="5"/>
  <c r="U284" i="5"/>
  <c r="P284" i="5"/>
  <c r="U283" i="5"/>
  <c r="P283" i="5"/>
  <c r="U282" i="5"/>
  <c r="P282" i="5"/>
  <c r="U281" i="5"/>
  <c r="P281" i="5"/>
  <c r="U280" i="5"/>
  <c r="P280" i="5"/>
  <c r="U279" i="5"/>
  <c r="P279" i="5"/>
  <c r="U278" i="5"/>
  <c r="P278" i="5"/>
  <c r="U277" i="5"/>
  <c r="P277" i="5"/>
  <c r="U276" i="5"/>
  <c r="P276" i="5"/>
  <c r="U275" i="5"/>
  <c r="P275" i="5"/>
  <c r="U273" i="5"/>
  <c r="P273" i="5"/>
  <c r="U272" i="5"/>
  <c r="P272" i="5"/>
  <c r="U271" i="5"/>
  <c r="P271" i="5"/>
  <c r="U270" i="5"/>
  <c r="P270" i="5"/>
  <c r="U269" i="5"/>
  <c r="P269" i="5"/>
  <c r="U268" i="5"/>
  <c r="P268" i="5"/>
  <c r="U267" i="5"/>
  <c r="P267" i="5"/>
  <c r="U266" i="5"/>
  <c r="P266" i="5"/>
  <c r="U265" i="5"/>
  <c r="P265" i="5"/>
  <c r="U264" i="5"/>
  <c r="P264" i="5"/>
  <c r="U263" i="5"/>
  <c r="P263" i="5"/>
  <c r="U262" i="5"/>
  <c r="P262" i="5"/>
  <c r="U260" i="5"/>
  <c r="P260" i="5"/>
  <c r="U259" i="5"/>
  <c r="P259" i="5"/>
  <c r="U258" i="5"/>
  <c r="P258" i="5"/>
  <c r="U257" i="5"/>
  <c r="P257" i="5"/>
  <c r="U256" i="5"/>
  <c r="P256" i="5"/>
  <c r="U255" i="5"/>
  <c r="P255" i="5"/>
  <c r="U254" i="5"/>
  <c r="P254" i="5"/>
  <c r="U253" i="5"/>
  <c r="P253" i="5"/>
  <c r="U252" i="5"/>
  <c r="P252" i="5"/>
  <c r="U251" i="5"/>
  <c r="P251" i="5"/>
  <c r="U250" i="5"/>
  <c r="P250" i="5"/>
  <c r="U249" i="5"/>
  <c r="P249" i="5"/>
  <c r="U247" i="5"/>
  <c r="P247" i="5"/>
  <c r="U246" i="5"/>
  <c r="P246" i="5"/>
  <c r="U245" i="5"/>
  <c r="P245" i="5"/>
  <c r="U244" i="5"/>
  <c r="P244" i="5"/>
  <c r="U243" i="5"/>
  <c r="P243" i="5"/>
  <c r="U242" i="5"/>
  <c r="P242" i="5"/>
  <c r="U241" i="5"/>
  <c r="P241" i="5"/>
  <c r="U240" i="5"/>
  <c r="P240" i="5"/>
  <c r="U239" i="5"/>
  <c r="P239" i="5"/>
  <c r="U238" i="5"/>
  <c r="P238" i="5"/>
  <c r="U237" i="5"/>
  <c r="P237" i="5"/>
  <c r="U236" i="5"/>
  <c r="P236" i="5"/>
  <c r="U234" i="5"/>
  <c r="P234" i="5"/>
  <c r="U233" i="5"/>
  <c r="P233" i="5"/>
  <c r="U232" i="5"/>
  <c r="P232" i="5"/>
  <c r="U231" i="5"/>
  <c r="P231" i="5"/>
  <c r="U230" i="5"/>
  <c r="P230" i="5"/>
  <c r="U229" i="5"/>
  <c r="P229" i="5"/>
  <c r="U228" i="5"/>
  <c r="P228" i="5"/>
  <c r="U227" i="5"/>
  <c r="P227" i="5"/>
  <c r="U226" i="5"/>
  <c r="P226" i="5"/>
  <c r="U225" i="5"/>
  <c r="P225" i="5"/>
  <c r="U224" i="5"/>
  <c r="P224" i="5"/>
  <c r="U223" i="5"/>
  <c r="P223" i="5"/>
  <c r="U221" i="5"/>
  <c r="P221" i="5"/>
  <c r="U220" i="5"/>
  <c r="P220" i="5"/>
  <c r="U219" i="5"/>
  <c r="P219" i="5"/>
  <c r="U218" i="5"/>
  <c r="P218" i="5"/>
  <c r="U217" i="5"/>
  <c r="P217" i="5"/>
  <c r="U216" i="5"/>
  <c r="P216" i="5"/>
  <c r="U215" i="5"/>
  <c r="P215" i="5"/>
  <c r="U214" i="5"/>
  <c r="P214" i="5"/>
  <c r="U213" i="5"/>
  <c r="P213" i="5"/>
  <c r="U212" i="5"/>
  <c r="P212" i="5"/>
  <c r="U211" i="5"/>
  <c r="P211" i="5"/>
  <c r="U210" i="5"/>
  <c r="P210" i="5"/>
  <c r="U208" i="5"/>
  <c r="P208" i="5"/>
  <c r="U207" i="5"/>
  <c r="P207" i="5"/>
  <c r="U206" i="5"/>
  <c r="P206" i="5"/>
  <c r="U205" i="5"/>
  <c r="P205" i="5"/>
  <c r="U204" i="5"/>
  <c r="P204" i="5"/>
  <c r="U203" i="5"/>
  <c r="P203" i="5"/>
  <c r="U202" i="5"/>
  <c r="P202" i="5"/>
  <c r="U201" i="5"/>
  <c r="P201" i="5"/>
  <c r="U200" i="5"/>
  <c r="P200" i="5"/>
  <c r="U199" i="5"/>
  <c r="P199" i="5"/>
  <c r="U198" i="5"/>
  <c r="P198" i="5"/>
  <c r="U197" i="5"/>
  <c r="P197" i="5"/>
  <c r="U195" i="5"/>
  <c r="P195" i="5"/>
  <c r="U194" i="5"/>
  <c r="P194" i="5"/>
  <c r="U193" i="5"/>
  <c r="P193" i="5"/>
  <c r="U192" i="5"/>
  <c r="P192" i="5"/>
  <c r="U191" i="5"/>
  <c r="P191" i="5"/>
  <c r="U190" i="5"/>
  <c r="P190" i="5"/>
  <c r="U189" i="5"/>
  <c r="P189" i="5"/>
  <c r="U188" i="5"/>
  <c r="P188" i="5"/>
  <c r="U187" i="5"/>
  <c r="P187" i="5"/>
  <c r="U186" i="5"/>
  <c r="P186" i="5"/>
  <c r="U185" i="5"/>
  <c r="P185" i="5"/>
  <c r="U184" i="5"/>
  <c r="P184" i="5"/>
  <c r="U182" i="5"/>
  <c r="P182" i="5"/>
  <c r="U181" i="5"/>
  <c r="P181" i="5"/>
  <c r="U180" i="5"/>
  <c r="P180" i="5"/>
  <c r="U179" i="5"/>
  <c r="P179" i="5"/>
  <c r="U178" i="5"/>
  <c r="P178" i="5"/>
  <c r="U177" i="5"/>
  <c r="P177" i="5"/>
  <c r="U176" i="5"/>
  <c r="P176" i="5"/>
  <c r="U175" i="5"/>
  <c r="P175" i="5"/>
  <c r="U174" i="5"/>
  <c r="P174" i="5"/>
  <c r="U173" i="5"/>
  <c r="P173" i="5"/>
  <c r="U172" i="5"/>
  <c r="P172" i="5"/>
  <c r="U171" i="5"/>
  <c r="P171" i="5"/>
  <c r="U169" i="5"/>
  <c r="P169" i="5"/>
  <c r="U168" i="5"/>
  <c r="P168" i="5"/>
  <c r="U167" i="5"/>
  <c r="P167" i="5"/>
  <c r="U166" i="5"/>
  <c r="P166" i="5"/>
  <c r="U165" i="5"/>
  <c r="P165" i="5"/>
  <c r="U164" i="5"/>
  <c r="P164" i="5"/>
  <c r="U163" i="5"/>
  <c r="P163" i="5"/>
  <c r="U162" i="5"/>
  <c r="P162" i="5"/>
  <c r="U161" i="5"/>
  <c r="P161" i="5"/>
  <c r="U160" i="5"/>
  <c r="P160" i="5"/>
  <c r="U159" i="5"/>
  <c r="P159" i="5"/>
  <c r="U158" i="5"/>
  <c r="P158" i="5"/>
  <c r="U156" i="5"/>
  <c r="P156" i="5"/>
  <c r="U155" i="5"/>
  <c r="P155" i="5"/>
  <c r="U154" i="5"/>
  <c r="P154" i="5"/>
  <c r="U153" i="5"/>
  <c r="P153" i="5"/>
  <c r="U152" i="5"/>
  <c r="P152" i="5"/>
  <c r="U151" i="5"/>
  <c r="P151" i="5"/>
  <c r="U150" i="5"/>
  <c r="P150" i="5"/>
  <c r="U149" i="5"/>
  <c r="P149" i="5"/>
  <c r="U148" i="5"/>
  <c r="P148" i="5"/>
  <c r="U147" i="5"/>
  <c r="P147" i="5"/>
  <c r="U146" i="5"/>
  <c r="P146" i="5"/>
  <c r="U145" i="5"/>
  <c r="P145" i="5"/>
  <c r="U143" i="5"/>
  <c r="P143" i="5"/>
  <c r="U142" i="5"/>
  <c r="P142" i="5"/>
  <c r="U141" i="5"/>
  <c r="P141" i="5"/>
  <c r="U140" i="5"/>
  <c r="P140" i="5"/>
  <c r="U139" i="5"/>
  <c r="P139" i="5"/>
  <c r="U138" i="5"/>
  <c r="P138" i="5"/>
  <c r="U137" i="5"/>
  <c r="P137" i="5"/>
  <c r="U136" i="5"/>
  <c r="P136" i="5"/>
  <c r="U135" i="5"/>
  <c r="P135" i="5"/>
  <c r="U134" i="5"/>
  <c r="P134" i="5"/>
  <c r="U133" i="5"/>
  <c r="P133" i="5"/>
  <c r="U132" i="5"/>
  <c r="P132" i="5"/>
  <c r="U130" i="5"/>
  <c r="P130" i="5"/>
  <c r="U129" i="5"/>
  <c r="P129" i="5"/>
  <c r="U128" i="5"/>
  <c r="P128" i="5"/>
  <c r="U127" i="5"/>
  <c r="P127" i="5"/>
  <c r="U126" i="5"/>
  <c r="P126" i="5"/>
  <c r="U125" i="5"/>
  <c r="P125" i="5"/>
  <c r="U124" i="5"/>
  <c r="P124" i="5"/>
  <c r="U123" i="5"/>
  <c r="P123" i="5"/>
  <c r="U122" i="5"/>
  <c r="P122" i="5"/>
  <c r="U121" i="5"/>
  <c r="P121" i="5"/>
  <c r="AE120" i="5"/>
  <c r="U120" i="5"/>
  <c r="P120" i="5"/>
  <c r="AE119" i="5"/>
  <c r="U119" i="5"/>
  <c r="P119" i="5"/>
  <c r="U117" i="5"/>
  <c r="P117" i="5"/>
  <c r="U116" i="5"/>
  <c r="P116" i="5"/>
  <c r="U115" i="5"/>
  <c r="P115" i="5"/>
  <c r="U114" i="5"/>
  <c r="P114" i="5"/>
  <c r="U113" i="5"/>
  <c r="P113" i="5"/>
  <c r="U112" i="5"/>
  <c r="P112" i="5"/>
  <c r="U111" i="5"/>
  <c r="P111" i="5"/>
  <c r="U110" i="5"/>
  <c r="P110" i="5"/>
  <c r="U109" i="5"/>
  <c r="P109" i="5"/>
  <c r="U108" i="5"/>
  <c r="P108" i="5"/>
  <c r="U107" i="5"/>
  <c r="P107" i="5"/>
  <c r="U106" i="5"/>
  <c r="P106" i="5"/>
  <c r="U104" i="5"/>
  <c r="P104" i="5"/>
  <c r="U103" i="5"/>
  <c r="P103" i="5"/>
  <c r="U102" i="5"/>
  <c r="P102" i="5"/>
  <c r="U101" i="5"/>
  <c r="P101" i="5"/>
  <c r="U100" i="5"/>
  <c r="P100" i="5"/>
  <c r="U99" i="5"/>
  <c r="P99" i="5"/>
  <c r="U98" i="5"/>
  <c r="P98" i="5"/>
  <c r="U97" i="5"/>
  <c r="P97" i="5"/>
  <c r="U96" i="5"/>
  <c r="P96" i="5"/>
  <c r="U95" i="5"/>
  <c r="P95" i="5"/>
  <c r="U94" i="5"/>
  <c r="P94" i="5"/>
  <c r="U93" i="5"/>
  <c r="P93" i="5"/>
  <c r="U91" i="5"/>
  <c r="P91" i="5"/>
  <c r="U90" i="5"/>
  <c r="P90" i="5"/>
  <c r="U89" i="5"/>
  <c r="P89" i="5"/>
  <c r="U88" i="5"/>
  <c r="P88" i="5"/>
  <c r="U87" i="5"/>
  <c r="P87" i="5"/>
  <c r="U86" i="5"/>
  <c r="P86" i="5"/>
  <c r="U85" i="5"/>
  <c r="P85" i="5"/>
  <c r="U84" i="5"/>
  <c r="P84" i="5"/>
  <c r="U83" i="5"/>
  <c r="P83" i="5"/>
  <c r="U82" i="5"/>
  <c r="P82" i="5"/>
  <c r="U81" i="5"/>
  <c r="P81" i="5"/>
  <c r="U80" i="5"/>
  <c r="P80" i="5"/>
  <c r="U78" i="5"/>
  <c r="P78" i="5"/>
  <c r="U77" i="5"/>
  <c r="P77" i="5"/>
  <c r="U76" i="5"/>
  <c r="P76" i="5"/>
  <c r="U75" i="5"/>
  <c r="P75" i="5"/>
  <c r="U74" i="5"/>
  <c r="P74" i="5"/>
  <c r="U73" i="5"/>
  <c r="P73" i="5"/>
  <c r="U72" i="5"/>
  <c r="P72" i="5"/>
  <c r="U71" i="5"/>
  <c r="P71" i="5"/>
  <c r="U70" i="5"/>
  <c r="P70" i="5"/>
  <c r="U69" i="5"/>
  <c r="P69" i="5"/>
  <c r="U68" i="5"/>
  <c r="P68" i="5"/>
  <c r="U67" i="5"/>
  <c r="P67" i="5"/>
  <c r="U65" i="5"/>
  <c r="P65" i="5"/>
  <c r="U64" i="5"/>
  <c r="P64" i="5"/>
  <c r="U63" i="5"/>
  <c r="P63" i="5"/>
  <c r="U62" i="5"/>
  <c r="P62" i="5"/>
  <c r="U61" i="5"/>
  <c r="P61" i="5"/>
  <c r="U60" i="5"/>
  <c r="P60" i="5"/>
  <c r="U59" i="5"/>
  <c r="P59" i="5"/>
  <c r="U58" i="5"/>
  <c r="P58" i="5"/>
  <c r="U57" i="5"/>
  <c r="P57" i="5"/>
  <c r="U56" i="5"/>
  <c r="P56" i="5"/>
  <c r="U55" i="5"/>
  <c r="P55" i="5"/>
  <c r="U54" i="5"/>
  <c r="P54" i="5"/>
  <c r="U52" i="5"/>
  <c r="P52" i="5"/>
  <c r="U51" i="5"/>
  <c r="P51" i="5"/>
  <c r="U50" i="5"/>
  <c r="P50" i="5"/>
  <c r="U49" i="5"/>
  <c r="P49" i="5"/>
  <c r="U48" i="5"/>
  <c r="P48" i="5"/>
  <c r="U47" i="5"/>
  <c r="P47" i="5"/>
  <c r="U46" i="5"/>
  <c r="P46" i="5"/>
  <c r="U45" i="5"/>
  <c r="P45" i="5"/>
  <c r="U44" i="5"/>
  <c r="P44" i="5"/>
  <c r="U43" i="5"/>
  <c r="P43" i="5"/>
  <c r="U42" i="5"/>
  <c r="P42" i="5"/>
  <c r="U41" i="5"/>
  <c r="P41" i="5"/>
  <c r="U39" i="5"/>
  <c r="P39" i="5"/>
  <c r="U38" i="5"/>
  <c r="P38" i="5"/>
  <c r="U37" i="5"/>
  <c r="P37" i="5"/>
  <c r="U36" i="5"/>
  <c r="P36" i="5"/>
  <c r="U35" i="5"/>
  <c r="P35" i="5"/>
  <c r="U34" i="5"/>
  <c r="P34" i="5"/>
  <c r="U33" i="5"/>
  <c r="P33" i="5"/>
  <c r="U32" i="5"/>
  <c r="P32" i="5"/>
  <c r="U31" i="5"/>
  <c r="P31" i="5"/>
  <c r="U30" i="5"/>
  <c r="P30" i="5"/>
  <c r="U29" i="5"/>
  <c r="P29" i="5"/>
  <c r="U28" i="5"/>
  <c r="P28" i="5"/>
  <c r="U26" i="5"/>
  <c r="P26" i="5"/>
  <c r="U25" i="5"/>
  <c r="P25" i="5"/>
  <c r="U24" i="5"/>
  <c r="P24" i="5"/>
  <c r="U23" i="5"/>
  <c r="P23" i="5"/>
  <c r="U22" i="5"/>
  <c r="P22" i="5"/>
  <c r="U21" i="5"/>
  <c r="P21" i="5"/>
  <c r="U20" i="5"/>
  <c r="P20" i="5"/>
  <c r="U19" i="5"/>
  <c r="P19" i="5"/>
  <c r="U18" i="5"/>
  <c r="P18" i="5"/>
  <c r="U17" i="5"/>
  <c r="P17" i="5"/>
  <c r="U16" i="5"/>
  <c r="P16" i="5"/>
  <c r="U15" i="5"/>
  <c r="P15" i="5"/>
  <c r="U13" i="5"/>
  <c r="P13" i="5"/>
  <c r="U12" i="5"/>
  <c r="P12" i="5"/>
  <c r="U11" i="5"/>
  <c r="P11" i="5"/>
  <c r="U10" i="5"/>
  <c r="P10" i="5"/>
  <c r="U9" i="5"/>
  <c r="P9" i="5"/>
  <c r="U8" i="5"/>
  <c r="P8" i="5"/>
  <c r="U7" i="5"/>
  <c r="P7" i="5"/>
  <c r="U6" i="5"/>
  <c r="P6" i="5"/>
  <c r="U5" i="5"/>
  <c r="P5" i="5"/>
  <c r="U4" i="5"/>
  <c r="P4" i="5"/>
  <c r="U3" i="5"/>
  <c r="P3" i="5"/>
  <c r="U2" i="5"/>
  <c r="P2" i="5"/>
  <c r="U560" i="4"/>
  <c r="P560" i="4"/>
  <c r="U559" i="4"/>
  <c r="P559" i="4"/>
  <c r="U558" i="4"/>
  <c r="P558" i="4"/>
  <c r="U557" i="4"/>
  <c r="P557" i="4"/>
  <c r="U556" i="4"/>
  <c r="P556" i="4"/>
  <c r="U555" i="4"/>
  <c r="P555" i="4"/>
  <c r="U554" i="4"/>
  <c r="P554" i="4"/>
  <c r="U553" i="4"/>
  <c r="P553" i="4"/>
  <c r="U552" i="4"/>
  <c r="P552" i="4"/>
  <c r="U551" i="4"/>
  <c r="P551" i="4"/>
  <c r="U550" i="4"/>
  <c r="P550" i="4"/>
  <c r="U549" i="4"/>
  <c r="P549" i="4"/>
  <c r="U547" i="4"/>
  <c r="P547" i="4"/>
  <c r="U546" i="4"/>
  <c r="P546" i="4"/>
  <c r="U545" i="4"/>
  <c r="P545" i="4"/>
  <c r="U544" i="4"/>
  <c r="P544" i="4"/>
  <c r="U543" i="4"/>
  <c r="P543" i="4"/>
  <c r="U542" i="4"/>
  <c r="P542" i="4"/>
  <c r="U541" i="4"/>
  <c r="P541" i="4"/>
  <c r="U540" i="4"/>
  <c r="P540" i="4"/>
  <c r="U539" i="4"/>
  <c r="P539" i="4"/>
  <c r="U538" i="4"/>
  <c r="P538" i="4"/>
  <c r="U537" i="4"/>
  <c r="P537" i="4"/>
  <c r="U536" i="4"/>
  <c r="P536" i="4"/>
  <c r="U534" i="4"/>
  <c r="P534" i="4"/>
  <c r="U533" i="4"/>
  <c r="P533" i="4"/>
  <c r="U532" i="4"/>
  <c r="P532" i="4"/>
  <c r="U531" i="4"/>
  <c r="P531" i="4"/>
  <c r="U530" i="4"/>
  <c r="P530" i="4"/>
  <c r="U529" i="4"/>
  <c r="P529" i="4"/>
  <c r="U528" i="4"/>
  <c r="P528" i="4"/>
  <c r="U527" i="4"/>
  <c r="P527" i="4"/>
  <c r="U526" i="4"/>
  <c r="P526" i="4"/>
  <c r="U525" i="4"/>
  <c r="P525" i="4"/>
  <c r="U524" i="4"/>
  <c r="P524" i="4"/>
  <c r="U523" i="4"/>
  <c r="P523" i="4"/>
  <c r="U521" i="4"/>
  <c r="P521" i="4"/>
  <c r="U520" i="4"/>
  <c r="P520" i="4"/>
  <c r="U519" i="4"/>
  <c r="P519" i="4"/>
  <c r="U518" i="4"/>
  <c r="P518" i="4"/>
  <c r="U517" i="4"/>
  <c r="P517" i="4"/>
  <c r="U516" i="4"/>
  <c r="P516" i="4"/>
  <c r="U515" i="4"/>
  <c r="P515" i="4"/>
  <c r="U514" i="4"/>
  <c r="P514" i="4"/>
  <c r="U513" i="4"/>
  <c r="P513" i="4"/>
  <c r="U512" i="4"/>
  <c r="P512" i="4"/>
  <c r="U511" i="4"/>
  <c r="P511" i="4"/>
  <c r="U510" i="4"/>
  <c r="P510" i="4"/>
  <c r="U508" i="4"/>
  <c r="P508" i="4"/>
  <c r="U507" i="4"/>
  <c r="P507" i="4"/>
  <c r="U506" i="4"/>
  <c r="P506" i="4"/>
  <c r="U505" i="4"/>
  <c r="P505" i="4"/>
  <c r="U504" i="4"/>
  <c r="P504" i="4"/>
  <c r="U503" i="4"/>
  <c r="P503" i="4"/>
  <c r="U502" i="4"/>
  <c r="P502" i="4"/>
  <c r="U501" i="4"/>
  <c r="P501" i="4"/>
  <c r="U500" i="4"/>
  <c r="P500" i="4"/>
  <c r="U499" i="4"/>
  <c r="P499" i="4"/>
  <c r="U498" i="4"/>
  <c r="P498" i="4"/>
  <c r="U497" i="4"/>
  <c r="P497" i="4"/>
  <c r="U495" i="4"/>
  <c r="P495" i="4"/>
  <c r="U494" i="4"/>
  <c r="P494" i="4"/>
  <c r="U493" i="4"/>
  <c r="P493" i="4"/>
  <c r="U492" i="4"/>
  <c r="P492" i="4"/>
  <c r="U491" i="4"/>
  <c r="P491" i="4"/>
  <c r="U490" i="4"/>
  <c r="P490" i="4"/>
  <c r="U489" i="4"/>
  <c r="P489" i="4"/>
  <c r="U488" i="4"/>
  <c r="P488" i="4"/>
  <c r="U487" i="4"/>
  <c r="P487" i="4"/>
  <c r="U486" i="4"/>
  <c r="P486" i="4"/>
  <c r="U485" i="4"/>
  <c r="P485" i="4"/>
  <c r="U484" i="4"/>
  <c r="P484" i="4"/>
  <c r="U482" i="4"/>
  <c r="P482" i="4"/>
  <c r="U481" i="4"/>
  <c r="P481" i="4"/>
  <c r="U480" i="4"/>
  <c r="P480" i="4"/>
  <c r="U479" i="4"/>
  <c r="P479" i="4"/>
  <c r="U478" i="4"/>
  <c r="P478" i="4"/>
  <c r="U477" i="4"/>
  <c r="P477" i="4"/>
  <c r="U476" i="4"/>
  <c r="P476" i="4"/>
  <c r="U475" i="4"/>
  <c r="P475" i="4"/>
  <c r="U474" i="4"/>
  <c r="P474" i="4"/>
  <c r="U473" i="4"/>
  <c r="P473" i="4"/>
  <c r="U472" i="4"/>
  <c r="P472" i="4"/>
  <c r="U471" i="4"/>
  <c r="P471" i="4"/>
  <c r="U469" i="4"/>
  <c r="P469" i="4"/>
  <c r="U468" i="4"/>
  <c r="P468" i="4"/>
  <c r="U467" i="4"/>
  <c r="P467" i="4"/>
  <c r="U466" i="4"/>
  <c r="P466" i="4"/>
  <c r="U465" i="4"/>
  <c r="P465" i="4"/>
  <c r="U464" i="4"/>
  <c r="P464" i="4"/>
  <c r="U463" i="4"/>
  <c r="P463" i="4"/>
  <c r="U462" i="4"/>
  <c r="P462" i="4"/>
  <c r="U461" i="4"/>
  <c r="P461" i="4"/>
  <c r="U460" i="4"/>
  <c r="P460" i="4"/>
  <c r="U459" i="4"/>
  <c r="P459" i="4"/>
  <c r="U458" i="4"/>
  <c r="P458" i="4"/>
  <c r="U455" i="4"/>
  <c r="P455" i="4"/>
  <c r="U454" i="4"/>
  <c r="P454" i="4"/>
  <c r="U453" i="4"/>
  <c r="P453" i="4"/>
  <c r="U452" i="4"/>
  <c r="P452" i="4"/>
  <c r="U451" i="4"/>
  <c r="P451" i="4"/>
  <c r="U450" i="4"/>
  <c r="P450" i="4"/>
  <c r="U449" i="4"/>
  <c r="P449" i="4"/>
  <c r="U448" i="4"/>
  <c r="P448" i="4"/>
  <c r="U447" i="4"/>
  <c r="P447" i="4"/>
  <c r="U446" i="4"/>
  <c r="P446" i="4"/>
  <c r="U445" i="4"/>
  <c r="P445" i="4"/>
  <c r="U444" i="4"/>
  <c r="P444" i="4"/>
  <c r="U442" i="4"/>
  <c r="P442" i="4"/>
  <c r="U441" i="4"/>
  <c r="P441" i="4"/>
  <c r="U440" i="4"/>
  <c r="P440" i="4"/>
  <c r="U439" i="4"/>
  <c r="P439" i="4"/>
  <c r="U438" i="4"/>
  <c r="P438" i="4"/>
  <c r="U437" i="4"/>
  <c r="P437" i="4"/>
  <c r="U436" i="4"/>
  <c r="P436" i="4"/>
  <c r="U435" i="4"/>
  <c r="P435" i="4"/>
  <c r="U434" i="4"/>
  <c r="P434" i="4"/>
  <c r="U433" i="4"/>
  <c r="P433" i="4"/>
  <c r="U432" i="4"/>
  <c r="P432" i="4"/>
  <c r="U431" i="4"/>
  <c r="P431" i="4"/>
  <c r="U429" i="4"/>
  <c r="P429" i="4"/>
  <c r="U428" i="4"/>
  <c r="P428" i="4"/>
  <c r="U427" i="4"/>
  <c r="P427" i="4"/>
  <c r="U426" i="4"/>
  <c r="P426" i="4"/>
  <c r="U425" i="4"/>
  <c r="P425" i="4"/>
  <c r="U424" i="4"/>
  <c r="P424" i="4"/>
  <c r="U423" i="4"/>
  <c r="P423" i="4"/>
  <c r="U422" i="4"/>
  <c r="P422" i="4"/>
  <c r="U421" i="4"/>
  <c r="P421" i="4"/>
  <c r="U420" i="4"/>
  <c r="P420" i="4"/>
  <c r="U419" i="4"/>
  <c r="P419" i="4"/>
  <c r="U418" i="4"/>
  <c r="P418" i="4"/>
  <c r="U416" i="4"/>
  <c r="P416" i="4"/>
  <c r="U415" i="4"/>
  <c r="P415" i="4"/>
  <c r="U414" i="4"/>
  <c r="P414" i="4"/>
  <c r="U413" i="4"/>
  <c r="P413" i="4"/>
  <c r="U412" i="4"/>
  <c r="P412" i="4"/>
  <c r="U411" i="4"/>
  <c r="P411" i="4"/>
  <c r="U410" i="4"/>
  <c r="P410" i="4"/>
  <c r="U409" i="4"/>
  <c r="P409" i="4"/>
  <c r="U408" i="4"/>
  <c r="P408" i="4"/>
  <c r="U407" i="4"/>
  <c r="P407" i="4"/>
  <c r="U406" i="4"/>
  <c r="P406" i="4"/>
  <c r="U405" i="4"/>
  <c r="P405" i="4"/>
  <c r="U403" i="4"/>
  <c r="P403" i="4"/>
  <c r="U402" i="4"/>
  <c r="P402" i="4"/>
  <c r="U401" i="4"/>
  <c r="P401" i="4"/>
  <c r="U400" i="4"/>
  <c r="P400" i="4"/>
  <c r="U399" i="4"/>
  <c r="P399" i="4"/>
  <c r="U398" i="4"/>
  <c r="P398" i="4"/>
  <c r="U397" i="4"/>
  <c r="P397" i="4"/>
  <c r="U396" i="4"/>
  <c r="P396" i="4"/>
  <c r="U395" i="4"/>
  <c r="P395" i="4"/>
  <c r="U394" i="4"/>
  <c r="P394" i="4"/>
  <c r="U393" i="4"/>
  <c r="P393" i="4"/>
  <c r="U392" i="4"/>
  <c r="P392" i="4"/>
  <c r="U390" i="4"/>
  <c r="P390" i="4"/>
  <c r="U389" i="4"/>
  <c r="P389" i="4"/>
  <c r="U388" i="4"/>
  <c r="P388" i="4"/>
  <c r="U387" i="4"/>
  <c r="P387" i="4"/>
  <c r="U386" i="4"/>
  <c r="P386" i="4"/>
  <c r="U385" i="4"/>
  <c r="P385" i="4"/>
  <c r="U384" i="4"/>
  <c r="P384" i="4"/>
  <c r="U383" i="4"/>
  <c r="P383" i="4"/>
  <c r="U382" i="4"/>
  <c r="P382" i="4"/>
  <c r="U381" i="4"/>
  <c r="P381" i="4"/>
  <c r="U380" i="4"/>
  <c r="P380" i="4"/>
  <c r="U379" i="4"/>
  <c r="P379" i="4"/>
  <c r="U377" i="4"/>
  <c r="P377" i="4"/>
  <c r="U376" i="4"/>
  <c r="P376" i="4"/>
  <c r="U375" i="4"/>
  <c r="P375" i="4"/>
  <c r="U374" i="4"/>
  <c r="P374" i="4"/>
  <c r="U373" i="4"/>
  <c r="P373" i="4"/>
  <c r="U372" i="4"/>
  <c r="P372" i="4"/>
  <c r="U371" i="4"/>
  <c r="P371" i="4"/>
  <c r="U370" i="4"/>
  <c r="P370" i="4"/>
  <c r="U369" i="4"/>
  <c r="P369" i="4"/>
  <c r="U368" i="4"/>
  <c r="P368" i="4"/>
  <c r="U367" i="4"/>
  <c r="P367" i="4"/>
  <c r="U366" i="4"/>
  <c r="P366" i="4"/>
  <c r="U364" i="4"/>
  <c r="P364" i="4"/>
  <c r="U363" i="4"/>
  <c r="P363" i="4"/>
  <c r="U362" i="4"/>
  <c r="P362" i="4"/>
  <c r="U361" i="4"/>
  <c r="P361" i="4"/>
  <c r="U360" i="4"/>
  <c r="P360" i="4"/>
  <c r="U359" i="4"/>
  <c r="P359" i="4"/>
  <c r="U358" i="4"/>
  <c r="P358" i="4"/>
  <c r="U357" i="4"/>
  <c r="P357" i="4"/>
  <c r="U356" i="4"/>
  <c r="P356" i="4"/>
  <c r="U355" i="4"/>
  <c r="P355" i="4"/>
  <c r="U354" i="4"/>
  <c r="P354" i="4"/>
  <c r="U353" i="4"/>
  <c r="P353" i="4"/>
  <c r="U351" i="4"/>
  <c r="P351" i="4"/>
  <c r="U350" i="4"/>
  <c r="P350" i="4"/>
  <c r="U349" i="4"/>
  <c r="P349" i="4"/>
  <c r="U348" i="4"/>
  <c r="P348" i="4"/>
  <c r="U347" i="4"/>
  <c r="P347" i="4"/>
  <c r="U346" i="4"/>
  <c r="P346" i="4"/>
  <c r="U345" i="4"/>
  <c r="P345" i="4"/>
  <c r="U344" i="4"/>
  <c r="P344" i="4"/>
  <c r="U343" i="4"/>
  <c r="P343" i="4"/>
  <c r="U342" i="4"/>
  <c r="P342" i="4"/>
  <c r="U341" i="4"/>
  <c r="P341" i="4"/>
  <c r="U340" i="4"/>
  <c r="P340" i="4"/>
  <c r="U338" i="4"/>
  <c r="P338" i="4"/>
  <c r="U337" i="4"/>
  <c r="P337" i="4"/>
  <c r="U336" i="4"/>
  <c r="P336" i="4"/>
  <c r="U335" i="4"/>
  <c r="P335" i="4"/>
  <c r="U334" i="4"/>
  <c r="P334" i="4"/>
  <c r="U333" i="4"/>
  <c r="P333" i="4"/>
  <c r="U332" i="4"/>
  <c r="P332" i="4"/>
  <c r="U331" i="4"/>
  <c r="P331" i="4"/>
  <c r="U330" i="4"/>
  <c r="P330" i="4"/>
  <c r="U329" i="4"/>
  <c r="P329" i="4"/>
  <c r="U328" i="4"/>
  <c r="P328" i="4"/>
  <c r="U327" i="4"/>
  <c r="P327" i="4"/>
  <c r="U325" i="4"/>
  <c r="P325" i="4"/>
  <c r="U324" i="4"/>
  <c r="P324" i="4"/>
  <c r="U323" i="4"/>
  <c r="P323" i="4"/>
  <c r="U322" i="4"/>
  <c r="P322" i="4"/>
  <c r="U321" i="4"/>
  <c r="P321" i="4"/>
  <c r="U320" i="4"/>
  <c r="P320" i="4"/>
  <c r="U319" i="4"/>
  <c r="P319" i="4"/>
  <c r="U318" i="4"/>
  <c r="P318" i="4"/>
  <c r="U317" i="4"/>
  <c r="P317" i="4"/>
  <c r="U316" i="4"/>
  <c r="P316" i="4"/>
  <c r="U315" i="4"/>
  <c r="P315" i="4"/>
  <c r="U314" i="4"/>
  <c r="P314" i="4"/>
  <c r="U312" i="4"/>
  <c r="P312" i="4"/>
  <c r="U311" i="4"/>
  <c r="P311" i="4"/>
  <c r="U310" i="4"/>
  <c r="P310" i="4"/>
  <c r="U309" i="4"/>
  <c r="P309" i="4"/>
  <c r="U308" i="4"/>
  <c r="P308" i="4"/>
  <c r="U307" i="4"/>
  <c r="P307" i="4"/>
  <c r="U306" i="4"/>
  <c r="P306" i="4"/>
  <c r="U305" i="4"/>
  <c r="P305" i="4"/>
  <c r="U304" i="4"/>
  <c r="P304" i="4"/>
  <c r="U303" i="4"/>
  <c r="P303" i="4"/>
  <c r="U302" i="4"/>
  <c r="P302" i="4"/>
  <c r="U301" i="4"/>
  <c r="P301" i="4"/>
  <c r="U299" i="4"/>
  <c r="P299" i="4"/>
  <c r="U298" i="4"/>
  <c r="P298" i="4"/>
  <c r="U297" i="4"/>
  <c r="P297" i="4"/>
  <c r="U296" i="4"/>
  <c r="P296" i="4"/>
  <c r="U295" i="4"/>
  <c r="P295" i="4"/>
  <c r="U294" i="4"/>
  <c r="P294" i="4"/>
  <c r="U293" i="4"/>
  <c r="P293" i="4"/>
  <c r="U292" i="4"/>
  <c r="P292" i="4"/>
  <c r="U291" i="4"/>
  <c r="P291" i="4"/>
  <c r="U290" i="4"/>
  <c r="P290" i="4"/>
  <c r="U289" i="4"/>
  <c r="P289" i="4"/>
  <c r="U288" i="4"/>
  <c r="P288" i="4"/>
  <c r="U286" i="4"/>
  <c r="P286" i="4"/>
  <c r="U285" i="4"/>
  <c r="P285" i="4"/>
  <c r="U284" i="4"/>
  <c r="P284" i="4"/>
  <c r="U283" i="4"/>
  <c r="P283" i="4"/>
  <c r="U282" i="4"/>
  <c r="P282" i="4"/>
  <c r="U281" i="4"/>
  <c r="P281" i="4"/>
  <c r="U280" i="4"/>
  <c r="P280" i="4"/>
  <c r="U279" i="4"/>
  <c r="P279" i="4"/>
  <c r="U278" i="4"/>
  <c r="P278" i="4"/>
  <c r="U277" i="4"/>
  <c r="P277" i="4"/>
  <c r="U276" i="4"/>
  <c r="P276" i="4"/>
  <c r="U275" i="4"/>
  <c r="P275" i="4"/>
  <c r="U273" i="4"/>
  <c r="P273" i="4"/>
  <c r="U272" i="4"/>
  <c r="P272" i="4"/>
  <c r="U271" i="4"/>
  <c r="P271" i="4"/>
  <c r="U270" i="4"/>
  <c r="P270" i="4"/>
  <c r="U269" i="4"/>
  <c r="P269" i="4"/>
  <c r="U268" i="4"/>
  <c r="P268" i="4"/>
  <c r="U267" i="4"/>
  <c r="P267" i="4"/>
  <c r="U266" i="4"/>
  <c r="P266" i="4"/>
  <c r="U265" i="4"/>
  <c r="P265" i="4"/>
  <c r="U264" i="4"/>
  <c r="P264" i="4"/>
  <c r="U263" i="4"/>
  <c r="P263" i="4"/>
  <c r="U262" i="4"/>
  <c r="P262" i="4"/>
  <c r="U260" i="4"/>
  <c r="P260" i="4"/>
  <c r="U259" i="4"/>
  <c r="P259" i="4"/>
  <c r="U258" i="4"/>
  <c r="P258" i="4"/>
  <c r="U257" i="4"/>
  <c r="P257" i="4"/>
  <c r="U256" i="4"/>
  <c r="P256" i="4"/>
  <c r="U255" i="4"/>
  <c r="P255" i="4"/>
  <c r="U254" i="4"/>
  <c r="P254" i="4"/>
  <c r="U253" i="4"/>
  <c r="P253" i="4"/>
  <c r="U252" i="4"/>
  <c r="P252" i="4"/>
  <c r="U251" i="4"/>
  <c r="P251" i="4"/>
  <c r="U250" i="4"/>
  <c r="P250" i="4"/>
  <c r="U249" i="4"/>
  <c r="P249" i="4"/>
  <c r="U247" i="4"/>
  <c r="P247" i="4"/>
  <c r="U246" i="4"/>
  <c r="P246" i="4"/>
  <c r="U245" i="4"/>
  <c r="P245" i="4"/>
  <c r="U244" i="4"/>
  <c r="P244" i="4"/>
  <c r="U243" i="4"/>
  <c r="P243" i="4"/>
  <c r="U242" i="4"/>
  <c r="P242" i="4"/>
  <c r="U241" i="4"/>
  <c r="P241" i="4"/>
  <c r="U240" i="4"/>
  <c r="P240" i="4"/>
  <c r="U239" i="4"/>
  <c r="P239" i="4"/>
  <c r="U238" i="4"/>
  <c r="P238" i="4"/>
  <c r="U237" i="4"/>
  <c r="P237" i="4"/>
  <c r="U236" i="4"/>
  <c r="P236" i="4"/>
  <c r="U234" i="4"/>
  <c r="P234" i="4"/>
  <c r="U233" i="4"/>
  <c r="P233" i="4"/>
  <c r="U232" i="4"/>
  <c r="P232" i="4"/>
  <c r="U231" i="4"/>
  <c r="P231" i="4"/>
  <c r="U230" i="4"/>
  <c r="P230" i="4"/>
  <c r="U229" i="4"/>
  <c r="P229" i="4"/>
  <c r="U228" i="4"/>
  <c r="P228" i="4"/>
  <c r="U227" i="4"/>
  <c r="P227" i="4"/>
  <c r="U226" i="4"/>
  <c r="P226" i="4"/>
  <c r="U225" i="4"/>
  <c r="P225" i="4"/>
  <c r="U224" i="4"/>
  <c r="P224" i="4"/>
  <c r="U223" i="4"/>
  <c r="P223" i="4"/>
  <c r="U221" i="4"/>
  <c r="P221" i="4"/>
  <c r="U220" i="4"/>
  <c r="P220" i="4"/>
  <c r="U219" i="4"/>
  <c r="P219" i="4"/>
  <c r="U218" i="4"/>
  <c r="P218" i="4"/>
  <c r="U217" i="4"/>
  <c r="P217" i="4"/>
  <c r="U216" i="4"/>
  <c r="P216" i="4"/>
  <c r="U215" i="4"/>
  <c r="P215" i="4"/>
  <c r="U214" i="4"/>
  <c r="P214" i="4"/>
  <c r="U213" i="4"/>
  <c r="P213" i="4"/>
  <c r="U212" i="4"/>
  <c r="P212" i="4"/>
  <c r="U211" i="4"/>
  <c r="P211" i="4"/>
  <c r="U210" i="4"/>
  <c r="P210" i="4"/>
  <c r="U208" i="4"/>
  <c r="P208" i="4"/>
  <c r="U207" i="4"/>
  <c r="P207" i="4"/>
  <c r="U206" i="4"/>
  <c r="P206" i="4"/>
  <c r="U205" i="4"/>
  <c r="P205" i="4"/>
  <c r="U204" i="4"/>
  <c r="P204" i="4"/>
  <c r="U203" i="4"/>
  <c r="P203" i="4"/>
  <c r="U202" i="4"/>
  <c r="P202" i="4"/>
  <c r="U201" i="4"/>
  <c r="P201" i="4"/>
  <c r="U200" i="4"/>
  <c r="P200" i="4"/>
  <c r="U199" i="4"/>
  <c r="P199" i="4"/>
  <c r="U198" i="4"/>
  <c r="P198" i="4"/>
  <c r="U197" i="4"/>
  <c r="P197" i="4"/>
  <c r="U195" i="4"/>
  <c r="P195" i="4"/>
  <c r="U194" i="4"/>
  <c r="P194" i="4"/>
  <c r="U193" i="4"/>
  <c r="P193" i="4"/>
  <c r="U192" i="4"/>
  <c r="P192" i="4"/>
  <c r="U191" i="4"/>
  <c r="P191" i="4"/>
  <c r="U190" i="4"/>
  <c r="P190" i="4"/>
  <c r="U189" i="4"/>
  <c r="P189" i="4"/>
  <c r="U188" i="4"/>
  <c r="P188" i="4"/>
  <c r="U187" i="4"/>
  <c r="P187" i="4"/>
  <c r="U186" i="4"/>
  <c r="P186" i="4"/>
  <c r="U185" i="4"/>
  <c r="P185" i="4"/>
  <c r="U184" i="4"/>
  <c r="P184" i="4"/>
  <c r="U182" i="4"/>
  <c r="P182" i="4"/>
  <c r="U181" i="4"/>
  <c r="P181" i="4"/>
  <c r="U180" i="4"/>
  <c r="P180" i="4"/>
  <c r="U179" i="4"/>
  <c r="P179" i="4"/>
  <c r="U178" i="4"/>
  <c r="P178" i="4"/>
  <c r="U177" i="4"/>
  <c r="P177" i="4"/>
  <c r="U176" i="4"/>
  <c r="P176" i="4"/>
  <c r="U175" i="4"/>
  <c r="P175" i="4"/>
  <c r="U174" i="4"/>
  <c r="P174" i="4"/>
  <c r="U173" i="4"/>
  <c r="P173" i="4"/>
  <c r="U172" i="4"/>
  <c r="P172" i="4"/>
  <c r="U171" i="4"/>
  <c r="P171" i="4"/>
  <c r="U169" i="4"/>
  <c r="P169" i="4"/>
  <c r="U168" i="4"/>
  <c r="P168" i="4"/>
  <c r="U167" i="4"/>
  <c r="P167" i="4"/>
  <c r="U166" i="4"/>
  <c r="P166" i="4"/>
  <c r="U165" i="4"/>
  <c r="P165" i="4"/>
  <c r="U164" i="4"/>
  <c r="P164" i="4"/>
  <c r="U163" i="4"/>
  <c r="P163" i="4"/>
  <c r="U162" i="4"/>
  <c r="P162" i="4"/>
  <c r="U161" i="4"/>
  <c r="P161" i="4"/>
  <c r="U160" i="4"/>
  <c r="P160" i="4"/>
  <c r="U159" i="4"/>
  <c r="P159" i="4"/>
  <c r="U158" i="4"/>
  <c r="P158" i="4"/>
  <c r="U156" i="4"/>
  <c r="P156" i="4"/>
  <c r="U155" i="4"/>
  <c r="P155" i="4"/>
  <c r="U154" i="4"/>
  <c r="P154" i="4"/>
  <c r="U153" i="4"/>
  <c r="P153" i="4"/>
  <c r="U152" i="4"/>
  <c r="P152" i="4"/>
  <c r="U151" i="4"/>
  <c r="P151" i="4"/>
  <c r="U150" i="4"/>
  <c r="P150" i="4"/>
  <c r="U149" i="4"/>
  <c r="P149" i="4"/>
  <c r="U148" i="4"/>
  <c r="P148" i="4"/>
  <c r="U147" i="4"/>
  <c r="P147" i="4"/>
  <c r="U146" i="4"/>
  <c r="P146" i="4"/>
  <c r="U145" i="4"/>
  <c r="P145" i="4"/>
  <c r="U143" i="4"/>
  <c r="P143" i="4"/>
  <c r="U142" i="4"/>
  <c r="P142" i="4"/>
  <c r="U141" i="4"/>
  <c r="P141" i="4"/>
  <c r="U140" i="4"/>
  <c r="P140" i="4"/>
  <c r="U139" i="4"/>
  <c r="P139" i="4"/>
  <c r="U138" i="4"/>
  <c r="P138" i="4"/>
  <c r="U137" i="4"/>
  <c r="P137" i="4"/>
  <c r="U136" i="4"/>
  <c r="P136" i="4"/>
  <c r="U135" i="4"/>
  <c r="P135" i="4"/>
  <c r="U134" i="4"/>
  <c r="P134" i="4"/>
  <c r="U133" i="4"/>
  <c r="P133" i="4"/>
  <c r="U132" i="4"/>
  <c r="P132" i="4"/>
  <c r="U130" i="4"/>
  <c r="P130" i="4"/>
  <c r="U129" i="4"/>
  <c r="P129" i="4"/>
  <c r="U128" i="4"/>
  <c r="P128" i="4"/>
  <c r="U127" i="4"/>
  <c r="P127" i="4"/>
  <c r="U126" i="4"/>
  <c r="P126" i="4"/>
  <c r="U125" i="4"/>
  <c r="P125" i="4"/>
  <c r="U124" i="4"/>
  <c r="P124" i="4"/>
  <c r="U123" i="4"/>
  <c r="P123" i="4"/>
  <c r="U122" i="4"/>
  <c r="P122" i="4"/>
  <c r="U121" i="4"/>
  <c r="P121" i="4"/>
  <c r="AE120" i="4"/>
  <c r="U120" i="4"/>
  <c r="P120" i="4"/>
  <c r="AE119" i="4"/>
  <c r="U119" i="4"/>
  <c r="P119" i="4"/>
  <c r="U117" i="4"/>
  <c r="P117" i="4"/>
  <c r="U116" i="4"/>
  <c r="P116" i="4"/>
  <c r="U115" i="4"/>
  <c r="P115" i="4"/>
  <c r="U114" i="4"/>
  <c r="P114" i="4"/>
  <c r="U113" i="4"/>
  <c r="P113" i="4"/>
  <c r="U112" i="4"/>
  <c r="P112" i="4"/>
  <c r="U111" i="4"/>
  <c r="P111" i="4"/>
  <c r="U110" i="4"/>
  <c r="P110" i="4"/>
  <c r="U109" i="4"/>
  <c r="P109" i="4"/>
  <c r="U108" i="4"/>
  <c r="P108" i="4"/>
  <c r="U107" i="4"/>
  <c r="P107" i="4"/>
  <c r="U106" i="4"/>
  <c r="P106" i="4"/>
  <c r="U104" i="4"/>
  <c r="P104" i="4"/>
  <c r="U103" i="4"/>
  <c r="P103" i="4"/>
  <c r="U102" i="4"/>
  <c r="P102" i="4"/>
  <c r="U101" i="4"/>
  <c r="P101" i="4"/>
  <c r="U100" i="4"/>
  <c r="P100" i="4"/>
  <c r="U99" i="4"/>
  <c r="P99" i="4"/>
  <c r="U98" i="4"/>
  <c r="P98" i="4"/>
  <c r="U97" i="4"/>
  <c r="P97" i="4"/>
  <c r="U96" i="4"/>
  <c r="P96" i="4"/>
  <c r="U95" i="4"/>
  <c r="P95" i="4"/>
  <c r="U94" i="4"/>
  <c r="P94" i="4"/>
  <c r="U93" i="4"/>
  <c r="P93" i="4"/>
  <c r="U91" i="4"/>
  <c r="P91" i="4"/>
  <c r="U90" i="4"/>
  <c r="P90" i="4"/>
  <c r="U89" i="4"/>
  <c r="P89" i="4"/>
  <c r="U88" i="4"/>
  <c r="P88" i="4"/>
  <c r="U87" i="4"/>
  <c r="P87" i="4"/>
  <c r="U86" i="4"/>
  <c r="P86" i="4"/>
  <c r="U85" i="4"/>
  <c r="P85" i="4"/>
  <c r="U84" i="4"/>
  <c r="P84" i="4"/>
  <c r="U83" i="4"/>
  <c r="P83" i="4"/>
  <c r="U82" i="4"/>
  <c r="P82" i="4"/>
  <c r="U81" i="4"/>
  <c r="P81" i="4"/>
  <c r="U80" i="4"/>
  <c r="P80" i="4"/>
  <c r="U78" i="4"/>
  <c r="P78" i="4"/>
  <c r="U77" i="4"/>
  <c r="P77" i="4"/>
  <c r="U76" i="4"/>
  <c r="P76" i="4"/>
  <c r="U75" i="4"/>
  <c r="P75" i="4"/>
  <c r="U74" i="4"/>
  <c r="P74" i="4"/>
  <c r="U73" i="4"/>
  <c r="P73" i="4"/>
  <c r="U72" i="4"/>
  <c r="P72" i="4"/>
  <c r="U71" i="4"/>
  <c r="P71" i="4"/>
  <c r="U70" i="4"/>
  <c r="P70" i="4"/>
  <c r="U69" i="4"/>
  <c r="P69" i="4"/>
  <c r="U68" i="4"/>
  <c r="P68" i="4"/>
  <c r="U67" i="4"/>
  <c r="P67" i="4"/>
  <c r="U65" i="4"/>
  <c r="P65" i="4"/>
  <c r="U64" i="4"/>
  <c r="P64" i="4"/>
  <c r="U63" i="4"/>
  <c r="P63" i="4"/>
  <c r="U62" i="4"/>
  <c r="P62" i="4"/>
  <c r="U61" i="4"/>
  <c r="P61" i="4"/>
  <c r="U60" i="4"/>
  <c r="P60" i="4"/>
  <c r="U59" i="4"/>
  <c r="P59" i="4"/>
  <c r="U58" i="4"/>
  <c r="P58" i="4"/>
  <c r="U57" i="4"/>
  <c r="P57" i="4"/>
  <c r="U56" i="4"/>
  <c r="P56" i="4"/>
  <c r="U55" i="4"/>
  <c r="P55" i="4"/>
  <c r="U54" i="4"/>
  <c r="P54" i="4"/>
  <c r="U52" i="4"/>
  <c r="P52" i="4"/>
  <c r="U51" i="4"/>
  <c r="P51" i="4"/>
  <c r="U50" i="4"/>
  <c r="P50" i="4"/>
  <c r="U49" i="4"/>
  <c r="P49" i="4"/>
  <c r="U48" i="4"/>
  <c r="P48" i="4"/>
  <c r="U47" i="4"/>
  <c r="P47" i="4"/>
  <c r="U46" i="4"/>
  <c r="P46" i="4"/>
  <c r="U45" i="4"/>
  <c r="P45" i="4"/>
  <c r="U44" i="4"/>
  <c r="P44" i="4"/>
  <c r="U43" i="4"/>
  <c r="P43" i="4"/>
  <c r="U42" i="4"/>
  <c r="P42" i="4"/>
  <c r="U41" i="4"/>
  <c r="P41" i="4"/>
  <c r="U39" i="4"/>
  <c r="P39" i="4"/>
  <c r="U38" i="4"/>
  <c r="P38" i="4"/>
  <c r="U37" i="4"/>
  <c r="P37" i="4"/>
  <c r="U36" i="4"/>
  <c r="P36" i="4"/>
  <c r="U35" i="4"/>
  <c r="P35" i="4"/>
  <c r="U34" i="4"/>
  <c r="P34" i="4"/>
  <c r="U33" i="4"/>
  <c r="P33" i="4"/>
  <c r="U32" i="4"/>
  <c r="P32" i="4"/>
  <c r="U31" i="4"/>
  <c r="P31" i="4"/>
  <c r="U30" i="4"/>
  <c r="P30" i="4"/>
  <c r="U29" i="4"/>
  <c r="P29" i="4"/>
  <c r="U28" i="4"/>
  <c r="P28" i="4"/>
  <c r="U26" i="4"/>
  <c r="P26" i="4"/>
  <c r="U25" i="4"/>
  <c r="P25" i="4"/>
  <c r="U24" i="4"/>
  <c r="P24" i="4"/>
  <c r="U23" i="4"/>
  <c r="P23" i="4"/>
  <c r="U22" i="4"/>
  <c r="P22" i="4"/>
  <c r="U21" i="4"/>
  <c r="P21" i="4"/>
  <c r="U20" i="4"/>
  <c r="P20" i="4"/>
  <c r="U19" i="4"/>
  <c r="P19" i="4"/>
  <c r="U18" i="4"/>
  <c r="P18" i="4"/>
  <c r="U17" i="4"/>
  <c r="P17" i="4"/>
  <c r="U16" i="4"/>
  <c r="P16" i="4"/>
  <c r="U15" i="4"/>
  <c r="P15" i="4"/>
  <c r="U13" i="4"/>
  <c r="P13" i="4"/>
  <c r="U12" i="4"/>
  <c r="P12" i="4"/>
  <c r="U11" i="4"/>
  <c r="P11" i="4"/>
  <c r="U10" i="4"/>
  <c r="P10" i="4"/>
  <c r="U9" i="4"/>
  <c r="P9" i="4"/>
  <c r="U8" i="4"/>
  <c r="P8" i="4"/>
  <c r="U7" i="4"/>
  <c r="P7" i="4"/>
  <c r="U6" i="4"/>
  <c r="P6" i="4"/>
  <c r="U5" i="4"/>
  <c r="P5" i="4"/>
  <c r="U4" i="4"/>
  <c r="P4" i="4"/>
  <c r="U3" i="4"/>
  <c r="P3" i="4"/>
  <c r="U2" i="4"/>
  <c r="P2" i="4"/>
  <c r="AL141" i="2"/>
  <c r="AJ141" i="2"/>
  <c r="N141" i="2"/>
  <c r="O141" i="2" s="1"/>
  <c r="K141" i="2"/>
  <c r="J141" i="2"/>
  <c r="O140" i="2"/>
  <c r="L140" i="2"/>
  <c r="T140" i="2" s="1"/>
  <c r="O139" i="2"/>
  <c r="L139" i="2"/>
  <c r="T139" i="2" s="1"/>
  <c r="O138" i="2"/>
  <c r="L138" i="2"/>
  <c r="T138" i="2" s="1"/>
  <c r="AL137" i="2"/>
  <c r="AJ137" i="2"/>
  <c r="O137" i="2"/>
  <c r="L137" i="2"/>
  <c r="T137" i="2" s="1"/>
  <c r="W136" i="2"/>
  <c r="N136" i="2"/>
  <c r="O136" i="2" s="1"/>
  <c r="K136" i="2"/>
  <c r="L136" i="2" s="1"/>
  <c r="T136" i="2" s="1"/>
  <c r="W135" i="2"/>
  <c r="N135" i="2"/>
  <c r="O135" i="2" s="1"/>
  <c r="K135" i="2"/>
  <c r="L135" i="2" s="1"/>
  <c r="T135" i="2" s="1"/>
  <c r="O134" i="2"/>
  <c r="L134" i="2"/>
  <c r="T134" i="2" s="1"/>
  <c r="AL133" i="2"/>
  <c r="AJ133" i="2"/>
  <c r="O133" i="2"/>
  <c r="K133" i="2"/>
  <c r="L133" i="2" s="1"/>
  <c r="T133" i="2" s="1"/>
  <c r="K132" i="2"/>
  <c r="J132" i="2"/>
  <c r="N131" i="2"/>
  <c r="K131" i="2"/>
  <c r="J131" i="2"/>
  <c r="M131" i="2" s="1"/>
  <c r="K130" i="2"/>
  <c r="J130" i="2"/>
  <c r="AL129" i="2"/>
  <c r="AJ129" i="2"/>
  <c r="N129" i="2"/>
  <c r="K129" i="2"/>
  <c r="J129" i="2"/>
  <c r="M129" i="2" s="1"/>
  <c r="N128" i="2"/>
  <c r="M128" i="2"/>
  <c r="K128" i="2"/>
  <c r="J128" i="2"/>
  <c r="N127" i="2"/>
  <c r="M127" i="2"/>
  <c r="K127" i="2"/>
  <c r="J127" i="2"/>
  <c r="N126" i="2"/>
  <c r="M126" i="2"/>
  <c r="K126" i="2"/>
  <c r="J126" i="2"/>
  <c r="AJ125" i="2"/>
  <c r="N125" i="2"/>
  <c r="M125" i="2"/>
  <c r="K125" i="2"/>
  <c r="J125" i="2"/>
  <c r="N124" i="2"/>
  <c r="M124" i="2"/>
  <c r="K124" i="2"/>
  <c r="J124" i="2"/>
  <c r="N123" i="2"/>
  <c r="M123" i="2"/>
  <c r="K123" i="2"/>
  <c r="J123" i="2"/>
  <c r="N122" i="2"/>
  <c r="M122" i="2"/>
  <c r="K122" i="2"/>
  <c r="J122" i="2"/>
  <c r="AL121" i="2"/>
  <c r="AJ121" i="2"/>
  <c r="N121" i="2"/>
  <c r="M121" i="2"/>
  <c r="K121" i="2"/>
  <c r="J121" i="2"/>
  <c r="O120" i="2"/>
  <c r="L120" i="2"/>
  <c r="T120" i="2" s="1"/>
  <c r="O119" i="2"/>
  <c r="L119" i="2"/>
  <c r="O118" i="2"/>
  <c r="L118" i="2"/>
  <c r="T118" i="2" s="1"/>
  <c r="AL117" i="2"/>
  <c r="AJ117" i="2"/>
  <c r="O117" i="2"/>
  <c r="L117" i="2"/>
  <c r="T117" i="2" s="1"/>
  <c r="N116" i="2"/>
  <c r="M116" i="2"/>
  <c r="K116" i="2"/>
  <c r="J116" i="2"/>
  <c r="N115" i="2"/>
  <c r="M115" i="2"/>
  <c r="K115" i="2"/>
  <c r="J115" i="2"/>
  <c r="T114" i="2"/>
  <c r="N114" i="2"/>
  <c r="M114" i="2"/>
  <c r="K114" i="2"/>
  <c r="J114" i="2"/>
  <c r="AL113" i="2"/>
  <c r="AJ113" i="2"/>
  <c r="T113" i="2"/>
  <c r="N113" i="2"/>
  <c r="M113" i="2"/>
  <c r="K113" i="2"/>
  <c r="J113" i="2"/>
  <c r="N112" i="2"/>
  <c r="M112" i="2"/>
  <c r="K112" i="2"/>
  <c r="J112" i="2"/>
  <c r="N111" i="2"/>
  <c r="M111" i="2"/>
  <c r="K111" i="2"/>
  <c r="J111" i="2"/>
  <c r="N110" i="2"/>
  <c r="M110" i="2"/>
  <c r="K110" i="2"/>
  <c r="J110" i="2"/>
  <c r="AL109" i="2"/>
  <c r="AJ109" i="2"/>
  <c r="N109" i="2"/>
  <c r="M109" i="2"/>
  <c r="K109" i="2"/>
  <c r="J109" i="2"/>
  <c r="N108" i="2"/>
  <c r="M108" i="2"/>
  <c r="K108" i="2"/>
  <c r="J108" i="2"/>
  <c r="N107" i="2"/>
  <c r="M107" i="2"/>
  <c r="K107" i="2"/>
  <c r="J107" i="2"/>
  <c r="N106" i="2"/>
  <c r="M106" i="2"/>
  <c r="K106" i="2"/>
  <c r="J106" i="2"/>
  <c r="AL105" i="2"/>
  <c r="AN106" i="2" s="1"/>
  <c r="AO106" i="2" s="1"/>
  <c r="AJ105" i="2"/>
  <c r="N105" i="2"/>
  <c r="M105" i="2"/>
  <c r="K105" i="2"/>
  <c r="J105" i="2"/>
  <c r="N104" i="2"/>
  <c r="M104" i="2"/>
  <c r="K104" i="2"/>
  <c r="J104" i="2"/>
  <c r="N103" i="2"/>
  <c r="M103" i="2"/>
  <c r="K103" i="2"/>
  <c r="J103" i="2"/>
  <c r="N102" i="2"/>
  <c r="M102" i="2"/>
  <c r="K102" i="2"/>
  <c r="J102" i="2"/>
  <c r="AL101" i="2"/>
  <c r="AJ101" i="2"/>
  <c r="N101" i="2"/>
  <c r="M101" i="2"/>
  <c r="K101" i="2"/>
  <c r="J101" i="2"/>
  <c r="N100" i="2"/>
  <c r="O100" i="2" s="1"/>
  <c r="K100" i="2"/>
  <c r="L100" i="2" s="1"/>
  <c r="T100" i="2" s="1"/>
  <c r="AL99" i="2"/>
  <c r="AJ99" i="2"/>
  <c r="N99" i="2"/>
  <c r="O99" i="2" s="1"/>
  <c r="K99" i="2"/>
  <c r="L99" i="2" s="1"/>
  <c r="T99" i="2" s="1"/>
  <c r="M98" i="2"/>
  <c r="K98" i="2"/>
  <c r="N98" i="2" s="1"/>
  <c r="J98" i="2"/>
  <c r="M97" i="2"/>
  <c r="K97" i="2"/>
  <c r="N97" i="2" s="1"/>
  <c r="J97" i="2"/>
  <c r="M96" i="2"/>
  <c r="K96" i="2"/>
  <c r="N96" i="2" s="1"/>
  <c r="J96" i="2"/>
  <c r="AL95" i="2"/>
  <c r="AJ95" i="2"/>
  <c r="AM98" i="2" s="1"/>
  <c r="M95" i="2"/>
  <c r="K95" i="2"/>
  <c r="N95" i="2" s="1"/>
  <c r="J95" i="2"/>
  <c r="N94" i="2"/>
  <c r="M94" i="2"/>
  <c r="K94" i="2"/>
  <c r="J94" i="2"/>
  <c r="N93" i="2"/>
  <c r="M93" i="2"/>
  <c r="K93" i="2"/>
  <c r="J93" i="2"/>
  <c r="N92" i="2"/>
  <c r="M92" i="2"/>
  <c r="K92" i="2"/>
  <c r="J92" i="2"/>
  <c r="AL91" i="2"/>
  <c r="AJ91" i="2"/>
  <c r="N91" i="2"/>
  <c r="M91" i="2"/>
  <c r="K91" i="2"/>
  <c r="J91" i="2"/>
  <c r="N90" i="2"/>
  <c r="M90" i="2"/>
  <c r="K90" i="2"/>
  <c r="J90" i="2"/>
  <c r="U89" i="2"/>
  <c r="S89" i="2"/>
  <c r="N89" i="2"/>
  <c r="M89" i="2"/>
  <c r="K89" i="2"/>
  <c r="J89" i="2"/>
  <c r="N88" i="2"/>
  <c r="M88" i="2"/>
  <c r="K88" i="2"/>
  <c r="J88" i="2"/>
  <c r="AL87" i="2"/>
  <c r="AJ87" i="2"/>
  <c r="U87" i="2"/>
  <c r="S87" i="2"/>
  <c r="N87" i="2"/>
  <c r="M87" i="2"/>
  <c r="K87" i="2"/>
  <c r="J87" i="2"/>
  <c r="O86" i="2"/>
  <c r="L86" i="2"/>
  <c r="S86" i="2" s="1"/>
  <c r="O85" i="2"/>
  <c r="L85" i="2"/>
  <c r="S85" i="2" s="1"/>
  <c r="O84" i="2"/>
  <c r="L84" i="2"/>
  <c r="T84" i="2" s="1"/>
  <c r="AL83" i="2"/>
  <c r="AQ86" i="2" s="1"/>
  <c r="AR86" i="2" s="1"/>
  <c r="AJ83" i="2"/>
  <c r="AP86" i="2" s="1"/>
  <c r="O83" i="2"/>
  <c r="L83" i="2"/>
  <c r="T83" i="2" s="1"/>
  <c r="N82" i="2"/>
  <c r="M82" i="2"/>
  <c r="K82" i="2"/>
  <c r="J82" i="2"/>
  <c r="N81" i="2"/>
  <c r="M81" i="2"/>
  <c r="K81" i="2"/>
  <c r="J81" i="2"/>
  <c r="U80" i="2"/>
  <c r="S80" i="2"/>
  <c r="O80" i="2"/>
  <c r="N80" i="2"/>
  <c r="M80" i="2"/>
  <c r="K80" i="2"/>
  <c r="J80" i="2"/>
  <c r="AL79" i="2"/>
  <c r="AJ79" i="2"/>
  <c r="U79" i="2"/>
  <c r="S79" i="2"/>
  <c r="O79" i="2"/>
  <c r="N79" i="2"/>
  <c r="M79" i="2"/>
  <c r="K79" i="2"/>
  <c r="J79" i="2"/>
  <c r="N78" i="2"/>
  <c r="O78" i="2" s="1"/>
  <c r="L78" i="2"/>
  <c r="N77" i="2"/>
  <c r="M77" i="2"/>
  <c r="K77" i="2"/>
  <c r="L77" i="2" s="1"/>
  <c r="M76" i="2"/>
  <c r="O76" i="2" s="1"/>
  <c r="L76" i="2"/>
  <c r="AJ75" i="2"/>
  <c r="M75" i="2"/>
  <c r="O75" i="2" s="1"/>
  <c r="L75" i="2"/>
  <c r="N74" i="2"/>
  <c r="M74" i="2"/>
  <c r="K74" i="2"/>
  <c r="J74" i="2"/>
  <c r="N73" i="2"/>
  <c r="M73" i="2"/>
  <c r="K73" i="2"/>
  <c r="J73" i="2"/>
  <c r="N72" i="2"/>
  <c r="M72" i="2"/>
  <c r="K72" i="2"/>
  <c r="J72" i="2"/>
  <c r="AL71" i="2"/>
  <c r="AJ71" i="2"/>
  <c r="N71" i="2"/>
  <c r="M71" i="2"/>
  <c r="K71" i="2"/>
  <c r="J71" i="2"/>
  <c r="N70" i="2"/>
  <c r="O70" i="2" s="1"/>
  <c r="K70" i="2"/>
  <c r="L70" i="2" s="1"/>
  <c r="T70" i="2" s="1"/>
  <c r="AL69" i="2"/>
  <c r="AJ69" i="2"/>
  <c r="N69" i="2"/>
  <c r="O69" i="2" s="1"/>
  <c r="K69" i="2"/>
  <c r="L69" i="2" s="1"/>
  <c r="T69" i="2" s="1"/>
  <c r="N68" i="2"/>
  <c r="O68" i="2" s="1"/>
  <c r="K68" i="2"/>
  <c r="L68" i="2" s="1"/>
  <c r="AL67" i="2"/>
  <c r="AJ67" i="2"/>
  <c r="N67" i="2"/>
  <c r="O67" i="2" s="1"/>
  <c r="K67" i="2"/>
  <c r="L67" i="2" s="1"/>
  <c r="N66" i="2"/>
  <c r="O66" i="2" s="1"/>
  <c r="K66" i="2"/>
  <c r="L66" i="2" s="1"/>
  <c r="T66" i="2" s="1"/>
  <c r="AJ65" i="2"/>
  <c r="N65" i="2"/>
  <c r="O65" i="2" s="1"/>
  <c r="K65" i="2"/>
  <c r="J65" i="2"/>
  <c r="U64" i="2"/>
  <c r="S64" i="2"/>
  <c r="N64" i="2"/>
  <c r="M64" i="2"/>
  <c r="K64" i="2"/>
  <c r="J64" i="2"/>
  <c r="U63" i="2"/>
  <c r="S63" i="2"/>
  <c r="N63" i="2"/>
  <c r="M63" i="2"/>
  <c r="K63" i="2"/>
  <c r="J63" i="2"/>
  <c r="N62" i="2"/>
  <c r="M62" i="2"/>
  <c r="K62" i="2"/>
  <c r="J62" i="2"/>
  <c r="AL61" i="2"/>
  <c r="AJ61" i="2"/>
  <c r="N61" i="2"/>
  <c r="M61" i="2"/>
  <c r="K61" i="2"/>
  <c r="J61" i="2"/>
  <c r="N60" i="2"/>
  <c r="M60" i="2"/>
  <c r="K60" i="2"/>
  <c r="J60" i="2"/>
  <c r="N59" i="2"/>
  <c r="M59" i="2"/>
  <c r="K59" i="2"/>
  <c r="J59" i="2"/>
  <c r="N58" i="2"/>
  <c r="M58" i="2"/>
  <c r="K58" i="2"/>
  <c r="J58" i="2"/>
  <c r="AL57" i="2"/>
  <c r="AJ57" i="2"/>
  <c r="N57" i="2"/>
  <c r="M57" i="2"/>
  <c r="K57" i="2"/>
  <c r="J57" i="2"/>
  <c r="O56" i="2"/>
  <c r="L56" i="2"/>
  <c r="T56" i="2" s="1"/>
  <c r="O55" i="2"/>
  <c r="L55" i="2"/>
  <c r="T55" i="2" s="1"/>
  <c r="O54" i="2"/>
  <c r="L54" i="2"/>
  <c r="T54" i="2" s="1"/>
  <c r="AL53" i="2"/>
  <c r="AJ53" i="2"/>
  <c r="N53" i="2"/>
  <c r="O53" i="2" s="1"/>
  <c r="K53" i="2"/>
  <c r="L53" i="2" s="1"/>
  <c r="T53" i="2" s="1"/>
  <c r="N52" i="2"/>
  <c r="M52" i="2"/>
  <c r="J52" i="2"/>
  <c r="L52" i="2" s="1"/>
  <c r="T52" i="2" s="1"/>
  <c r="N51" i="2"/>
  <c r="M51" i="2"/>
  <c r="J51" i="2"/>
  <c r="L51" i="2" s="1"/>
  <c r="T51" i="2" s="1"/>
  <c r="N50" i="2"/>
  <c r="M50" i="2"/>
  <c r="J50" i="2"/>
  <c r="L50" i="2" s="1"/>
  <c r="T50" i="2" s="1"/>
  <c r="AL49" i="2"/>
  <c r="AJ49" i="2"/>
  <c r="N49" i="2"/>
  <c r="M49" i="2"/>
  <c r="J49" i="2"/>
  <c r="L49" i="2" s="1"/>
  <c r="T49" i="2" s="1"/>
  <c r="N48" i="2"/>
  <c r="M48" i="2"/>
  <c r="K48" i="2"/>
  <c r="J48" i="2"/>
  <c r="N47" i="2"/>
  <c r="M47" i="2"/>
  <c r="K47" i="2"/>
  <c r="J47" i="2"/>
  <c r="U46" i="2"/>
  <c r="N46" i="2"/>
  <c r="M46" i="2"/>
  <c r="K46" i="2"/>
  <c r="J46" i="2"/>
  <c r="AL45" i="2"/>
  <c r="AJ45" i="2"/>
  <c r="N45" i="2"/>
  <c r="M45" i="2"/>
  <c r="K45" i="2"/>
  <c r="J45" i="2"/>
  <c r="N44" i="2"/>
  <c r="M44" i="2"/>
  <c r="K44" i="2"/>
  <c r="L44" i="2" s="1"/>
  <c r="N43" i="2"/>
  <c r="M43" i="2"/>
  <c r="K43" i="2"/>
  <c r="L43" i="2" s="1"/>
  <c r="V42" i="2"/>
  <c r="T42" i="2"/>
  <c r="N42" i="2"/>
  <c r="M42" i="2"/>
  <c r="K42" i="2"/>
  <c r="L42" i="2" s="1"/>
  <c r="AL41" i="2"/>
  <c r="AJ41" i="2"/>
  <c r="T41" i="2"/>
  <c r="N41" i="2"/>
  <c r="M41" i="2"/>
  <c r="K41" i="2"/>
  <c r="L41" i="2" s="1"/>
  <c r="M40" i="2"/>
  <c r="K40" i="2"/>
  <c r="N40" i="2" s="1"/>
  <c r="J40" i="2"/>
  <c r="M39" i="2"/>
  <c r="K39" i="2"/>
  <c r="N39" i="2" s="1"/>
  <c r="J39" i="2"/>
  <c r="M38" i="2"/>
  <c r="K38" i="2"/>
  <c r="N38" i="2" s="1"/>
  <c r="J38" i="2"/>
  <c r="AJ37" i="2"/>
  <c r="M37" i="2"/>
  <c r="K37" i="2"/>
  <c r="N37" i="2" s="1"/>
  <c r="J37" i="2"/>
  <c r="N36" i="2"/>
  <c r="O36" i="2" s="1"/>
  <c r="K36" i="2"/>
  <c r="L36" i="2" s="1"/>
  <c r="T36" i="2" s="1"/>
  <c r="N35" i="2"/>
  <c r="O35" i="2" s="1"/>
  <c r="K35" i="2"/>
  <c r="L35" i="2" s="1"/>
  <c r="T35" i="2" s="1"/>
  <c r="N34" i="2"/>
  <c r="O34" i="2" s="1"/>
  <c r="K34" i="2"/>
  <c r="L34" i="2" s="1"/>
  <c r="S34" i="2" s="1"/>
  <c r="AJ33" i="2"/>
  <c r="N33" i="2"/>
  <c r="O33" i="2" s="1"/>
  <c r="K33" i="2"/>
  <c r="L33" i="2" s="1"/>
  <c r="S33" i="2" s="1"/>
  <c r="N32" i="2"/>
  <c r="M32" i="2"/>
  <c r="K32" i="2"/>
  <c r="J32" i="2"/>
  <c r="N31" i="2"/>
  <c r="M31" i="2"/>
  <c r="K31" i="2"/>
  <c r="J31" i="2"/>
  <c r="N30" i="2"/>
  <c r="M30" i="2"/>
  <c r="K30" i="2"/>
  <c r="J30" i="2"/>
  <c r="AL29" i="2"/>
  <c r="AJ29" i="2"/>
  <c r="N29" i="2"/>
  <c r="M29" i="2"/>
  <c r="K29" i="2"/>
  <c r="J29" i="2"/>
  <c r="U28" i="2"/>
  <c r="N28" i="2"/>
  <c r="M28" i="2"/>
  <c r="K28" i="2"/>
  <c r="J28" i="2"/>
  <c r="U27" i="2"/>
  <c r="N27" i="2"/>
  <c r="M27" i="2"/>
  <c r="K27" i="2"/>
  <c r="J27" i="2"/>
  <c r="N26" i="2"/>
  <c r="M26" i="2"/>
  <c r="K26" i="2"/>
  <c r="J26" i="2"/>
  <c r="AL25" i="2"/>
  <c r="AJ25" i="2"/>
  <c r="N25" i="2"/>
  <c r="M25" i="2"/>
  <c r="K25" i="2"/>
  <c r="J25" i="2"/>
  <c r="W24" i="2"/>
  <c r="N24" i="2"/>
  <c r="M24" i="2"/>
  <c r="K24" i="2"/>
  <c r="J24" i="2"/>
  <c r="W23" i="2"/>
  <c r="N23" i="2"/>
  <c r="M23" i="2"/>
  <c r="K23" i="2"/>
  <c r="J23" i="2"/>
  <c r="N22" i="2"/>
  <c r="V22" i="2" s="1"/>
  <c r="M22" i="2"/>
  <c r="K22" i="2"/>
  <c r="J22" i="2"/>
  <c r="AL21" i="2"/>
  <c r="AJ21" i="2"/>
  <c r="N21" i="2"/>
  <c r="V21" i="2" s="1"/>
  <c r="M21" i="2"/>
  <c r="K21" i="2"/>
  <c r="J21" i="2"/>
  <c r="N20" i="2"/>
  <c r="M20" i="2"/>
  <c r="K20" i="2"/>
  <c r="J20" i="2"/>
  <c r="N19" i="2"/>
  <c r="O19" i="2" s="1"/>
  <c r="K19" i="2"/>
  <c r="L19" i="2" s="1"/>
  <c r="AJ18" i="2"/>
  <c r="N18" i="2"/>
  <c r="M18" i="2"/>
  <c r="K18" i="2"/>
  <c r="J18" i="2"/>
  <c r="O17" i="2"/>
  <c r="L17" i="2"/>
  <c r="O16" i="2"/>
  <c r="L16" i="2"/>
  <c r="O15" i="2"/>
  <c r="L15" i="2"/>
  <c r="AL14" i="2"/>
  <c r="AJ14" i="2"/>
  <c r="O14" i="2"/>
  <c r="L14" i="2"/>
  <c r="O13" i="2"/>
  <c r="L13" i="2"/>
  <c r="T13" i="2" s="1"/>
  <c r="M12" i="2"/>
  <c r="O12" i="2" s="1"/>
  <c r="L12" i="2"/>
  <c r="T12" i="2" s="1"/>
  <c r="O11" i="2"/>
  <c r="L11" i="2"/>
  <c r="T11" i="2" s="1"/>
  <c r="AL10" i="2"/>
  <c r="AJ10" i="2"/>
  <c r="O10" i="2"/>
  <c r="L10" i="2"/>
  <c r="T10" i="2" s="1"/>
  <c r="N9" i="2"/>
  <c r="M9" i="2"/>
  <c r="K9" i="2"/>
  <c r="J9" i="2"/>
  <c r="N8" i="2"/>
  <c r="M8" i="2"/>
  <c r="K8" i="2"/>
  <c r="J8" i="2"/>
  <c r="N7" i="2"/>
  <c r="M7" i="2"/>
  <c r="K7" i="2"/>
  <c r="J7" i="2"/>
  <c r="AL6" i="2"/>
  <c r="AJ6" i="2"/>
  <c r="N6" i="2"/>
  <c r="M6" i="2"/>
  <c r="K6" i="2"/>
  <c r="J6" i="2"/>
  <c r="O5" i="2"/>
  <c r="V5" i="2" s="1"/>
  <c r="L5" i="2"/>
  <c r="T5" i="2" s="1"/>
  <c r="O4" i="2"/>
  <c r="V4" i="2" s="1"/>
  <c r="L4" i="2"/>
  <c r="T4" i="2" s="1"/>
  <c r="M3" i="2"/>
  <c r="O3" i="2" s="1"/>
  <c r="V3" i="2" s="1"/>
  <c r="J3" i="2"/>
  <c r="L3" i="2" s="1"/>
  <c r="T3" i="2" s="1"/>
  <c r="AL2" i="2"/>
  <c r="AJ2" i="2"/>
  <c r="N2" i="2"/>
  <c r="M2" i="2"/>
  <c r="K2" i="2"/>
  <c r="J2" i="2"/>
  <c r="AP54" i="2" l="1"/>
  <c r="AM53" i="2"/>
  <c r="U47" i="2"/>
  <c r="AP65" i="2"/>
  <c r="L89" i="2"/>
  <c r="T89" i="2" s="1"/>
  <c r="AN89" i="2" s="1"/>
  <c r="AO89" i="2" s="1"/>
  <c r="O90" i="2"/>
  <c r="V90" i="2" s="1"/>
  <c r="AQ90" i="2" s="1"/>
  <c r="AR90" i="2" s="1"/>
  <c r="L26" i="2"/>
  <c r="T26" i="2" s="1"/>
  <c r="AN26" i="2" s="1"/>
  <c r="AO26" i="2" s="1"/>
  <c r="L102" i="2"/>
  <c r="L104" i="2"/>
  <c r="L109" i="2"/>
  <c r="T109" i="2" s="1"/>
  <c r="AN109" i="2" s="1"/>
  <c r="AO109" i="2" s="1"/>
  <c r="O110" i="2"/>
  <c r="AP110" i="2" s="1"/>
  <c r="L25" i="2"/>
  <c r="T25" i="2" s="1"/>
  <c r="AM25" i="2" s="1"/>
  <c r="L58" i="2"/>
  <c r="T58" i="2" s="1"/>
  <c r="AN58" i="2" s="1"/>
  <c r="AO58" i="2" s="1"/>
  <c r="L60" i="2"/>
  <c r="T60" i="2" s="1"/>
  <c r="AM60" i="2" s="1"/>
  <c r="L91" i="2"/>
  <c r="T91" i="2" s="1"/>
  <c r="AM91" i="2" s="1"/>
  <c r="O94" i="2"/>
  <c r="AP94" i="2" s="1"/>
  <c r="O107" i="2"/>
  <c r="V80" i="2"/>
  <c r="AP80" i="2" s="1"/>
  <c r="O87" i="2"/>
  <c r="V87" i="2" s="1"/>
  <c r="AQ87" i="2" s="1"/>
  <c r="AR87" i="2" s="1"/>
  <c r="L90" i="2"/>
  <c r="T90" i="2" s="1"/>
  <c r="AM90" i="2" s="1"/>
  <c r="L28" i="2"/>
  <c r="T28" i="2" s="1"/>
  <c r="AN28" i="2" s="1"/>
  <c r="AO28" i="2" s="1"/>
  <c r="O44" i="2"/>
  <c r="L131" i="2"/>
  <c r="O20" i="2"/>
  <c r="O39" i="2"/>
  <c r="V39" i="2" s="1"/>
  <c r="AP39" i="2" s="1"/>
  <c r="O57" i="2"/>
  <c r="V57" i="2" s="1"/>
  <c r="AP57" i="2" s="1"/>
  <c r="L126" i="2"/>
  <c r="AP118" i="2"/>
  <c r="L38" i="2"/>
  <c r="T38" i="2" s="1"/>
  <c r="AM38" i="2" s="1"/>
  <c r="L7" i="2"/>
  <c r="AP66" i="2"/>
  <c r="AN118" i="2"/>
  <c r="AO118" i="2" s="1"/>
  <c r="L2" i="2"/>
  <c r="T2" i="2" s="1"/>
  <c r="AM2" i="2" s="1"/>
  <c r="O82" i="2"/>
  <c r="AM35" i="2"/>
  <c r="L74" i="2"/>
  <c r="T74" i="2" s="1"/>
  <c r="AM74" i="2" s="1"/>
  <c r="L125" i="2"/>
  <c r="L8" i="2"/>
  <c r="AP35" i="2"/>
  <c r="O46" i="2"/>
  <c r="V46" i="2" s="1"/>
  <c r="AP46" i="2" s="1"/>
  <c r="O122" i="2"/>
  <c r="L71" i="2"/>
  <c r="AQ133" i="2"/>
  <c r="AR133" i="2" s="1"/>
  <c r="AQ117" i="2"/>
  <c r="AR117" i="2" s="1"/>
  <c r="O131" i="2"/>
  <c r="O124" i="2"/>
  <c r="AP124" i="2" s="1"/>
  <c r="O28" i="2"/>
  <c r="V28" i="2" s="1"/>
  <c r="L87" i="2"/>
  <c r="T87" i="2" s="1"/>
  <c r="O96" i="2"/>
  <c r="AQ96" i="2" s="1"/>
  <c r="AR96" i="2" s="1"/>
  <c r="L101" i="2"/>
  <c r="O102" i="2"/>
  <c r="O104" i="2"/>
  <c r="L32" i="2"/>
  <c r="T32" i="2" s="1"/>
  <c r="AM32" i="2" s="1"/>
  <c r="L40" i="2"/>
  <c r="T40" i="2" s="1"/>
  <c r="AM40" i="2" s="1"/>
  <c r="O48" i="2"/>
  <c r="L62" i="2"/>
  <c r="T62" i="2" s="1"/>
  <c r="AN62" i="2" s="1"/>
  <c r="AO62" i="2" s="1"/>
  <c r="O77" i="2"/>
  <c r="O81" i="2"/>
  <c r="AM113" i="2"/>
  <c r="O123" i="2"/>
  <c r="AQ123" i="2" s="1"/>
  <c r="AR123" i="2" s="1"/>
  <c r="L127" i="2"/>
  <c r="L9" i="2"/>
  <c r="L64" i="2"/>
  <c r="T64" i="2" s="1"/>
  <c r="L6" i="2"/>
  <c r="O9" i="2"/>
  <c r="O23" i="2"/>
  <c r="V23" i="2" s="1"/>
  <c r="AQ23" i="2" s="1"/>
  <c r="AR23" i="2" s="1"/>
  <c r="O29" i="2"/>
  <c r="V29" i="2" s="1"/>
  <c r="AP29" i="2" s="1"/>
  <c r="AN51" i="2"/>
  <c r="AO51" i="2" s="1"/>
  <c r="O26" i="2"/>
  <c r="V26" i="2" s="1"/>
  <c r="AQ26" i="2" s="1"/>
  <c r="AR26" i="2" s="1"/>
  <c r="O47" i="2"/>
  <c r="O49" i="2"/>
  <c r="O61" i="2"/>
  <c r="AP61" i="2" s="1"/>
  <c r="L63" i="2"/>
  <c r="T63" i="2" s="1"/>
  <c r="AQ84" i="2"/>
  <c r="AR84" i="2" s="1"/>
  <c r="AN140" i="2"/>
  <c r="AO140" i="2" s="1"/>
  <c r="O18" i="2"/>
  <c r="AP99" i="2"/>
  <c r="O101" i="2"/>
  <c r="AQ137" i="2"/>
  <c r="AR137" i="2" s="1"/>
  <c r="L37" i="2"/>
  <c r="T37" i="2" s="1"/>
  <c r="AM37" i="2" s="1"/>
  <c r="L81" i="2"/>
  <c r="O126" i="2"/>
  <c r="L130" i="2"/>
  <c r="O109" i="2"/>
  <c r="AP109" i="2" s="1"/>
  <c r="O128" i="2"/>
  <c r="AP128" i="2" s="1"/>
  <c r="L24" i="2"/>
  <c r="T24" i="2" s="1"/>
  <c r="AM24" i="2" s="1"/>
  <c r="O31" i="2"/>
  <c r="V31" i="2" s="1"/>
  <c r="AQ31" i="2" s="1"/>
  <c r="AR31" i="2" s="1"/>
  <c r="O42" i="2"/>
  <c r="O24" i="2"/>
  <c r="V24" i="2" s="1"/>
  <c r="AP24" i="2" s="1"/>
  <c r="L30" i="2"/>
  <c r="T30" i="2" s="1"/>
  <c r="AM30" i="2" s="1"/>
  <c r="L39" i="2"/>
  <c r="T39" i="2" s="1"/>
  <c r="AM39" i="2" s="1"/>
  <c r="AQ54" i="2"/>
  <c r="AR54" i="2" s="1"/>
  <c r="T79" i="2"/>
  <c r="AN79" i="2" s="1"/>
  <c r="AO79" i="2" s="1"/>
  <c r="L116" i="2"/>
  <c r="T116" i="2" s="1"/>
  <c r="AN116" i="2" s="1"/>
  <c r="AO116" i="2" s="1"/>
  <c r="O45" i="2"/>
  <c r="V45" i="2" s="1"/>
  <c r="AP45" i="2" s="1"/>
  <c r="AM114" i="2"/>
  <c r="AN114" i="2"/>
  <c r="AO114" i="2" s="1"/>
  <c r="O121" i="2"/>
  <c r="L123" i="2"/>
  <c r="T123" i="2" s="1"/>
  <c r="AN123" i="2" s="1"/>
  <c r="AO123" i="2" s="1"/>
  <c r="AN113" i="2"/>
  <c r="AO113" i="2" s="1"/>
  <c r="AQ13" i="2"/>
  <c r="AR13" i="2" s="1"/>
  <c r="L45" i="2"/>
  <c r="T45" i="2" s="1"/>
  <c r="AN45" i="2" s="1"/>
  <c r="AO45" i="2" s="1"/>
  <c r="O64" i="2"/>
  <c r="V64" i="2" s="1"/>
  <c r="AQ64" i="2" s="1"/>
  <c r="AR64" i="2" s="1"/>
  <c r="O73" i="2"/>
  <c r="AP73" i="2" s="1"/>
  <c r="O89" i="2"/>
  <c r="V89" i="2" s="1"/>
  <c r="L92" i="2"/>
  <c r="T92" i="2" s="1"/>
  <c r="AM92" i="2" s="1"/>
  <c r="L94" i="2"/>
  <c r="T94" i="2" s="1"/>
  <c r="AN94" i="2" s="1"/>
  <c r="AO94" i="2" s="1"/>
  <c r="O113" i="2"/>
  <c r="AP113" i="2" s="1"/>
  <c r="L124" i="2"/>
  <c r="T124" i="2" s="1"/>
  <c r="AM124" i="2" s="1"/>
  <c r="O129" i="2"/>
  <c r="L20" i="2"/>
  <c r="L29" i="2"/>
  <c r="T29" i="2" s="1"/>
  <c r="AM29" i="2" s="1"/>
  <c r="O30" i="2"/>
  <c r="V30" i="2" s="1"/>
  <c r="AP30" i="2" s="1"/>
  <c r="O32" i="2"/>
  <c r="V32" i="2" s="1"/>
  <c r="AP32" i="2" s="1"/>
  <c r="AM41" i="2"/>
  <c r="O52" i="2"/>
  <c r="V52" i="2" s="1"/>
  <c r="AQ52" i="2" s="1"/>
  <c r="AR52" i="2" s="1"/>
  <c r="L57" i="2"/>
  <c r="T57" i="2" s="1"/>
  <c r="AN57" i="2" s="1"/>
  <c r="AO57" i="2" s="1"/>
  <c r="O58" i="2"/>
  <c r="V58" i="2" s="1"/>
  <c r="AQ58" i="2" s="1"/>
  <c r="AR58" i="2" s="1"/>
  <c r="O63" i="2"/>
  <c r="V63" i="2" s="1"/>
  <c r="AQ63" i="2" s="1"/>
  <c r="AR63" i="2" s="1"/>
  <c r="L98" i="2"/>
  <c r="O105" i="2"/>
  <c r="L107" i="2"/>
  <c r="T107" i="2" s="1"/>
  <c r="AM107" i="2" s="1"/>
  <c r="L112" i="2"/>
  <c r="T112" i="2" s="1"/>
  <c r="AM112" i="2" s="1"/>
  <c r="O127" i="2"/>
  <c r="AQ140" i="2"/>
  <c r="AR140" i="2" s="1"/>
  <c r="AM120" i="2"/>
  <c r="AP117" i="2"/>
  <c r="AP120" i="2"/>
  <c r="AM100" i="2"/>
  <c r="AP98" i="2"/>
  <c r="AN84" i="2"/>
  <c r="AO84" i="2" s="1"/>
  <c r="AP83" i="2"/>
  <c r="AP85" i="2"/>
  <c r="AQ70" i="2"/>
  <c r="AR70" i="2" s="1"/>
  <c r="AM66" i="2"/>
  <c r="AN54" i="2"/>
  <c r="AO54" i="2" s="1"/>
  <c r="AN50" i="2"/>
  <c r="AO50" i="2" s="1"/>
  <c r="AN42" i="2"/>
  <c r="AO42" i="2" s="1"/>
  <c r="AP42" i="2"/>
  <c r="AM36" i="2"/>
  <c r="AP36" i="2"/>
  <c r="AN10" i="2"/>
  <c r="AO10" i="2" s="1"/>
  <c r="AP13" i="2"/>
  <c r="AN11" i="2"/>
  <c r="AO11" i="2" s="1"/>
  <c r="AN5" i="2"/>
  <c r="AO5" i="2" s="1"/>
  <c r="AP4" i="2"/>
  <c r="AQ4" i="2"/>
  <c r="AR4" i="2" s="1"/>
  <c r="AP53" i="2"/>
  <c r="AQ53" i="2"/>
  <c r="AR53" i="2" s="1"/>
  <c r="O97" i="2"/>
  <c r="AN133" i="2"/>
  <c r="AO133" i="2" s="1"/>
  <c r="AM133" i="2"/>
  <c r="AM83" i="2"/>
  <c r="AN83" i="2"/>
  <c r="AO83" i="2" s="1"/>
  <c r="O27" i="2"/>
  <c r="V27" i="2" s="1"/>
  <c r="L31" i="2"/>
  <c r="T31" i="2" s="1"/>
  <c r="AN31" i="2" s="1"/>
  <c r="AO31" i="2" s="1"/>
  <c r="O38" i="2"/>
  <c r="V38" i="2" s="1"/>
  <c r="AP38" i="2" s="1"/>
  <c r="AM42" i="2"/>
  <c r="AQ42" i="2"/>
  <c r="AR42" i="2" s="1"/>
  <c r="AP70" i="2"/>
  <c r="O74" i="2"/>
  <c r="AQ74" i="2" s="1"/>
  <c r="AR74" i="2" s="1"/>
  <c r="V79" i="2"/>
  <c r="O92" i="2"/>
  <c r="AQ92" i="2" s="1"/>
  <c r="AR92" i="2" s="1"/>
  <c r="L110" i="2"/>
  <c r="T110" i="2" s="1"/>
  <c r="AM110" i="2" s="1"/>
  <c r="L129" i="2"/>
  <c r="M130" i="2"/>
  <c r="O130" i="2" s="1"/>
  <c r="AP137" i="2"/>
  <c r="L23" i="2"/>
  <c r="T23" i="2" s="1"/>
  <c r="AM23" i="2" s="1"/>
  <c r="O59" i="2"/>
  <c r="AQ59" i="2" s="1"/>
  <c r="AR59" i="2" s="1"/>
  <c r="O50" i="2"/>
  <c r="O7" i="2"/>
  <c r="L22" i="2"/>
  <c r="T22" i="2" s="1"/>
  <c r="AN22" i="2" s="1"/>
  <c r="AO22" i="2" s="1"/>
  <c r="O40" i="2"/>
  <c r="V40" i="2" s="1"/>
  <c r="AP40" i="2" s="1"/>
  <c r="AN41" i="2"/>
  <c r="AO41" i="2" s="1"/>
  <c r="O62" i="2"/>
  <c r="AQ62" i="2" s="1"/>
  <c r="AR62" i="2" s="1"/>
  <c r="L73" i="2"/>
  <c r="T73" i="2" s="1"/>
  <c r="AN73" i="2" s="1"/>
  <c r="AO73" i="2" s="1"/>
  <c r="T80" i="2"/>
  <c r="AN80" i="2" s="1"/>
  <c r="AO80" i="2" s="1"/>
  <c r="AP84" i="2"/>
  <c r="AN86" i="2"/>
  <c r="AO86" i="2" s="1"/>
  <c r="O91" i="2"/>
  <c r="AQ91" i="2" s="1"/>
  <c r="AR91" i="2" s="1"/>
  <c r="L93" i="2"/>
  <c r="T93" i="2" s="1"/>
  <c r="AN93" i="2" s="1"/>
  <c r="AO93" i="2" s="1"/>
  <c r="AP97" i="2"/>
  <c r="AQ134" i="2"/>
  <c r="AR134" i="2" s="1"/>
  <c r="AQ139" i="2"/>
  <c r="AR139" i="2" s="1"/>
  <c r="L27" i="2"/>
  <c r="T27" i="2" s="1"/>
  <c r="AN27" i="2" s="1"/>
  <c r="AO27" i="2" s="1"/>
  <c r="L61" i="2"/>
  <c r="T61" i="2" s="1"/>
  <c r="AN61" i="2" s="1"/>
  <c r="AO61" i="2" s="1"/>
  <c r="O103" i="2"/>
  <c r="L18" i="2"/>
  <c r="O108" i="2"/>
  <c r="AM10" i="2"/>
  <c r="O2" i="2"/>
  <c r="V2" i="2" s="1"/>
  <c r="AP2" i="2" s="1"/>
  <c r="O6" i="2"/>
  <c r="AQ11" i="2"/>
  <c r="AR11" i="2" s="1"/>
  <c r="O37" i="2"/>
  <c r="AP41" i="2"/>
  <c r="L82" i="2"/>
  <c r="AQ136" i="2"/>
  <c r="AR136" i="2" s="1"/>
  <c r="O95" i="2"/>
  <c r="AQ95" i="2" s="1"/>
  <c r="AR95" i="2" s="1"/>
  <c r="O106" i="2"/>
  <c r="O88" i="2"/>
  <c r="V88" i="2" s="1"/>
  <c r="AP88" i="2" s="1"/>
  <c r="O111" i="2"/>
  <c r="AQ111" i="2" s="1"/>
  <c r="AR111" i="2" s="1"/>
  <c r="L21" i="2"/>
  <c r="T21" i="2" s="1"/>
  <c r="AN21" i="2" s="1"/>
  <c r="AO21" i="2" s="1"/>
  <c r="S42" i="2"/>
  <c r="U42" i="2" s="1"/>
  <c r="O43" i="2"/>
  <c r="L48" i="2"/>
  <c r="T48" i="2" s="1"/>
  <c r="AN48" i="2" s="1"/>
  <c r="AO48" i="2" s="1"/>
  <c r="AM51" i="2"/>
  <c r="O51" i="2"/>
  <c r="AM56" i="2"/>
  <c r="L59" i="2"/>
  <c r="T59" i="2" s="1"/>
  <c r="O98" i="2"/>
  <c r="L103" i="2"/>
  <c r="O116" i="2"/>
  <c r="AQ116" i="2" s="1"/>
  <c r="AR116" i="2" s="1"/>
  <c r="AQ120" i="2"/>
  <c r="AR120" i="2" s="1"/>
  <c r="AP133" i="2"/>
  <c r="AP134" i="2"/>
  <c r="O41" i="2"/>
  <c r="L47" i="2"/>
  <c r="T47" i="2" s="1"/>
  <c r="AN47" i="2" s="1"/>
  <c r="AO47" i="2" s="1"/>
  <c r="O8" i="2"/>
  <c r="AP10" i="2"/>
  <c r="AP11" i="2"/>
  <c r="O25" i="2"/>
  <c r="V25" i="2" s="1"/>
  <c r="AP25" i="2" s="1"/>
  <c r="S41" i="2"/>
  <c r="AN53" i="2"/>
  <c r="AO53" i="2" s="1"/>
  <c r="L72" i="2"/>
  <c r="L88" i="2"/>
  <c r="T88" i="2" s="1"/>
  <c r="AN88" i="2" s="1"/>
  <c r="AO88" i="2" s="1"/>
  <c r="L97" i="2"/>
  <c r="L108" i="2"/>
  <c r="T108" i="2" s="1"/>
  <c r="AN108" i="2" s="1"/>
  <c r="AO108" i="2" s="1"/>
  <c r="L111" i="2"/>
  <c r="T111" i="2" s="1"/>
  <c r="AM111" i="2" s="1"/>
  <c r="L115" i="2"/>
  <c r="T115" i="2" s="1"/>
  <c r="AN115" i="2" s="1"/>
  <c r="AO115" i="2" s="1"/>
  <c r="AP136" i="2"/>
  <c r="L141" i="2"/>
  <c r="AQ3" i="2"/>
  <c r="AR3" i="2" s="1"/>
  <c r="AP3" i="2"/>
  <c r="AQ12" i="2"/>
  <c r="AR12" i="2" s="1"/>
  <c r="AP12" i="2"/>
  <c r="AQ21" i="2"/>
  <c r="AR21" i="2" s="1"/>
  <c r="AP21" i="2"/>
  <c r="AN4" i="2"/>
  <c r="AO4" i="2" s="1"/>
  <c r="AM4" i="2"/>
  <c r="AN13" i="2"/>
  <c r="AO13" i="2" s="1"/>
  <c r="AM13" i="2"/>
  <c r="AN99" i="2"/>
  <c r="AO99" i="2" s="1"/>
  <c r="AM99" i="2"/>
  <c r="T34" i="2"/>
  <c r="AM34" i="2" s="1"/>
  <c r="AP34" i="2"/>
  <c r="AM69" i="2"/>
  <c r="AN69" i="2"/>
  <c r="AO69" i="2" s="1"/>
  <c r="AN52" i="2"/>
  <c r="AO52" i="2" s="1"/>
  <c r="AM52" i="2"/>
  <c r="T33" i="2"/>
  <c r="AM33" i="2" s="1"/>
  <c r="AP33" i="2"/>
  <c r="AN136" i="2"/>
  <c r="AO136" i="2" s="1"/>
  <c r="AM136" i="2"/>
  <c r="AP22" i="2"/>
  <c r="AQ22" i="2"/>
  <c r="AR22" i="2" s="1"/>
  <c r="AQ5" i="2"/>
  <c r="AR5" i="2" s="1"/>
  <c r="AP5" i="2"/>
  <c r="AN3" i="2"/>
  <c r="AO3" i="2" s="1"/>
  <c r="AM3" i="2"/>
  <c r="AM12" i="2"/>
  <c r="AN12" i="2"/>
  <c r="AO12" i="2" s="1"/>
  <c r="S105" i="2"/>
  <c r="L105" i="2"/>
  <c r="AM139" i="2"/>
  <c r="AN139" i="2"/>
  <c r="AO139" i="2" s="1"/>
  <c r="O21" i="2"/>
  <c r="O22" i="2"/>
  <c r="AQ41" i="2"/>
  <c r="AR41" i="2" s="1"/>
  <c r="U48" i="2"/>
  <c r="AN55" i="2"/>
  <c r="AO55" i="2" s="1"/>
  <c r="AM55" i="2"/>
  <c r="AQ69" i="2"/>
  <c r="AR69" i="2" s="1"/>
  <c r="AP69" i="2"/>
  <c r="AQ99" i="2"/>
  <c r="AR99" i="2" s="1"/>
  <c r="L121" i="2"/>
  <c r="AP139" i="2"/>
  <c r="AQ10" i="2"/>
  <c r="AR10" i="2" s="1"/>
  <c r="AQ55" i="2"/>
  <c r="AR55" i="2" s="1"/>
  <c r="AP55" i="2"/>
  <c r="O114" i="2"/>
  <c r="O115" i="2"/>
  <c r="AQ135" i="2"/>
  <c r="AR135" i="2" s="1"/>
  <c r="AP135" i="2"/>
  <c r="U41" i="2"/>
  <c r="L46" i="2"/>
  <c r="T46" i="2" s="1"/>
  <c r="AM84" i="2"/>
  <c r="AN98" i="2"/>
  <c r="AO98" i="2" s="1"/>
  <c r="AQ97" i="2"/>
  <c r="AR97" i="2" s="1"/>
  <c r="AN97" i="2"/>
  <c r="AO97" i="2" s="1"/>
  <c r="AQ98" i="2"/>
  <c r="AR98" i="2" s="1"/>
  <c r="U107" i="2"/>
  <c r="AM54" i="2"/>
  <c r="AQ56" i="2"/>
  <c r="AR56" i="2" s="1"/>
  <c r="AP56" i="2"/>
  <c r="AQ100" i="2"/>
  <c r="AR100" i="2" s="1"/>
  <c r="AP100" i="2"/>
  <c r="AM106" i="2"/>
  <c r="AP105" i="2"/>
  <c r="AP106" i="2"/>
  <c r="AM105" i="2"/>
  <c r="AM11" i="2"/>
  <c r="AM50" i="2"/>
  <c r="AN56" i="2"/>
  <c r="AO56" i="2" s="1"/>
  <c r="O60" i="2"/>
  <c r="L65" i="2"/>
  <c r="T65" i="2" s="1"/>
  <c r="AM65" i="2" s="1"/>
  <c r="O72" i="2"/>
  <c r="L95" i="2"/>
  <c r="T95" i="2" s="1"/>
  <c r="AN100" i="2"/>
  <c r="AO100" i="2" s="1"/>
  <c r="AQ105" i="2"/>
  <c r="AR105" i="2" s="1"/>
  <c r="AQ106" i="2"/>
  <c r="AR106" i="2" s="1"/>
  <c r="AN105" i="2"/>
  <c r="AO105" i="2" s="1"/>
  <c r="AQ118" i="2"/>
  <c r="AR118" i="2" s="1"/>
  <c r="AN120" i="2"/>
  <c r="AO120" i="2" s="1"/>
  <c r="AP140" i="2"/>
  <c r="AQ83" i="2"/>
  <c r="AR83" i="2" s="1"/>
  <c r="AN117" i="2"/>
  <c r="AO117" i="2" s="1"/>
  <c r="AM117" i="2"/>
  <c r="AN138" i="2"/>
  <c r="AO138" i="2" s="1"/>
  <c r="AM138" i="2"/>
  <c r="AM5" i="2"/>
  <c r="AN49" i="2"/>
  <c r="AO49" i="2" s="1"/>
  <c r="AM49" i="2"/>
  <c r="AN70" i="2"/>
  <c r="AO70" i="2" s="1"/>
  <c r="AM70" i="2"/>
  <c r="O71" i="2"/>
  <c r="O93" i="2"/>
  <c r="L96" i="2"/>
  <c r="T96" i="2" s="1"/>
  <c r="S106" i="2"/>
  <c r="L106" i="2"/>
  <c r="U108" i="2"/>
  <c r="O112" i="2"/>
  <c r="L122" i="2"/>
  <c r="M132" i="2"/>
  <c r="O132" i="2" s="1"/>
  <c r="L132" i="2"/>
  <c r="AM85" i="2"/>
  <c r="AM97" i="2"/>
  <c r="AN85" i="2"/>
  <c r="AO85" i="2" s="1"/>
  <c r="AM86" i="2"/>
  <c r="L128" i="2"/>
  <c r="T128" i="2" s="1"/>
  <c r="AM128" i="2" s="1"/>
  <c r="AN135" i="2"/>
  <c r="AO135" i="2" s="1"/>
  <c r="AM135" i="2"/>
  <c r="AQ138" i="2"/>
  <c r="AR138" i="2" s="1"/>
  <c r="AP138" i="2"/>
  <c r="AQ85" i="2"/>
  <c r="AR85" i="2" s="1"/>
  <c r="AM118" i="2"/>
  <c r="O125" i="2"/>
  <c r="AN134" i="2"/>
  <c r="AO134" i="2" s="1"/>
  <c r="AM134" i="2"/>
  <c r="AN137" i="2"/>
  <c r="AO137" i="2" s="1"/>
  <c r="AM137" i="2"/>
  <c r="AM140" i="2"/>
  <c r="AN60" i="2" l="1"/>
  <c r="AO60" i="2" s="1"/>
  <c r="AP91" i="2"/>
  <c r="AN112" i="2"/>
  <c r="AO112" i="2" s="1"/>
  <c r="AP90" i="2"/>
  <c r="AM22" i="2"/>
  <c r="AN124" i="2"/>
  <c r="AO124" i="2" s="1"/>
  <c r="AM57" i="2"/>
  <c r="AN91" i="2"/>
  <c r="AO91" i="2" s="1"/>
  <c r="AM79" i="2"/>
  <c r="AM26" i="2"/>
  <c r="AM62" i="2"/>
  <c r="V47" i="2"/>
  <c r="AP47" i="2" s="1"/>
  <c r="AQ94" i="2"/>
  <c r="AR94" i="2" s="1"/>
  <c r="AQ61" i="2"/>
  <c r="AR61" i="2" s="1"/>
  <c r="AQ57" i="2"/>
  <c r="AR57" i="2" s="1"/>
  <c r="AN25" i="2"/>
  <c r="AO25" i="2" s="1"/>
  <c r="AM123" i="2"/>
  <c r="AQ25" i="2"/>
  <c r="AR25" i="2" s="1"/>
  <c r="AQ29" i="2"/>
  <c r="AR29" i="2" s="1"/>
  <c r="AN32" i="2"/>
  <c r="AO32" i="2" s="1"/>
  <c r="AM58" i="2"/>
  <c r="AN90" i="2"/>
  <c r="AO90" i="2" s="1"/>
  <c r="AQ109" i="2"/>
  <c r="AR109" i="2" s="1"/>
  <c r="AQ110" i="2"/>
  <c r="AR110" i="2" s="1"/>
  <c r="AM109" i="2"/>
  <c r="AP23" i="2"/>
  <c r="AQ124" i="2"/>
  <c r="AR124" i="2" s="1"/>
  <c r="AN29" i="2"/>
  <c r="AO29" i="2" s="1"/>
  <c r="AQ80" i="2"/>
  <c r="AR80" i="2" s="1"/>
  <c r="AP96" i="2"/>
  <c r="AN2" i="2"/>
  <c r="AO2" i="2" s="1"/>
  <c r="V107" i="2"/>
  <c r="AQ107" i="2" s="1"/>
  <c r="AR107" i="2" s="1"/>
  <c r="AM28" i="2"/>
  <c r="AM108" i="2"/>
  <c r="AP26" i="2"/>
  <c r="AP52" i="2"/>
  <c r="AM94" i="2"/>
  <c r="AQ113" i="2"/>
  <c r="AR113" i="2" s="1"/>
  <c r="AN24" i="2"/>
  <c r="AO24" i="2" s="1"/>
  <c r="AQ73" i="2"/>
  <c r="AR73" i="2" s="1"/>
  <c r="AN74" i="2"/>
  <c r="AO74" i="2" s="1"/>
  <c r="AM88" i="2"/>
  <c r="AM93" i="2"/>
  <c r="AN30" i="2"/>
  <c r="AO30" i="2" s="1"/>
  <c r="AQ2" i="2"/>
  <c r="AR2" i="2" s="1"/>
  <c r="AQ30" i="2"/>
  <c r="AR30" i="2" s="1"/>
  <c r="AP31" i="2"/>
  <c r="AP123" i="2"/>
  <c r="AP28" i="2"/>
  <c r="AQ28" i="2"/>
  <c r="AR28" i="2" s="1"/>
  <c r="AM89" i="2"/>
  <c r="AQ32" i="2"/>
  <c r="AR32" i="2" s="1"/>
  <c r="AN92" i="2"/>
  <c r="AO92" i="2" s="1"/>
  <c r="AN107" i="2"/>
  <c r="AO107" i="2" s="1"/>
  <c r="AM73" i="2"/>
  <c r="AM48" i="2"/>
  <c r="V108" i="2"/>
  <c r="AP108" i="2" s="1"/>
  <c r="AP59" i="2"/>
  <c r="V48" i="2"/>
  <c r="AP48" i="2" s="1"/>
  <c r="AQ24" i="2"/>
  <c r="AR24" i="2" s="1"/>
  <c r="AM80" i="2"/>
  <c r="AQ45" i="2"/>
  <c r="AR45" i="2" s="1"/>
  <c r="AM45" i="2"/>
  <c r="AP64" i="2"/>
  <c r="AN23" i="2"/>
  <c r="AO23" i="2" s="1"/>
  <c r="AP95" i="2"/>
  <c r="AP74" i="2"/>
  <c r="AP116" i="2"/>
  <c r="AP58" i="2"/>
  <c r="AP63" i="2"/>
  <c r="AM116" i="2"/>
  <c r="AP62" i="2"/>
  <c r="AP111" i="2"/>
  <c r="V37" i="2"/>
  <c r="AP37" i="2" s="1"/>
  <c r="AP27" i="2"/>
  <c r="AQ27" i="2"/>
  <c r="AR27" i="2" s="1"/>
  <c r="AM21" i="2"/>
  <c r="AN110" i="2"/>
  <c r="AO110" i="2" s="1"/>
  <c r="AM47" i="2"/>
  <c r="AQ79" i="2"/>
  <c r="AR79" i="2" s="1"/>
  <c r="AP79" i="2"/>
  <c r="AM61" i="2"/>
  <c r="AQ46" i="2"/>
  <c r="AR46" i="2" s="1"/>
  <c r="AM115" i="2"/>
  <c r="AP87" i="2"/>
  <c r="AP92" i="2"/>
  <c r="AN111" i="2"/>
  <c r="AO111" i="2" s="1"/>
  <c r="AM31" i="2"/>
  <c r="AM27" i="2"/>
  <c r="AQ88" i="2"/>
  <c r="AR88" i="2" s="1"/>
  <c r="AM59" i="2"/>
  <c r="AN59" i="2"/>
  <c r="AO59" i="2" s="1"/>
  <c r="AN96" i="2"/>
  <c r="AO96" i="2" s="1"/>
  <c r="AM96" i="2"/>
  <c r="AN64" i="2"/>
  <c r="AO64" i="2" s="1"/>
  <c r="AM64" i="2"/>
  <c r="AP60" i="2"/>
  <c r="AQ60" i="2"/>
  <c r="AR60" i="2" s="1"/>
  <c r="AP93" i="2"/>
  <c r="AQ93" i="2"/>
  <c r="AR93" i="2" s="1"/>
  <c r="AP115" i="2"/>
  <c r="AQ115" i="2"/>
  <c r="AR115" i="2" s="1"/>
  <c r="AN95" i="2"/>
  <c r="AO95" i="2" s="1"/>
  <c r="AM95" i="2"/>
  <c r="AQ114" i="2"/>
  <c r="AR114" i="2" s="1"/>
  <c r="AP114" i="2"/>
  <c r="AP112" i="2"/>
  <c r="AQ112" i="2"/>
  <c r="AR112" i="2" s="1"/>
  <c r="AN87" i="2"/>
  <c r="AO87" i="2" s="1"/>
  <c r="AM87" i="2"/>
  <c r="AN46" i="2"/>
  <c r="AO46" i="2" s="1"/>
  <c r="AM46" i="2"/>
  <c r="AN63" i="2"/>
  <c r="AO63" i="2" s="1"/>
  <c r="AM63" i="2"/>
  <c r="AP89" i="2"/>
  <c r="AQ89" i="2"/>
  <c r="AR89" i="2" s="1"/>
  <c r="AQ47" i="2" l="1"/>
  <c r="AR47" i="2" s="1"/>
  <c r="AQ108" i="2"/>
  <c r="AR108" i="2" s="1"/>
  <c r="AP107" i="2"/>
  <c r="AQ48" i="2"/>
  <c r="AR48" i="2" s="1"/>
</calcChain>
</file>

<file path=xl/comments1.xml><?xml version="1.0" encoding="utf-8"?>
<comments xmlns="http://schemas.openxmlformats.org/spreadsheetml/2006/main">
  <authors>
    <author/>
  </authors>
  <commentList>
    <comment ref="F1" authorId="0" shapeId="0">
      <text>
        <r>
          <rPr>
            <sz val="10"/>
            <color rgb="FF000000"/>
            <rFont val="Arial"/>
            <scheme val="minor"/>
          </rPr>
          <t>The Department/course to find the closest equivalent to in the university. If its unclear choose a department within the correct faculty.</t>
        </r>
      </text>
    </comment>
    <comment ref="G1" authorId="0" shapeId="0">
      <text>
        <r>
          <rPr>
            <sz val="10"/>
            <color rgb="FF000000"/>
            <rFont val="Arial"/>
            <scheme val="minor"/>
          </rPr>
          <t>The actual name of the department at this institution</t>
        </r>
      </text>
    </comment>
    <comment ref="I1" authorId="0" shapeId="0">
      <text>
        <r>
          <rPr>
            <sz val="10"/>
            <color rgb="FF000000"/>
            <rFont val="Arial"/>
            <scheme val="minor"/>
          </rPr>
          <t>The departmental homepage</t>
        </r>
      </text>
    </comment>
    <comment ref="J1" authorId="0" shapeId="0">
      <text>
        <r>
          <rPr>
            <sz val="10"/>
            <color rgb="FF000000"/>
            <rFont val="Arial"/>
            <scheme val="minor"/>
          </rPr>
          <t>Total tuition for the 1st year of study for an in province domestic student in 2023/24. This should not include ancillary fees - if that information is the only easily accessible fill in that column instead.</t>
        </r>
      </text>
    </comment>
    <comment ref="K1" authorId="0" shapeId="0">
      <text>
        <r>
          <rPr>
            <sz val="10"/>
            <color rgb="FF000000"/>
            <rFont val="Arial"/>
            <scheme val="minor"/>
          </rPr>
          <t>Ancillary fees for a 1st year in province domestic student</t>
        </r>
      </text>
    </comment>
    <comment ref="L1" authorId="0" shapeId="0">
      <text>
        <r>
          <rPr>
            <sz val="10"/>
            <color rgb="FF000000"/>
            <rFont val="Arial"/>
            <scheme val="minor"/>
          </rPr>
          <t>Sum of Tuition and Anciallary Fees for an in province 1st year domestic student.</t>
        </r>
      </text>
    </comment>
    <comment ref="M1" authorId="0" shapeId="0">
      <text>
        <r>
          <rPr>
            <sz val="10"/>
            <color rgb="FF000000"/>
            <rFont val="Arial"/>
            <scheme val="minor"/>
          </rPr>
          <t>Tuition for a 1st year international student in 2023/24</t>
        </r>
      </text>
    </comment>
    <comment ref="N1" authorId="0" shapeId="0">
      <text>
        <r>
          <rPr>
            <sz val="10"/>
            <color rgb="FF000000"/>
            <rFont val="Arial"/>
            <scheme val="minor"/>
          </rPr>
          <t>Ancillary Fees for 1st year international student including health insurance.</t>
        </r>
      </text>
    </comment>
    <comment ref="P1" authorId="0" shapeId="0">
      <text>
        <r>
          <rPr>
            <sz val="10"/>
            <color rgb="FF000000"/>
            <rFont val="Arial"/>
            <scheme val="minor"/>
          </rPr>
          <t>Is there any kind of automatic waiver or scholarship to mitigate the effect of increased tuition for international students. If this is done at the department level then this is considered to be part of the stipend.
If there is a full waiver add Full. Else write the dollar value of the waiver/scholarship.</t>
        </r>
      </text>
    </comment>
    <comment ref="Q1" authorId="0" shapeId="0">
      <text>
        <r>
          <rPr>
            <sz val="10"/>
            <color rgb="FF000000"/>
            <rFont val="Arial"/>
            <scheme val="minor"/>
          </rPr>
          <t>Is funding guaranteed for students admitted to the program?</t>
        </r>
      </text>
    </comment>
    <comment ref="R1" authorId="0" shapeId="0">
      <text>
        <r>
          <rPr>
            <sz val="10"/>
            <color rgb="FF000000"/>
            <rFont val="Arial"/>
            <scheme val="minor"/>
          </rPr>
          <t>How many years is funding guaranteed for?</t>
        </r>
      </text>
    </comment>
    <comment ref="S1" authorId="0" shapeId="0">
      <text>
        <r>
          <rPr>
            <sz val="10"/>
            <color rgb="FF000000"/>
            <rFont val="Arial"/>
            <scheme val="minor"/>
          </rPr>
          <t>What is the minimum guaranteed stipend for a 1st year domestic student before tuition and other fees. Include any salaray from TAing or RAing if it is guaranteed.
It is possible that only net stipend (after tuition) is listed in which case leave this blank.</t>
        </r>
      </text>
    </comment>
    <comment ref="T1" authorId="0" shapeId="0">
      <text>
        <r>
          <rPr>
            <sz val="10"/>
            <color rgb="FF000000"/>
            <rFont val="Arial"/>
            <scheme val="minor"/>
          </rPr>
          <t>The minimum guaranteed stipend for a 1st year in province domestic student after tuition and mandatory fees.
If a figure is given that is unclear if ancillary fees are accounted for or not just add a note but write down the number.</t>
        </r>
      </text>
    </comment>
    <comment ref="U1" authorId="0" shapeId="0">
      <text>
        <r>
          <rPr>
            <sz val="10"/>
            <color rgb="FF000000"/>
            <rFont val="Arial"/>
            <scheme val="minor"/>
          </rPr>
          <t>What is the minimum guaranteed stipend for a 1st year international student before tuition and other fees. Include any salaray from TAing or RAing if it is guaranteed.
If not specifically higher stipend is given then this is blank. The domestic stipend is assumed in later calculations.
It is possible that only net stipend (after tuition) is listed in which case leave this blank.</t>
        </r>
      </text>
    </comment>
    <comment ref="V1" authorId="0" shapeId="0">
      <text>
        <r>
          <rPr>
            <sz val="10"/>
            <color rgb="FF000000"/>
            <rFont val="Arial"/>
            <scheme val="minor"/>
          </rPr>
          <t>The minimum guaranteed stipend for a 1st year international student after tuition and mandatory fees.
If a figure is given that is unclear if ancillary fees are accounted for or not just add a note but write down the number.</t>
        </r>
      </text>
    </comment>
    <comment ref="W1" authorId="0" shapeId="0">
      <text>
        <r>
          <rPr>
            <sz val="10"/>
            <color rgb="FF000000"/>
            <rFont val="Arial"/>
            <scheme val="minor"/>
          </rPr>
          <t>How many hours are required per year to work as a Teaching Assistant for the minimum stipend. If annual ammounts are not given note the weekly amount here instead.
If no hours are required enter 0. If hours are unclear enter yes.
If TA is available but as an optional topup leave a note here.</t>
        </r>
      </text>
    </comment>
    <comment ref="X1" authorId="0" shapeId="0">
      <text>
        <r>
          <rPr>
            <sz val="10"/>
            <color rgb="FF000000"/>
            <rFont val="Arial"/>
            <scheme val="minor"/>
          </rPr>
          <t>How many hours are required per year to work as a Research Assistant for the minimum stipend. For consistency here an RA refers to paid research work that will not be included in the graduate student's thesis. Do not include if a generic stipend is refered to as a RA by the specific institution.
If no hours are required enter 0. If hours are unclear enter yes.</t>
        </r>
      </text>
    </comment>
    <comment ref="Y1" authorId="0" shapeId="0">
      <text>
        <r>
          <rPr>
            <sz val="10"/>
            <color rgb="FF000000"/>
            <rFont val="Arial"/>
            <scheme val="minor"/>
          </rPr>
          <t>What day were the website accessed?</t>
        </r>
      </text>
    </comment>
    <comment ref="Z1" authorId="0" shapeId="0">
      <text>
        <r>
          <rPr>
            <sz val="10"/>
            <color rgb="FF000000"/>
            <rFont val="Arial"/>
            <scheme val="minor"/>
          </rPr>
          <t xml:space="preserve">What academic year is associated with the stipend numbers. In many cases this will not be clear. Leave blank. </t>
        </r>
      </text>
    </comment>
    <comment ref="AE1" authorId="0" shapeId="0">
      <text>
        <r>
          <rPr>
            <sz val="10"/>
            <color rgb="FF000000"/>
            <rFont val="Arial"/>
            <scheme val="minor"/>
          </rPr>
          <t>Include any other notes to add qualative detail to the raw numbers.
Ie. did it change recently, do most students have an admission scholarship, is there funding only for the fall and winter...</t>
        </r>
      </text>
    </comment>
    <comment ref="AF1" authorId="0" shapeId="0">
      <text>
        <r>
          <rPr>
            <sz val="10"/>
            <color rgb="FF000000"/>
            <rFont val="Arial"/>
            <scheme val="minor"/>
          </rPr>
          <t>Link to where tuition data can be found</t>
        </r>
      </text>
    </comment>
    <comment ref="AG1" authorId="0" shapeId="0">
      <text>
        <r>
          <rPr>
            <sz val="10"/>
            <color rgb="FF000000"/>
            <rFont val="Arial"/>
            <scheme val="minor"/>
          </rPr>
          <t>Link to where stipend data can be found</t>
        </r>
      </text>
    </comment>
    <comment ref="AH1" authorId="0" shapeId="0">
      <text>
        <r>
          <rPr>
            <sz val="10"/>
            <color rgb="FF000000"/>
            <rFont val="Arial"/>
            <scheme val="minor"/>
          </rPr>
          <t>Market Basket Measure threshold of poverty line for persons not in economic family https://www12.statcan.gc.ca/census-recensement/2021/ref/dict/tab/index-eng.cfm?ID=t2_2#shr-pg0</t>
        </r>
      </text>
    </comment>
    <comment ref="AJ1" authorId="0" shapeId="0">
      <text>
        <r>
          <rPr>
            <sz val="10"/>
            <color rgb="FF000000"/>
            <rFont val="Arial"/>
            <scheme val="minor"/>
          </rPr>
          <t>MBM adjusted for inflation since 2020
* Inflation calculator is from Bank of Canada: https://www.bankofcanada.ca/rates/related/inflation-calculator/</t>
        </r>
      </text>
    </comment>
    <comment ref="AK1" authorId="0" shapeId="0">
      <text>
        <r>
          <rPr>
            <sz val="10"/>
            <color rgb="FF000000"/>
            <rFont val="Arial"/>
            <scheme val="minor"/>
          </rPr>
          <t xml:space="preserve">https://rentals.ca/blog/september-2023-rentals-ca-report
September 2023 /per month 1 bed
</t>
        </r>
      </text>
    </comment>
    <comment ref="B2" authorId="0" shapeId="0">
      <text>
        <r>
          <rPr>
            <sz val="10"/>
            <color rgb="FF000000"/>
            <rFont val="Arial"/>
            <scheme val="minor"/>
          </rPr>
          <t>Financial year 2023
https://www.sfu.ca/content/dam/sfu/finance/publications-news/publications/SOFI/2023%20SFU%20SOFI%20Report.pdf</t>
        </r>
      </text>
    </comment>
    <comment ref="B3" authorId="0" shapeId="0">
      <text>
        <r>
          <rPr>
            <sz val="10"/>
            <color rgb="FF000000"/>
            <rFont val="Arial"/>
            <scheme val="minor"/>
          </rPr>
          <t>Financial year 2023
https://www.sfu.ca/content/dam/sfu/finance/publications-news/publications/SOFI/2023%20SFU%20SOFI%20Report.pdf</t>
        </r>
      </text>
    </comment>
    <comment ref="B4" authorId="0" shapeId="0">
      <text>
        <r>
          <rPr>
            <sz val="10"/>
            <color rgb="FF000000"/>
            <rFont val="Arial"/>
            <scheme val="minor"/>
          </rPr>
          <t>Financial year 2023
https://www.sfu.ca/content/dam/sfu/finance/publications-news/publications/SOFI/2023%20SFU%20SOFI%20Report.pdf</t>
        </r>
      </text>
    </comment>
    <comment ref="B5" authorId="0" shapeId="0">
      <text>
        <r>
          <rPr>
            <sz val="10"/>
            <color rgb="FF000000"/>
            <rFont val="Arial"/>
            <scheme val="minor"/>
          </rPr>
          <t>Financial year 2023
https://www.sfu.ca/content/dam/sfu/finance/publications-news/publications/SOFI/2023%20SFU%20SOFI%20Report.pdf</t>
        </r>
      </text>
    </comment>
    <comment ref="B6" authorId="0" shapeId="0">
      <text>
        <r>
          <rPr>
            <sz val="10"/>
            <color rgb="FF000000"/>
            <rFont val="Arial"/>
            <scheme val="minor"/>
          </rPr>
          <t>2023 Financial Year
https://www.ucalgary.ca/finance/sites/default/files/teams/5/fr-2023-financial-statement.pdf</t>
        </r>
      </text>
    </comment>
    <comment ref="B7" authorId="0" shapeId="0">
      <text>
        <r>
          <rPr>
            <sz val="10"/>
            <color rgb="FF000000"/>
            <rFont val="Arial"/>
            <scheme val="minor"/>
          </rPr>
          <t>2023 Financial Year
https://www.ucalgary.ca/finance/sites/default/files/teams/5/fr-2023-financial-statement.pdf</t>
        </r>
      </text>
    </comment>
    <comment ref="B8" authorId="0" shapeId="0">
      <text>
        <r>
          <rPr>
            <sz val="10"/>
            <color rgb="FF000000"/>
            <rFont val="Arial"/>
            <scheme val="minor"/>
          </rPr>
          <t>2023 Financial Year
https://www.ucalgary.ca/finance/sites/default/files/teams/5/fr-2023-financial-statement.pdf</t>
        </r>
      </text>
    </comment>
    <comment ref="B9" authorId="0" shapeId="0">
      <text>
        <r>
          <rPr>
            <sz val="10"/>
            <color rgb="FF000000"/>
            <rFont val="Arial"/>
            <scheme val="minor"/>
          </rPr>
          <t>2023 Financial Year
https://www.ucalgary.ca/finance/sites/default/files/teams/5/fr-2023-financial-statement.pdf</t>
        </r>
      </text>
    </comment>
    <comment ref="B10" authorId="0" shapeId="0">
      <text>
        <r>
          <rPr>
            <sz val="10"/>
            <color rgb="FF000000"/>
            <rFont val="Arial"/>
            <scheme val="minor"/>
          </rPr>
          <t>2023 Financial Year
https://www.ualberta.ca/media-library/ualberta/reporting/annual-reports-and-financial-statements/annual-report-2022-23-final.pdf</t>
        </r>
      </text>
    </comment>
    <comment ref="B11" authorId="0" shapeId="0">
      <text>
        <r>
          <rPr>
            <sz val="10"/>
            <color rgb="FF000000"/>
            <rFont val="Arial"/>
            <scheme val="minor"/>
          </rPr>
          <t>2023 Financial Year
https://www.ualberta.ca/media-library/ualberta/reporting/annual-reports-and-financial-statements/annual-report-2022-23-final.pdf</t>
        </r>
      </text>
    </comment>
    <comment ref="B12" authorId="0" shapeId="0">
      <text>
        <r>
          <rPr>
            <sz val="10"/>
            <color rgb="FF000000"/>
            <rFont val="Arial"/>
            <scheme val="minor"/>
          </rPr>
          <t>2023 Financial Year
https://www.ualberta.ca/media-library/ualberta/reporting/annual-reports-and-financial-statements/annual-report-2022-23-final.pdf</t>
        </r>
      </text>
    </comment>
    <comment ref="B13" authorId="0" shapeId="0">
      <text>
        <r>
          <rPr>
            <sz val="10"/>
            <color rgb="FF000000"/>
            <rFont val="Arial"/>
            <scheme val="minor"/>
          </rPr>
          <t>2023 Financial Year
https://www.ualberta.ca/media-library/ualberta/reporting/annual-reports-and-financial-statements/annual-report-2022-23-final.pdf</t>
        </r>
      </text>
    </comment>
    <comment ref="R13" authorId="0" shapeId="0">
      <text>
        <r>
          <rPr>
            <sz val="10"/>
            <color rgb="FF000000"/>
            <rFont val="Arial"/>
            <scheme val="minor"/>
          </rPr>
          <t>Depending if entered with a graduate or undergraduate degree</t>
        </r>
      </text>
    </comment>
    <comment ref="B14" authorId="0" shapeId="0">
      <text>
        <r>
          <rPr>
            <sz val="10"/>
            <color rgb="FF000000"/>
            <rFont val="Arial"/>
            <scheme val="minor"/>
          </rPr>
          <t>2023 Financial Year
https://uleth.sharepoint.com/teams/planning-and-reporting/public/Shared%20Documents/Forms/AllItems.aspx?id=%2Fteams%2Fplanning-and-reporting%2Fpublic%2FShared+Documents%2FFinancial+Statements%2FLatest+Financial+Statement.pdf&amp;parent=%2Fteams%2Fplanning-and-reporting%2Fpublic%2FShared+Documents%2FFinancial+Statements&amp;p=true&amp;ga=1</t>
        </r>
      </text>
    </comment>
    <comment ref="J14" authorId="0" shapeId="0">
      <text>
        <r>
          <rPr>
            <sz val="10"/>
            <color rgb="FF000000"/>
            <rFont val="Arial"/>
            <scheme val="minor"/>
          </rPr>
          <t>Lower continuing fees after 1st year</t>
        </r>
      </text>
    </comment>
    <comment ref="B15" authorId="0" shapeId="0">
      <text>
        <r>
          <rPr>
            <sz val="10"/>
            <color rgb="FF000000"/>
            <rFont val="Arial"/>
            <scheme val="minor"/>
          </rPr>
          <t>2023 Financial Year
https://uleth.sharepoint.com/teams/planning-and-reporting/public/Shared%20Documents/Forms/AllItems.aspx?id=%2Fteams%2Fplanning-and-reporting%2Fpublic%2FShared+Documents%2FFinancial+Statements%2FLatest+Financial+Statement.pdf&amp;parent=%2Fteams%2Fplanning-and-reporting%2Fpublic%2FShared+Documents%2FFinancial+Statements&amp;p=true&amp;ga=1</t>
        </r>
      </text>
    </comment>
    <comment ref="J15" authorId="0" shapeId="0">
      <text>
        <r>
          <rPr>
            <sz val="10"/>
            <color rgb="FF000000"/>
            <rFont val="Arial"/>
            <scheme val="minor"/>
          </rPr>
          <t>continuing fees after first 2 years</t>
        </r>
      </text>
    </comment>
    <comment ref="B16" authorId="0" shapeId="0">
      <text>
        <r>
          <rPr>
            <sz val="10"/>
            <color rgb="FF000000"/>
            <rFont val="Arial"/>
            <scheme val="minor"/>
          </rPr>
          <t>2023 Financial Year
https://uleth.sharepoint.com/teams/planning-and-reporting/public/Shared%20Documents/Forms/AllItems.aspx?id=%2Fteams%2Fplanning-and-reporting%2Fpublic%2FShared+Documents%2FFinancial+Statements%2FLatest+Financial+Statement.pdf&amp;parent=%2Fteams%2Fplanning-and-reporting%2Fpublic%2FShared+Documents%2FFinancial+Statements&amp;p=true&amp;ga=1</t>
        </r>
      </text>
    </comment>
    <comment ref="B17" authorId="0" shapeId="0">
      <text>
        <r>
          <rPr>
            <sz val="10"/>
            <color rgb="FF000000"/>
            <rFont val="Arial"/>
            <scheme val="minor"/>
          </rPr>
          <t>2023 Financial Year
https://uleth.sharepoint.com/teams/planning-and-reporting/public/Shared%20Documents/Forms/AllItems.aspx?id=%2Fteams%2Fplanning-and-reporting%2Fpublic%2FShared+Documents%2FFinancial+Statements%2FLatest+Financial+Statement.pdf&amp;parent=%2Fteams%2Fplanning-and-reporting%2Fpublic%2FShared+Documents%2FFinancial+Statements&amp;p=true&amp;ga=1</t>
        </r>
      </text>
    </comment>
    <comment ref="B18" authorId="0" shapeId="0">
      <text>
        <r>
          <rPr>
            <sz val="10"/>
            <color rgb="FF000000"/>
            <rFont val="Arial"/>
            <scheme val="minor"/>
          </rPr>
          <t>2023 Financial Year
https://www.unbc.ca/sites/default/files/sections/finance/unbcfinancialstatements22-23.pdf</t>
        </r>
      </text>
    </comment>
    <comment ref="B19" authorId="0" shapeId="0">
      <text>
        <r>
          <rPr>
            <sz val="10"/>
            <color rgb="FF000000"/>
            <rFont val="Arial"/>
            <scheme val="minor"/>
          </rPr>
          <t>2023 Financial Year
https://www.unbc.ca/sites/default/files/sections/finance/unbcfinancialstatements22-23.pdf</t>
        </r>
      </text>
    </comment>
    <comment ref="B20" authorId="0" shapeId="0">
      <text>
        <r>
          <rPr>
            <sz val="10"/>
            <color rgb="FF000000"/>
            <rFont val="Arial"/>
            <scheme val="minor"/>
          </rPr>
          <t>2023 Financial Year
https://www.unbc.ca/sites/default/files/sections/finance/unbcfinancialstatements22-23.pdf</t>
        </r>
      </text>
    </comment>
    <comment ref="B21" authorId="0" shapeId="0">
      <text>
        <r>
          <rPr>
            <sz val="10"/>
            <color rgb="FF000000"/>
            <rFont val="Arial"/>
            <scheme val="minor"/>
          </rPr>
          <t>2023 Finacial Year: 
https://finance.ubc.ca/sites/finserv.ubc.ca/files/UBC_FY23%20The%20University%20of%20British%20Columbia%20FS%20FINAL.pdf</t>
        </r>
      </text>
    </comment>
    <comment ref="C21" authorId="0" shapeId="0">
      <text>
        <r>
          <rPr>
            <sz val="10"/>
            <color rgb="FF000000"/>
            <rFont val="Arial"/>
            <scheme val="minor"/>
          </rPr>
          <t>https://give.ubc.ca/wp-content/uploads/2023/06/UBC_Endowment_Update-2023-2.pdf</t>
        </r>
      </text>
    </comment>
    <comment ref="B22" authorId="0" shapeId="0">
      <text>
        <r>
          <rPr>
            <sz val="10"/>
            <color rgb="FF000000"/>
            <rFont val="Arial"/>
            <scheme val="minor"/>
          </rPr>
          <t>2023 Finacial Year: 
https://finance.ubc.ca/sites/finserv.ubc.ca/files/UBC_FY23%20The%20University%20of%20British%20Columbia%20FS%20FINAL.pdf</t>
        </r>
      </text>
    </comment>
    <comment ref="C22" authorId="0" shapeId="0">
      <text>
        <r>
          <rPr>
            <sz val="10"/>
            <color rgb="FF000000"/>
            <rFont val="Arial"/>
            <scheme val="minor"/>
          </rPr>
          <t>https://give.ubc.ca/wp-content/uploads/2023/06/UBC_Endowment_Update-2023-2.pdf</t>
        </r>
      </text>
    </comment>
    <comment ref="B23" authorId="0" shapeId="0">
      <text>
        <r>
          <rPr>
            <sz val="10"/>
            <color rgb="FF000000"/>
            <rFont val="Arial"/>
            <scheme val="minor"/>
          </rPr>
          <t>2023 Finacial Year: 
https://finance.ubc.ca/sites/finserv.ubc.ca/files/UBC_FY23%20The%20University%20of%20British%20Columbia%20FS%20FINAL.pdf</t>
        </r>
      </text>
    </comment>
    <comment ref="C23" authorId="0" shapeId="0">
      <text>
        <r>
          <rPr>
            <sz val="10"/>
            <color rgb="FF000000"/>
            <rFont val="Arial"/>
            <scheme val="minor"/>
          </rPr>
          <t>https://give.ubc.ca/wp-content/uploads/2023/06/UBC_Endowment_Update-2023-2.pdf</t>
        </r>
      </text>
    </comment>
    <comment ref="B24" authorId="0" shapeId="0">
      <text>
        <r>
          <rPr>
            <sz val="10"/>
            <color rgb="FF000000"/>
            <rFont val="Arial"/>
            <scheme val="minor"/>
          </rPr>
          <t>2023 Finacial Year: 
https://finance.ubc.ca/sites/finserv.ubc.ca/files/UBC_FY23%20The%20University%20of%20British%20Columbia%20FS%20FINAL.pdf</t>
        </r>
      </text>
    </comment>
    <comment ref="C24" authorId="0" shapeId="0">
      <text>
        <r>
          <rPr>
            <sz val="10"/>
            <color rgb="FF000000"/>
            <rFont val="Arial"/>
            <scheme val="minor"/>
          </rPr>
          <t>https://give.ubc.ca/wp-content/uploads/2023/06/UBC_Endowment_Update-2023-2.pdf</t>
        </r>
      </text>
    </comment>
    <comment ref="B25" authorId="0" shapeId="0">
      <text>
        <r>
          <rPr>
            <sz val="10"/>
            <color rgb="FF000000"/>
            <rFont val="Arial"/>
            <scheme val="minor"/>
          </rPr>
          <t>2023 Financial Year
https://www.uvic.ca/financialplanning/assets/docs/financial-reporting-docs/university-of-victoria-audited-financial-statements-2022-2023.pdf</t>
        </r>
      </text>
    </comment>
    <comment ref="C25" authorId="0" shapeId="0">
      <text>
        <r>
          <rPr>
            <sz val="10"/>
            <color rgb="FF000000"/>
            <rFont val="Arial"/>
            <scheme val="minor"/>
          </rPr>
          <t>https://www.uvic.ca/uvic-foundation/index.php</t>
        </r>
      </text>
    </comment>
    <comment ref="B26" authorId="0" shapeId="0">
      <text>
        <r>
          <rPr>
            <sz val="10"/>
            <color rgb="FF000000"/>
            <rFont val="Arial"/>
            <scheme val="minor"/>
          </rPr>
          <t>2023 Financial Year
https://www.uvic.ca/financialplanning/assets/docs/financial-reporting-docs/university-of-victoria-audited-financial-statements-2022-2023.pdf</t>
        </r>
      </text>
    </comment>
    <comment ref="C26" authorId="0" shapeId="0">
      <text>
        <r>
          <rPr>
            <sz val="10"/>
            <color rgb="FF000000"/>
            <rFont val="Arial"/>
            <scheme val="minor"/>
          </rPr>
          <t>https://www.uvic.ca/uvic-foundation/index.php</t>
        </r>
      </text>
    </comment>
    <comment ref="B27" authorId="0" shapeId="0">
      <text>
        <r>
          <rPr>
            <sz val="10"/>
            <color rgb="FF000000"/>
            <rFont val="Arial"/>
            <scheme val="minor"/>
          </rPr>
          <t>2023 Financial Year
https://www.uvic.ca/financialplanning/assets/docs/financial-reporting-docs/university-of-victoria-audited-financial-statements-2022-2023.pdf</t>
        </r>
      </text>
    </comment>
    <comment ref="C27" authorId="0" shapeId="0">
      <text>
        <r>
          <rPr>
            <sz val="10"/>
            <color rgb="FF000000"/>
            <rFont val="Arial"/>
            <scheme val="minor"/>
          </rPr>
          <t>https://www.uvic.ca/uvic-foundation/index.php</t>
        </r>
      </text>
    </comment>
    <comment ref="B28" authorId="0" shapeId="0">
      <text>
        <r>
          <rPr>
            <sz val="10"/>
            <color rgb="FF000000"/>
            <rFont val="Arial"/>
            <scheme val="minor"/>
          </rPr>
          <t>2023 Financial Year
https://www.uvic.ca/financialplanning/assets/docs/financial-reporting-docs/university-of-victoria-audited-financial-statements-2022-2023.pdf</t>
        </r>
      </text>
    </comment>
    <comment ref="C28" authorId="0" shapeId="0">
      <text>
        <r>
          <rPr>
            <sz val="10"/>
            <color rgb="FF000000"/>
            <rFont val="Arial"/>
            <scheme val="minor"/>
          </rPr>
          <t>https://www.uvic.ca/uvic-foundation/index.php</t>
        </r>
      </text>
    </comment>
    <comment ref="B29" authorId="0" shapeId="0">
      <text>
        <r>
          <rPr>
            <sz val="10"/>
            <color rgb="FF000000"/>
            <rFont val="Arial"/>
            <scheme val="minor"/>
          </rPr>
          <t>2023 Financial Year
https://umanitoba.ca/finance/sites/finance/files/2023-07/2023-um-annual-financial-report.pdf</t>
        </r>
      </text>
    </comment>
    <comment ref="B30" authorId="0" shapeId="0">
      <text>
        <r>
          <rPr>
            <sz val="10"/>
            <color rgb="FF000000"/>
            <rFont val="Arial"/>
            <scheme val="minor"/>
          </rPr>
          <t>2023 Financial Year
https://umanitoba.ca/finance/sites/finance/files/2023-07/2023-um-annual-financial-report.pdf</t>
        </r>
      </text>
    </comment>
    <comment ref="B31" authorId="0" shapeId="0">
      <text>
        <r>
          <rPr>
            <sz val="10"/>
            <color rgb="FF000000"/>
            <rFont val="Arial"/>
            <scheme val="minor"/>
          </rPr>
          <t>2023 Financial Year
https://umanitoba.ca/finance/sites/finance/files/2023-07/2023-um-annual-financial-report.pdf</t>
        </r>
      </text>
    </comment>
    <comment ref="B32" authorId="0" shapeId="0">
      <text>
        <r>
          <rPr>
            <sz val="10"/>
            <color rgb="FF000000"/>
            <rFont val="Arial"/>
            <scheme val="minor"/>
          </rPr>
          <t>2023 Financial Year
https://umanitoba.ca/finance/sites/finance/files/2023-07/2023-um-annual-financial-report.pdf</t>
        </r>
      </text>
    </comment>
    <comment ref="B33" authorId="0" shapeId="0">
      <text>
        <r>
          <rPr>
            <sz val="10"/>
            <color rgb="FF000000"/>
            <rFont val="Arial"/>
            <scheme val="minor"/>
          </rPr>
          <t>https://www.unb.ca/finance/_assets/documents/financial-services/reports/financial_statements_2023.pdf</t>
        </r>
      </text>
    </comment>
    <comment ref="B34" authorId="0" shapeId="0">
      <text>
        <r>
          <rPr>
            <sz val="10"/>
            <color rgb="FF000000"/>
            <rFont val="Arial"/>
            <scheme val="minor"/>
          </rPr>
          <t>https://www.unb.ca/finance/_assets/documents/financial-services/reports/financial_statements_2023.pdf</t>
        </r>
      </text>
    </comment>
    <comment ref="B35" authorId="0" shapeId="0">
      <text>
        <r>
          <rPr>
            <sz val="10"/>
            <color rgb="FF000000"/>
            <rFont val="Arial"/>
            <scheme val="minor"/>
          </rPr>
          <t>https://www.unb.ca/finance/_assets/documents/financial-services/reports/financial_statements_2023.pdf</t>
        </r>
      </text>
    </comment>
    <comment ref="B36" authorId="0" shapeId="0">
      <text>
        <r>
          <rPr>
            <sz val="10"/>
            <color rgb="FF000000"/>
            <rFont val="Arial"/>
            <scheme val="minor"/>
          </rPr>
          <t>https://www.unb.ca/finance/_assets/documents/financial-services/reports/financial_statements_2023.pdf</t>
        </r>
      </text>
    </comment>
    <comment ref="B41" authorId="0" shapeId="0">
      <text>
        <r>
          <rPr>
            <sz val="10"/>
            <color rgb="FF000000"/>
            <rFont val="Arial"/>
            <scheme val="minor"/>
          </rPr>
          <t>https://cdn.dal.ca/content/dam/dalhousie/pdf/dept/financial-services/Reports/Annual%20Reports/2022-23%20Annual%20Report%20with%20schedules%20-%20Final.pdf</t>
        </r>
      </text>
    </comment>
    <comment ref="B42" authorId="0" shapeId="0">
      <text>
        <r>
          <rPr>
            <sz val="10"/>
            <color rgb="FF000000"/>
            <rFont val="Arial"/>
            <scheme val="minor"/>
          </rPr>
          <t>https://cdn.dal.ca/content/dam/dalhousie/pdf/dept/financial-services/Reports/Annual%20Reports/2022-23%20Annual%20Report%20with%20schedules%20-%20Final.pdf</t>
        </r>
      </text>
    </comment>
    <comment ref="B43" authorId="0" shapeId="0">
      <text>
        <r>
          <rPr>
            <sz val="10"/>
            <color rgb="FF000000"/>
            <rFont val="Arial"/>
            <scheme val="minor"/>
          </rPr>
          <t>https://cdn.dal.ca/content/dam/dalhousie/pdf/dept/financial-services/Reports/Annual%20Reports/2022-23%20Annual%20Report%20with%20schedules%20-%20Final.pdf</t>
        </r>
      </text>
    </comment>
    <comment ref="B44" authorId="0" shapeId="0">
      <text>
        <r>
          <rPr>
            <sz val="10"/>
            <color rgb="FF000000"/>
            <rFont val="Arial"/>
            <scheme val="minor"/>
          </rPr>
          <t>https://cdn.dal.ca/content/dam/dalhousie/pdf/dept/financial-services/Reports/Annual%20Reports/2022-23%20Annual%20Report%20with%20schedules%20-%20Final.pdf</t>
        </r>
      </text>
    </comment>
    <comment ref="B45" authorId="0" shapeId="0">
      <text>
        <r>
          <rPr>
            <sz val="10"/>
            <color rgb="FF000000"/>
            <rFont val="Arial"/>
            <scheme val="minor"/>
          </rPr>
          <t>https://www.uoguelph.ca/finance/sites/default/files/UG%202023%20Annual%20Financial%20Report%20-%20FINAL-s%20for%20web.pdf</t>
        </r>
      </text>
    </comment>
    <comment ref="B46" authorId="0" shapeId="0">
      <text>
        <r>
          <rPr>
            <sz val="10"/>
            <color rgb="FF000000"/>
            <rFont val="Arial"/>
            <scheme val="minor"/>
          </rPr>
          <t>https://www.uoguelph.ca/finance/sites/default/files/UG%202023%20Annual%20Financial%20Report%20-%20FINAL-s%20for%20web.pdf</t>
        </r>
      </text>
    </comment>
    <comment ref="B47" authorId="0" shapeId="0">
      <text>
        <r>
          <rPr>
            <sz val="10"/>
            <color rgb="FF000000"/>
            <rFont val="Arial"/>
            <scheme val="minor"/>
          </rPr>
          <t>https://www.uoguelph.ca/finance/sites/default/files/UG%202023%20Annual%20Financial%20Report%20-%20FINAL-s%20for%20web.pdf</t>
        </r>
      </text>
    </comment>
    <comment ref="B48" authorId="0" shapeId="0">
      <text>
        <r>
          <rPr>
            <sz val="10"/>
            <color rgb="FF000000"/>
            <rFont val="Arial"/>
            <scheme val="minor"/>
          </rPr>
          <t>https://www.uoguelph.ca/finance/sites/default/files/UG%202023%20Annual%20Financial%20Report%20-%20FINAL-s%20for%20web.pdf</t>
        </r>
      </text>
    </comment>
    <comment ref="B49" authorId="0" shapeId="0">
      <text>
        <r>
          <rPr>
            <sz val="10"/>
            <color rgb="FF000000"/>
            <rFont val="Arial"/>
            <scheme val="minor"/>
          </rPr>
          <t>https://financial-affairs.mcmaster.ca/app/uploads/2023/11/FS_AFR_2023.pdf</t>
        </r>
      </text>
    </comment>
    <comment ref="B50" authorId="0" shapeId="0">
      <text>
        <r>
          <rPr>
            <sz val="10"/>
            <color rgb="FF000000"/>
            <rFont val="Arial"/>
            <scheme val="minor"/>
          </rPr>
          <t>https://financial-affairs.mcmaster.ca/app/uploads/2023/11/FS_AFR_2023.pdf</t>
        </r>
      </text>
    </comment>
    <comment ref="B51" authorId="0" shapeId="0">
      <text>
        <r>
          <rPr>
            <sz val="10"/>
            <color rgb="FF000000"/>
            <rFont val="Arial"/>
            <scheme val="minor"/>
          </rPr>
          <t>https://financial-affairs.mcmaster.ca/app/uploads/2023/11/FS_AFR_2023.pdf</t>
        </r>
      </text>
    </comment>
    <comment ref="B52" authorId="0" shapeId="0">
      <text>
        <r>
          <rPr>
            <sz val="10"/>
            <color rgb="FF000000"/>
            <rFont val="Arial"/>
            <scheme val="minor"/>
          </rPr>
          <t>https://financial-affairs.mcmaster.ca/app/uploads/2023/11/FS_AFR_2023.pdf</t>
        </r>
      </text>
    </comment>
    <comment ref="B53" authorId="0" shapeId="0">
      <text>
        <r>
          <rPr>
            <sz val="10"/>
            <color rgb="FF000000"/>
            <rFont val="Arial"/>
            <scheme val="minor"/>
          </rPr>
          <t>https://www.queensu.ca/financialservices/sites/finswww/files/uploaded_files/Publications/Annual%20Budget%20Reports/Queen's%20University%20at%20Kingston%202023.pdf</t>
        </r>
      </text>
    </comment>
    <comment ref="B54" authorId="0" shapeId="0">
      <text>
        <r>
          <rPr>
            <sz val="10"/>
            <color rgb="FF000000"/>
            <rFont val="Arial"/>
            <scheme val="minor"/>
          </rPr>
          <t>https://www.queensu.ca/financialservices/sites/finswww/files/uploaded_files/Publications/Annual%20Budget%20Reports/Queen's%20University%20at%20Kingston%202023.pdf</t>
        </r>
      </text>
    </comment>
    <comment ref="B55" authorId="0" shapeId="0">
      <text>
        <r>
          <rPr>
            <sz val="10"/>
            <color rgb="FF000000"/>
            <rFont val="Arial"/>
            <scheme val="minor"/>
          </rPr>
          <t>https://www.queensu.ca/financialservices/sites/finswww/files/uploaded_files/Publications/Annual%20Budget%20Reports/Queen's%20University%20at%20Kingston%202023.pdf</t>
        </r>
      </text>
    </comment>
    <comment ref="B56" authorId="0" shapeId="0">
      <text>
        <r>
          <rPr>
            <sz val="10"/>
            <color rgb="FF000000"/>
            <rFont val="Arial"/>
            <scheme val="minor"/>
          </rPr>
          <t>https://www.queensu.ca/financialservices/sites/finswww/files/uploaded_files/Publications/Annual%20Budget%20Reports/Queen's%20University%20at%20Kingston%202023.pdf</t>
        </r>
      </text>
    </comment>
    <comment ref="B57" authorId="0" shapeId="0">
      <text>
        <r>
          <rPr>
            <sz val="10"/>
            <color rgb="FF000000"/>
            <rFont val="Arial"/>
            <scheme val="minor"/>
          </rPr>
          <t>https://www.uwo.ca/finance/forms/docs/corporate_accounting/2023.pdf</t>
        </r>
      </text>
    </comment>
    <comment ref="B58" authorId="0" shapeId="0">
      <text>
        <r>
          <rPr>
            <sz val="10"/>
            <color rgb="FF000000"/>
            <rFont val="Arial"/>
            <scheme val="minor"/>
          </rPr>
          <t>https://www.uwo.ca/finance/forms/docs/corporate_accounting/2023.pdf</t>
        </r>
      </text>
    </comment>
    <comment ref="B59" authorId="0" shapeId="0">
      <text>
        <r>
          <rPr>
            <sz val="10"/>
            <color rgb="FF000000"/>
            <rFont val="Arial"/>
            <scheme val="minor"/>
          </rPr>
          <t>https://www.uwo.ca/finance/forms/docs/corporate_accounting/2023.pdf</t>
        </r>
      </text>
    </comment>
    <comment ref="B60" authorId="0" shapeId="0">
      <text>
        <r>
          <rPr>
            <sz val="10"/>
            <color rgb="FF000000"/>
            <rFont val="Arial"/>
            <scheme val="minor"/>
          </rPr>
          <t>https://www.uwo.ca/finance/forms/docs/corporate_accounting/2023.pdf</t>
        </r>
      </text>
    </comment>
    <comment ref="B65" authorId="0" shapeId="0">
      <text>
        <r>
          <rPr>
            <sz val="10"/>
            <color rgb="FF000000"/>
            <rFont val="Arial"/>
            <scheme val="minor"/>
          </rPr>
          <t>https://financial-services.acadiau.ca/reports.html?file=files/sites/financial-services/resources/reports/Acadia%20Financial%20Statements%20-%20March%2031%2C%202023.pdf&amp;cid=58539</t>
        </r>
      </text>
    </comment>
    <comment ref="B66" authorId="0" shapeId="0">
      <text>
        <r>
          <rPr>
            <sz val="10"/>
            <color rgb="FF000000"/>
            <rFont val="Arial"/>
            <scheme val="minor"/>
          </rPr>
          <t>https://financial-services.acadiau.ca/reports.html?file=files/sites/financial-services/resources/reports/Acadia%20Financial%20Statements%20-%20March%2031%2C%202023.pdf&amp;cid=58539</t>
        </r>
      </text>
    </comment>
    <comment ref="B67" authorId="0" shapeId="0">
      <text>
        <r>
          <rPr>
            <sz val="10"/>
            <color rgb="FF000000"/>
            <rFont val="Arial"/>
            <scheme val="minor"/>
          </rPr>
          <t>https://www.smu.ca/webfiles/AnnualFinancialReport-March312023(includesAuditedFinancialStatements).pdf</t>
        </r>
      </text>
    </comment>
    <comment ref="B68" authorId="0" shapeId="0">
      <text>
        <r>
          <rPr>
            <sz val="10"/>
            <color rgb="FF000000"/>
            <rFont val="Arial"/>
            <scheme val="minor"/>
          </rPr>
          <t>https://www.smu.ca/webfiles/AnnualFinancialReport-March312023(includesAuditedFinancialStatements).pdf</t>
        </r>
      </text>
    </comment>
    <comment ref="B69" authorId="0" shapeId="0">
      <text>
        <r>
          <rPr>
            <sz val="10"/>
            <color rgb="FF000000"/>
            <rFont val="Arial"/>
            <scheme val="minor"/>
          </rPr>
          <t>https://shared.ontariotechu.ca/shared/department/finance/documents/2023-03-31-audited-financial-statements.pdf</t>
        </r>
      </text>
    </comment>
    <comment ref="B70" authorId="0" shapeId="0">
      <text>
        <r>
          <rPr>
            <sz val="10"/>
            <color rgb="FF000000"/>
            <rFont val="Arial"/>
            <scheme val="minor"/>
          </rPr>
          <t>https://shared.ontariotechu.ca/shared/department/finance/documents/2023-03-31-audited-financial-statements.pdf</t>
        </r>
      </text>
    </comment>
    <comment ref="B71" authorId="0" shapeId="0">
      <text>
        <r>
          <rPr>
            <sz val="10"/>
            <color rgb="FF000000"/>
            <rFont val="Arial"/>
            <scheme val="minor"/>
          </rPr>
          <t>https://carleton.ca/financialservices/wp-content/uploads/2023-04-30-Carleton-University-FS-Final.pdf</t>
        </r>
      </text>
    </comment>
    <comment ref="B72" authorId="0" shapeId="0">
      <text>
        <r>
          <rPr>
            <sz val="10"/>
            <color rgb="FF000000"/>
            <rFont val="Arial"/>
            <scheme val="minor"/>
          </rPr>
          <t>https://carleton.ca/financialservices/wp-content/uploads/2023-04-30-Carleton-University-FS-Final.pdf</t>
        </r>
      </text>
    </comment>
    <comment ref="B73" authorId="0" shapeId="0">
      <text>
        <r>
          <rPr>
            <sz val="10"/>
            <color rgb="FF000000"/>
            <rFont val="Arial"/>
            <scheme val="minor"/>
          </rPr>
          <t>https://carleton.ca/financialservices/wp-content/uploads/2023-04-30-Carleton-University-FS-Final.pdf</t>
        </r>
      </text>
    </comment>
    <comment ref="B74" authorId="0" shapeId="0">
      <text>
        <r>
          <rPr>
            <sz val="10"/>
            <color rgb="FF000000"/>
            <rFont val="Arial"/>
            <scheme val="minor"/>
          </rPr>
          <t>https://carleton.ca/financialservices/wp-content/uploads/2023-04-30-Carleton-University-FS-Final.pdf</t>
        </r>
      </text>
    </comment>
    <comment ref="B75" authorId="0" shapeId="0">
      <text>
        <r>
          <rPr>
            <sz val="10"/>
            <color rgb="FF000000"/>
            <rFont val="Arial"/>
            <scheme val="minor"/>
          </rPr>
          <t>https://www.trentu.ca/financialservices/sites/trentu.ca.financialservices/files/documents/2023-04-30%20Audited%20Financial%20Statements%20FINAL_Signed%20with%20AR.pdf</t>
        </r>
      </text>
    </comment>
    <comment ref="B76" authorId="0" shapeId="0">
      <text>
        <r>
          <rPr>
            <sz val="10"/>
            <color rgb="FF000000"/>
            <rFont val="Arial"/>
            <scheme val="minor"/>
          </rPr>
          <t>https://www.trentu.ca/financialservices/sites/trentu.ca.financialservices/files/documents/2023-04-30%20Audited%20Financial%20Statements%20FINAL_Signed%20with%20AR.pdf</t>
        </r>
      </text>
    </comment>
    <comment ref="B77" authorId="0" shapeId="0">
      <text>
        <r>
          <rPr>
            <sz val="10"/>
            <color rgb="FF000000"/>
            <rFont val="Arial"/>
            <scheme val="minor"/>
          </rPr>
          <t>https://www.trentu.ca/financialservices/sites/trentu.ca.financialservices/files/documents/2023-04-30%20Audited%20Financial%20Statements%20FINAL_Signed%20with%20AR.pdf</t>
        </r>
      </text>
    </comment>
    <comment ref="B78" authorId="0" shapeId="0">
      <text>
        <r>
          <rPr>
            <sz val="10"/>
            <color rgb="FF000000"/>
            <rFont val="Arial"/>
            <scheme val="minor"/>
          </rPr>
          <t>https://www.trentu.ca/financialservices/sites/trentu.ca.financialservices/files/documents/2023-04-30%20Audited%20Financial%20Statements%20FINAL_Signed%20with%20AR.pdf</t>
        </r>
      </text>
    </comment>
    <comment ref="B79" authorId="0" shapeId="0">
      <text>
        <r>
          <rPr>
            <sz val="10"/>
            <color rgb="FF000000"/>
            <rFont val="Arial"/>
            <scheme val="minor"/>
          </rPr>
          <t>https://brocku.ca/about/wp-content/uploads/primary-site/sites/8/2023-04-30-Brock-University.pdf</t>
        </r>
      </text>
    </comment>
    <comment ref="B80" authorId="0" shapeId="0">
      <text>
        <r>
          <rPr>
            <sz val="10"/>
            <color rgb="FF000000"/>
            <rFont val="Arial"/>
            <scheme val="minor"/>
          </rPr>
          <t>https://brocku.ca/about/wp-content/uploads/primary-site/sites/8/2023-04-30-Brock-University.pdf</t>
        </r>
      </text>
    </comment>
    <comment ref="B81" authorId="0" shapeId="0">
      <text>
        <r>
          <rPr>
            <sz val="10"/>
            <color rgb="FF000000"/>
            <rFont val="Arial"/>
            <scheme val="minor"/>
          </rPr>
          <t>https://brocku.ca/about/wp-content/uploads/primary-site/sites/8/2023-04-30-Brock-University.pdf</t>
        </r>
      </text>
    </comment>
    <comment ref="B82" authorId="0" shapeId="0">
      <text>
        <r>
          <rPr>
            <sz val="10"/>
            <color rgb="FF000000"/>
            <rFont val="Arial"/>
            <scheme val="minor"/>
          </rPr>
          <t>https://brocku.ca/about/wp-content/uploads/primary-site/sites/8/2023-04-30-Brock-University.pdf</t>
        </r>
      </text>
    </comment>
    <comment ref="B83" authorId="0" shapeId="0">
      <text>
        <r>
          <rPr>
            <sz val="10"/>
            <color rgb="FF000000"/>
            <rFont val="Arial"/>
            <scheme val="minor"/>
          </rPr>
          <t>https://finance.utoronto.ca/wp-content/uploads/2023f.pdf</t>
        </r>
      </text>
    </comment>
    <comment ref="K83" authorId="0" shapeId="0">
      <text>
        <r>
          <rPr>
            <sz val="10"/>
            <color rgb="FF000000"/>
            <rFont val="Arial"/>
            <scheme val="minor"/>
          </rPr>
          <t>These fees are estimated from living cost calculator</t>
        </r>
      </text>
    </comment>
    <comment ref="B84" authorId="0" shapeId="0">
      <text>
        <r>
          <rPr>
            <sz val="10"/>
            <color rgb="FF000000"/>
            <rFont val="Arial"/>
            <scheme val="minor"/>
          </rPr>
          <t>https://finance.utoronto.ca/wp-content/uploads/2023f.pdf</t>
        </r>
      </text>
    </comment>
    <comment ref="B85" authorId="0" shapeId="0">
      <text>
        <r>
          <rPr>
            <sz val="10"/>
            <color rgb="FF000000"/>
            <rFont val="Arial"/>
            <scheme val="minor"/>
          </rPr>
          <t>https://finance.utoronto.ca/wp-content/uploads/2023f.pdf</t>
        </r>
      </text>
    </comment>
    <comment ref="B86" authorId="0" shapeId="0">
      <text>
        <r>
          <rPr>
            <sz val="10"/>
            <color rgb="FF000000"/>
            <rFont val="Arial"/>
            <scheme val="minor"/>
          </rPr>
          <t>https://finance.utoronto.ca/wp-content/uploads/2023f.pdf</t>
        </r>
      </text>
    </comment>
    <comment ref="B87" authorId="0" shapeId="0">
      <text>
        <r>
          <rPr>
            <sz val="10"/>
            <color rgb="FF000000"/>
            <rFont val="Arial"/>
            <scheme val="minor"/>
          </rPr>
          <t>https://www.yorku.ca/finance/wp-content/uploads/sites/76/2023/07/2023-York-University-Consolidated-Financial-Statements.pdf</t>
        </r>
      </text>
    </comment>
    <comment ref="B88" authorId="0" shapeId="0">
      <text>
        <r>
          <rPr>
            <sz val="10"/>
            <color rgb="FF000000"/>
            <rFont val="Arial"/>
            <scheme val="minor"/>
          </rPr>
          <t>https://www.yorku.ca/finance/wp-content/uploads/sites/76/2023/07/2023-York-University-Consolidated-Financial-Statements.pdf</t>
        </r>
      </text>
    </comment>
    <comment ref="B89" authorId="0" shapeId="0">
      <text>
        <r>
          <rPr>
            <sz val="10"/>
            <color rgb="FF000000"/>
            <rFont val="Arial"/>
            <scheme val="minor"/>
          </rPr>
          <t>https://www.yorku.ca/finance/wp-content/uploads/sites/76/2023/07/2023-York-University-Consolidated-Financial-Statements.pdf</t>
        </r>
      </text>
    </comment>
    <comment ref="B90" authorId="0" shapeId="0">
      <text>
        <r>
          <rPr>
            <sz val="10"/>
            <color rgb="FF000000"/>
            <rFont val="Arial"/>
            <scheme val="minor"/>
          </rPr>
          <t>https://www.yorku.ca/finance/wp-content/uploads/sites/76/2023/07/2023-York-University-Consolidated-Financial-Statements.pdf</t>
        </r>
      </text>
    </comment>
    <comment ref="B91" authorId="0" shapeId="0">
      <text>
        <r>
          <rPr>
            <sz val="10"/>
            <color rgb="FF000000"/>
            <rFont val="Arial"/>
            <scheme val="minor"/>
          </rPr>
          <t>https://www.torontomu.ca/content/dam/financial-services/reporting/docs/tmu-university-consolidated-financial-statements-2023.pdf</t>
        </r>
      </text>
    </comment>
    <comment ref="B92" authorId="0" shapeId="0">
      <text>
        <r>
          <rPr>
            <sz val="10"/>
            <color rgb="FF000000"/>
            <rFont val="Arial"/>
            <scheme val="minor"/>
          </rPr>
          <t>https://www.torontomu.ca/content/dam/financial-services/reporting/docs/tmu-university-consolidated-financial-statements-2023.pdf</t>
        </r>
      </text>
    </comment>
    <comment ref="B93" authorId="0" shapeId="0">
      <text>
        <r>
          <rPr>
            <sz val="10"/>
            <color rgb="FF000000"/>
            <rFont val="Arial"/>
            <scheme val="minor"/>
          </rPr>
          <t>https://www.torontomu.ca/content/dam/financial-services/reporting/docs/tmu-university-consolidated-financial-statements-2023.pdf</t>
        </r>
      </text>
    </comment>
    <comment ref="B94" authorId="0" shapeId="0">
      <text>
        <r>
          <rPr>
            <sz val="10"/>
            <color rgb="FF000000"/>
            <rFont val="Arial"/>
            <scheme val="minor"/>
          </rPr>
          <t>https://www.torontomu.ca/content/dam/financial-services/reporting/docs/tmu-university-consolidated-financial-statements-2023.pdf</t>
        </r>
      </text>
    </comment>
    <comment ref="B95" authorId="0" shapeId="0">
      <text>
        <r>
          <rPr>
            <sz val="10"/>
            <color rgb="FF000000"/>
            <rFont val="Arial"/>
            <scheme val="minor"/>
          </rPr>
          <t>https://uwaterloo.ca/finance/sites/default/files/uploads/documents/april-30-2023.pdf</t>
        </r>
      </text>
    </comment>
    <comment ref="B96" authorId="0" shapeId="0">
      <text>
        <r>
          <rPr>
            <sz val="10"/>
            <color rgb="FF000000"/>
            <rFont val="Arial"/>
            <scheme val="minor"/>
          </rPr>
          <t>https://uwaterloo.ca/finance/sites/default/files/uploads/documents/april-30-2023.pdf</t>
        </r>
      </text>
    </comment>
    <comment ref="B97" authorId="0" shapeId="0">
      <text>
        <r>
          <rPr>
            <sz val="10"/>
            <color rgb="FF000000"/>
            <rFont val="Arial"/>
            <scheme val="minor"/>
          </rPr>
          <t>https://uwaterloo.ca/finance/sites/default/files/uploads/documents/april-30-2023.pdf</t>
        </r>
      </text>
    </comment>
    <comment ref="B98" authorId="0" shapeId="0">
      <text>
        <r>
          <rPr>
            <sz val="10"/>
            <color rgb="FF000000"/>
            <rFont val="Arial"/>
            <scheme val="minor"/>
          </rPr>
          <t>https://uwaterloo.ca/finance/sites/default/files/uploads/documents/april-30-2023.pdf</t>
        </r>
      </text>
    </comment>
    <comment ref="B99" authorId="0" shapeId="0">
      <text>
        <r>
          <rPr>
            <sz val="10"/>
            <color rgb="FF000000"/>
            <rFont val="Arial"/>
            <scheme val="minor"/>
          </rPr>
          <t>https://www.wlu.ca/about/public-accountability/assets/documents/financial-statements/2022-23-financial-statements.pdf</t>
        </r>
      </text>
    </comment>
    <comment ref="B100" authorId="0" shapeId="0">
      <text>
        <r>
          <rPr>
            <sz val="10"/>
            <color rgb="FF000000"/>
            <rFont val="Arial"/>
            <scheme val="minor"/>
          </rPr>
          <t>https://www.wlu.ca/about/public-accountability/assets/documents/financial-statements/2022-23-financial-statements.pdf</t>
        </r>
      </text>
    </comment>
    <comment ref="B101" authorId="0" shapeId="0">
      <text>
        <r>
          <rPr>
            <sz val="10"/>
            <color rgb="FF000000"/>
            <rFont val="Arial"/>
            <scheme val="minor"/>
          </rPr>
          <t>https://www.uwindsor.ca/finance/sites/uwindsor.ca.finance/files/2023-04-30_uw_financial_statements_-_final_approved_0.pdf</t>
        </r>
      </text>
    </comment>
    <comment ref="B102" authorId="0" shapeId="0">
      <text>
        <r>
          <rPr>
            <sz val="10"/>
            <color rgb="FF000000"/>
            <rFont val="Arial"/>
            <scheme val="minor"/>
          </rPr>
          <t>https://www.uwindsor.ca/finance/sites/uwindsor.ca.finance/files/2023-04-30_uw_financial_statements_-_final_approved_0.pdf</t>
        </r>
      </text>
    </comment>
    <comment ref="B103" authorId="0" shapeId="0">
      <text>
        <r>
          <rPr>
            <sz val="10"/>
            <color rgb="FF000000"/>
            <rFont val="Arial"/>
            <scheme val="minor"/>
          </rPr>
          <t>https://www.uwindsor.ca/finance/sites/uwindsor.ca.finance/files/2023-04-30_uw_financial_statements_-_final_approved_0.pdf</t>
        </r>
      </text>
    </comment>
    <comment ref="B104" authorId="0" shapeId="0">
      <text>
        <r>
          <rPr>
            <sz val="10"/>
            <color rgb="FF000000"/>
            <rFont val="Arial"/>
            <scheme val="minor"/>
          </rPr>
          <t>https://www.uwindsor.ca/finance/sites/uwindsor.ca.finance/files/2023-04-30_uw_financial_statements_-_final_approved_0.pdf</t>
        </r>
      </text>
    </comment>
    <comment ref="B105" authorId="0" shapeId="0">
      <text>
        <r>
          <rPr>
            <sz val="10"/>
            <color rgb="FF000000"/>
            <rFont val="Arial"/>
            <scheme val="minor"/>
          </rPr>
          <t>https://www.mcgill.ca/vpadmin/files/vpadmin/the_royal_institution_for_the_advancement_of_learning_-_mcgill_university_-_2023-04-30_-_fs_-_final.pdf</t>
        </r>
      </text>
    </comment>
    <comment ref="B106" authorId="0" shapeId="0">
      <text>
        <r>
          <rPr>
            <sz val="10"/>
            <color rgb="FF000000"/>
            <rFont val="Arial"/>
            <scheme val="minor"/>
          </rPr>
          <t>https://www.mcgill.ca/vpadmin/files/vpadmin/the_royal_institution_for_the_advancement_of_learning_-_mcgill_university_-_2023-04-30_-_fs_-_final.pdf</t>
        </r>
      </text>
    </comment>
    <comment ref="B107" authorId="0" shapeId="0">
      <text>
        <r>
          <rPr>
            <sz val="10"/>
            <color rgb="FF000000"/>
            <rFont val="Arial"/>
            <scheme val="minor"/>
          </rPr>
          <t>https://www.mcgill.ca/vpadmin/files/vpadmin/the_royal_institution_for_the_advancement_of_learning_-_mcgill_university_-_2023-04-30_-_fs_-_final.pdf</t>
        </r>
      </text>
    </comment>
    <comment ref="B108" authorId="0" shapeId="0">
      <text>
        <r>
          <rPr>
            <sz val="10"/>
            <color rgb="FF000000"/>
            <rFont val="Arial"/>
            <scheme val="minor"/>
          </rPr>
          <t>https://www.mcgill.ca/vpadmin/files/vpadmin/the_royal_institution_for_the_advancement_of_learning_-_mcgill_university_-_2023-04-30_-_fs_-_final.pdf</t>
        </r>
      </text>
    </comment>
    <comment ref="B109" authorId="0" shapeId="0">
      <text>
        <r>
          <rPr>
            <sz val="10"/>
            <color rgb="FF000000"/>
            <rFont val="Arial"/>
            <scheme val="minor"/>
          </rPr>
          <t>https://fin.umontreal.ca/direction-finances/etats-financiers/documents/ef_udem_2023anglais.pdf</t>
        </r>
      </text>
    </comment>
    <comment ref="B110" authorId="0" shapeId="0">
      <text>
        <r>
          <rPr>
            <sz val="10"/>
            <color rgb="FF000000"/>
            <rFont val="Arial"/>
            <scheme val="minor"/>
          </rPr>
          <t>https://fin.umontreal.ca/direction-finances/etats-financiers/documents/ef_udem_2023anglais.pdf</t>
        </r>
      </text>
    </comment>
    <comment ref="B111" authorId="0" shapeId="0">
      <text>
        <r>
          <rPr>
            <sz val="10"/>
            <color rgb="FF000000"/>
            <rFont val="Arial"/>
            <scheme val="minor"/>
          </rPr>
          <t>https://fin.umontreal.ca/direction-finances/etats-financiers/documents/ef_udem_2023anglais.pdf</t>
        </r>
      </text>
    </comment>
    <comment ref="B112" authorId="0" shapeId="0">
      <text>
        <r>
          <rPr>
            <sz val="10"/>
            <color rgb="FF000000"/>
            <rFont val="Arial"/>
            <scheme val="minor"/>
          </rPr>
          <t>https://fin.umontreal.ca/direction-finances/etats-financiers/documents/ef_udem_2023anglais.pdf</t>
        </r>
      </text>
    </comment>
    <comment ref="B113" authorId="0" shapeId="0">
      <text>
        <r>
          <rPr>
            <sz val="10"/>
            <color rgb="FF000000"/>
            <rFont val="Arial"/>
            <scheme val="minor"/>
          </rPr>
          <t>https://www.concordia.ca/content/dam/concordia/services/financial/docs/2023-04-30_Concordia_University_ACFSFINAL.pdf</t>
        </r>
      </text>
    </comment>
    <comment ref="B114" authorId="0" shapeId="0">
      <text>
        <r>
          <rPr>
            <sz val="10"/>
            <color rgb="FF000000"/>
            <rFont val="Arial"/>
            <scheme val="minor"/>
          </rPr>
          <t>https://www.concordia.ca/content/dam/concordia/services/financial/docs/2023-04-30_Concordia_University_ACFSFINAL.pdf</t>
        </r>
      </text>
    </comment>
    <comment ref="B115" authorId="0" shapeId="0">
      <text>
        <r>
          <rPr>
            <sz val="10"/>
            <color rgb="FF000000"/>
            <rFont val="Arial"/>
            <scheme val="minor"/>
          </rPr>
          <t>https://www.concordia.ca/content/dam/concordia/services/financial/docs/2023-04-30_Concordia_University_ACFSFINAL.pdf</t>
        </r>
      </text>
    </comment>
    <comment ref="B116" authorId="0" shapeId="0">
      <text>
        <r>
          <rPr>
            <sz val="10"/>
            <color rgb="FF000000"/>
            <rFont val="Arial"/>
            <scheme val="minor"/>
          </rPr>
          <t>https://www.concordia.ca/content/dam/concordia/services/financial/docs/2023-04-30_Concordia_University_ACFSFINAL.pdf</t>
        </r>
      </text>
    </comment>
    <comment ref="B117" authorId="0" shapeId="0">
      <text>
        <r>
          <rPr>
            <sz val="10"/>
            <color rgb="FF000000"/>
            <rFont val="Arial"/>
            <scheme val="minor"/>
          </rPr>
          <t>https://services-medias.uqam.ca/media/uploads/sites/17/2023/10/13131607/UQAM-Etats-financiers-30.04.2023.pdf</t>
        </r>
      </text>
    </comment>
    <comment ref="B118" authorId="0" shapeId="0">
      <text>
        <r>
          <rPr>
            <sz val="10"/>
            <color rgb="FF000000"/>
            <rFont val="Arial"/>
            <scheme val="minor"/>
          </rPr>
          <t>https://services-medias.uqam.ca/media/uploads/sites/17/2023/10/13131607/UQAM-Etats-financiers-30.04.2023.pdf</t>
        </r>
      </text>
    </comment>
    <comment ref="B119" authorId="0" shapeId="0">
      <text>
        <r>
          <rPr>
            <sz val="10"/>
            <color rgb="FF000000"/>
            <rFont val="Arial"/>
            <scheme val="minor"/>
          </rPr>
          <t>https://services-medias.uqam.ca/media/uploads/sites/17/2023/10/13131607/UQAM-Etats-financiers-30.04.2023.pdf</t>
        </r>
      </text>
    </comment>
    <comment ref="B120" authorId="0" shapeId="0">
      <text>
        <r>
          <rPr>
            <sz val="10"/>
            <color rgb="FF000000"/>
            <rFont val="Arial"/>
            <scheme val="minor"/>
          </rPr>
          <t>https://services-medias.uqam.ca/media/uploads/sites/17/2023/10/13131607/UQAM-Etats-financiers-30.04.2023.pdf</t>
        </r>
      </text>
    </comment>
    <comment ref="B121" authorId="0" shapeId="0">
      <text>
        <r>
          <rPr>
            <sz val="10"/>
            <color rgb="FF000000"/>
            <rFont val="Arial"/>
            <scheme val="minor"/>
          </rPr>
          <t>https://www.ulaval.ca/sites/default/files/notre-universite/direction-gouv/Documents_officiels/Budget_et_etats_financiers_Universite_Laval/Financial_Statements_UL_2023-04-30.pdf</t>
        </r>
      </text>
    </comment>
    <comment ref="B122" authorId="0" shapeId="0">
      <text>
        <r>
          <rPr>
            <sz val="10"/>
            <color rgb="FF000000"/>
            <rFont val="Arial"/>
            <scheme val="minor"/>
          </rPr>
          <t>https://www.ulaval.ca/sites/default/files/notre-universite/direction-gouv/Documents_officiels/Budget_et_etats_financiers_Universite_Laval/Financial_Statements_UL_2023-04-30.pdf</t>
        </r>
      </text>
    </comment>
    <comment ref="B123" authorId="0" shapeId="0">
      <text>
        <r>
          <rPr>
            <sz val="10"/>
            <color rgb="FF000000"/>
            <rFont val="Arial"/>
            <scheme val="minor"/>
          </rPr>
          <t>https://www.ulaval.ca/sites/default/files/notre-universite/direction-gouv/Documents_officiels/Budget_et_etats_financiers_Universite_Laval/Financial_Statements_UL_2023-04-30.pdf</t>
        </r>
      </text>
    </comment>
    <comment ref="B124" authorId="0" shapeId="0">
      <text>
        <r>
          <rPr>
            <sz val="10"/>
            <color rgb="FF000000"/>
            <rFont val="Arial"/>
            <scheme val="minor"/>
          </rPr>
          <t>https://www.ulaval.ca/sites/default/files/notre-universite/direction-gouv/Documents_officiels/Budget_et_etats_financiers_Universite_Laval/Financial_Statements_UL_2023-04-30.pdf</t>
        </r>
      </text>
    </comment>
    <comment ref="B125" authorId="0" shapeId="0">
      <text>
        <r>
          <rPr>
            <sz val="10"/>
            <color rgb="FF000000"/>
            <rFont val="Arial"/>
            <scheme val="minor"/>
          </rPr>
          <t>https://www.usherbrooke.ca/decouvrir/fileadmin/sites/decouvrir/documents/direction/etats-financiers/etats_financiers_2023-04-30_english_version.pdf</t>
        </r>
      </text>
    </comment>
    <comment ref="B126" authorId="0" shapeId="0">
      <text>
        <r>
          <rPr>
            <sz val="10"/>
            <color rgb="FF000000"/>
            <rFont val="Arial"/>
            <scheme val="minor"/>
          </rPr>
          <t>https://www.usherbrooke.ca/decouvrir/fileadmin/sites/decouvrir/documents/direction/etats-financiers/etats_financiers_2023-04-30_english_version.pdf</t>
        </r>
      </text>
    </comment>
    <comment ref="B127" authorId="0" shapeId="0">
      <text>
        <r>
          <rPr>
            <sz val="10"/>
            <color rgb="FF000000"/>
            <rFont val="Arial"/>
            <scheme val="minor"/>
          </rPr>
          <t>https://www.usherbrooke.ca/decouvrir/fileadmin/sites/decouvrir/documents/direction/etats-financiers/etats_financiers_2023-04-30_english_version.pdf</t>
        </r>
      </text>
    </comment>
    <comment ref="B128" authorId="0" shapeId="0">
      <text>
        <r>
          <rPr>
            <sz val="10"/>
            <color rgb="FF000000"/>
            <rFont val="Arial"/>
            <scheme val="minor"/>
          </rPr>
          <t>https://www.usherbrooke.ca/decouvrir/fileadmin/sites/decouvrir/documents/direction/etats-financiers/etats_financiers_2023-04-30_english_version.pdf</t>
        </r>
      </text>
    </comment>
    <comment ref="B129" authorId="0" shapeId="0">
      <text>
        <r>
          <rPr>
            <sz val="10"/>
            <color rgb="FF000000"/>
            <rFont val="Arial"/>
            <scheme val="minor"/>
          </rPr>
          <t>https://www.uregina.ca/fs/assets/docs/pdf/annual-reports/annual_report-2022-23.pdf</t>
        </r>
      </text>
    </comment>
    <comment ref="B130" authorId="0" shapeId="0">
      <text>
        <r>
          <rPr>
            <sz val="10"/>
            <color rgb="FF000000"/>
            <rFont val="Arial"/>
            <scheme val="minor"/>
          </rPr>
          <t>https://www.uregina.ca/fs/assets/docs/pdf/annual-reports/annual_report-2022-23.pdf</t>
        </r>
      </text>
    </comment>
    <comment ref="B131" authorId="0" shapeId="0">
      <text>
        <r>
          <rPr>
            <sz val="10"/>
            <color rgb="FF000000"/>
            <rFont val="Arial"/>
            <scheme val="minor"/>
          </rPr>
          <t>https://www.uregina.ca/fs/assets/docs/pdf/annual-reports/annual_report-2022-23.pdf</t>
        </r>
      </text>
    </comment>
    <comment ref="B132" authorId="0" shapeId="0">
      <text>
        <r>
          <rPr>
            <sz val="10"/>
            <color rgb="FF000000"/>
            <rFont val="Arial"/>
            <scheme val="minor"/>
          </rPr>
          <t>https://www.uregina.ca/fs/assets/docs/pdf/annual-reports/annual_report-2022-23.pdf</t>
        </r>
      </text>
    </comment>
    <comment ref="B133" authorId="0" shapeId="0">
      <text>
        <r>
          <rPr>
            <sz val="10"/>
            <color rgb="FF000000"/>
            <rFont val="Arial"/>
            <scheme val="minor"/>
          </rPr>
          <t>https://leadership.usask.ca/documents/administration/annual_report_2022-23.pdf</t>
        </r>
      </text>
    </comment>
    <comment ref="B134" authorId="0" shapeId="0">
      <text>
        <r>
          <rPr>
            <sz val="10"/>
            <color rgb="FF000000"/>
            <rFont val="Arial"/>
            <scheme val="minor"/>
          </rPr>
          <t>https://leadership.usask.ca/documents/administration/annual_report_2022-23.pdf</t>
        </r>
      </text>
    </comment>
    <comment ref="B135" authorId="0" shapeId="0">
      <text>
        <r>
          <rPr>
            <sz val="10"/>
            <color rgb="FF000000"/>
            <rFont val="Arial"/>
            <scheme val="minor"/>
          </rPr>
          <t>https://leadership.usask.ca/documents/administration/annual_report_2022-23.pdf</t>
        </r>
      </text>
    </comment>
    <comment ref="B136" authorId="0" shapeId="0">
      <text>
        <r>
          <rPr>
            <sz val="10"/>
            <color rgb="FF000000"/>
            <rFont val="Arial"/>
            <scheme val="minor"/>
          </rPr>
          <t>https://leadership.usask.ca/documents/administration/annual_report_2022-23.pdf</t>
        </r>
      </text>
    </comment>
    <comment ref="B141" authorId="0" shapeId="0">
      <text>
        <r>
          <rPr>
            <sz val="10"/>
            <color rgb="FF000000"/>
            <rFont val="Arial"/>
            <scheme val="minor"/>
          </rPr>
          <t>https://www.uwinnipeg.ca/financial-services/docs/uw-annual-report-2023f-web-version_final.pdf</t>
        </r>
      </text>
    </comment>
  </commentList>
</comments>
</file>

<file path=xl/comments2.xml><?xml version="1.0" encoding="utf-8"?>
<comments xmlns="http://schemas.openxmlformats.org/spreadsheetml/2006/main">
  <authors>
    <author/>
  </authors>
  <commentList>
    <comment ref="E1" authorId="0" shapeId="0">
      <text>
        <r>
          <rPr>
            <sz val="10"/>
            <color rgb="FF000000"/>
            <rFont val="Arial"/>
            <scheme val="minor"/>
          </rPr>
          <t>The Department/course to find the closest equivalent to in the university. If its unclear choose a department within the correct faculty.</t>
        </r>
      </text>
    </comment>
    <comment ref="F1" authorId="0" shapeId="0">
      <text>
        <r>
          <rPr>
            <sz val="10"/>
            <color rgb="FF000000"/>
            <rFont val="Arial"/>
            <scheme val="minor"/>
          </rPr>
          <t>The Faculty of the department</t>
        </r>
      </text>
    </comment>
    <comment ref="G1" authorId="0" shapeId="0">
      <text>
        <r>
          <rPr>
            <sz val="10"/>
            <color rgb="FF000000"/>
            <rFont val="Arial"/>
            <scheme val="minor"/>
          </rPr>
          <t>The actual name of the department at this institution</t>
        </r>
      </text>
    </comment>
    <comment ref="I1" authorId="0" shapeId="0">
      <text>
        <r>
          <rPr>
            <sz val="10"/>
            <color rgb="FF000000"/>
            <rFont val="Arial"/>
            <scheme val="minor"/>
          </rPr>
          <t>The departmental homepage</t>
        </r>
      </text>
    </comment>
    <comment ref="J1" authorId="0" shapeId="0">
      <text>
        <r>
          <rPr>
            <sz val="10"/>
            <color rgb="FF000000"/>
            <rFont val="Arial"/>
            <scheme val="minor"/>
          </rPr>
          <t>Emails of Department Chair, Chair of Graduate Studies or generic departmental email address</t>
        </r>
      </text>
    </comment>
    <comment ref="L1" authorId="0" shapeId="0">
      <text>
        <r>
          <rPr>
            <sz val="10"/>
            <color rgb="FF000000"/>
            <rFont val="Arial"/>
            <scheme val="minor"/>
          </rPr>
          <t>Check if the department was emailed to obtain some data</t>
        </r>
      </text>
    </comment>
    <comment ref="M1" authorId="0" shapeId="0">
      <text>
        <r>
          <rPr>
            <sz val="10"/>
            <color rgb="FF000000"/>
            <rFont val="Arial"/>
            <scheme val="minor"/>
          </rPr>
          <t>Check if the department has been emailed to confirm the accuracy of publically available data</t>
        </r>
      </text>
    </comment>
    <comment ref="N1" authorId="0" shapeId="0">
      <text>
        <r>
          <rPr>
            <sz val="10"/>
            <color rgb="FF000000"/>
            <rFont val="Arial"/>
            <scheme val="minor"/>
          </rPr>
          <t>Total tuition for the 1st year of study for an in province domestic student in 2023/24. This should not include ancillary fees - if that information is the only easily accessible fill in that column instead.</t>
        </r>
      </text>
    </comment>
    <comment ref="O1" authorId="0" shapeId="0">
      <text>
        <r>
          <rPr>
            <sz val="10"/>
            <color rgb="FF000000"/>
            <rFont val="Arial"/>
            <scheme val="minor"/>
          </rPr>
          <t>Ancillary fees for a 1st year in province domestic student</t>
        </r>
      </text>
    </comment>
    <comment ref="P1" authorId="0" shapeId="0">
      <text>
        <r>
          <rPr>
            <sz val="10"/>
            <color rgb="FF000000"/>
            <rFont val="Arial"/>
            <scheme val="minor"/>
          </rPr>
          <t>Sum of Tuition and Anciallary Fees for an in province 1st year domestic student.</t>
        </r>
      </text>
    </comment>
    <comment ref="Q1" authorId="0" shapeId="0">
      <text>
        <r>
          <rPr>
            <sz val="10"/>
            <color rgb="FF000000"/>
            <rFont val="Arial"/>
            <scheme val="minor"/>
          </rPr>
          <t>Tuition of a 1st year domestic student out of province in 2023/24. This will not apply to all institutions - if not leave blank.</t>
        </r>
      </text>
    </comment>
    <comment ref="R1" authorId="0" shapeId="0">
      <text>
        <r>
          <rPr>
            <sz val="10"/>
            <color rgb="FF000000"/>
            <rFont val="Arial"/>
            <scheme val="minor"/>
          </rPr>
          <t>Is there any kind of automatic waiver or scholarship to mitigate the effect of increased tuition for OOP students. If this is done at the department level then this is considered to be part of the stipend.
If there is a full waiver add Full. Else write the dollar value of the waiver/scholarship.</t>
        </r>
      </text>
    </comment>
    <comment ref="S1" authorId="0" shapeId="0">
      <text>
        <r>
          <rPr>
            <sz val="10"/>
            <color rgb="FF000000"/>
            <rFont val="Arial"/>
            <scheme val="minor"/>
          </rPr>
          <t>Tuition for a 1st year international student in 2023/24</t>
        </r>
      </text>
    </comment>
    <comment ref="T1" authorId="0" shapeId="0">
      <text>
        <r>
          <rPr>
            <sz val="10"/>
            <color rgb="FF000000"/>
            <rFont val="Arial"/>
            <scheme val="minor"/>
          </rPr>
          <t>Ancillary Fees for 1st year international student including health insurance.</t>
        </r>
      </text>
    </comment>
    <comment ref="V1" authorId="0" shapeId="0">
      <text>
        <r>
          <rPr>
            <sz val="10"/>
            <color rgb="FF000000"/>
            <rFont val="Arial"/>
            <scheme val="minor"/>
          </rPr>
          <t>Is there any kind of automatic waiver or scholarship to mitigate the effect of increased tuition for international students. If this is done at the department level then this is considered to be part of the stipend.
If there is a full waiver add Full. Else write the dollar value of the waiver/scholarship.</t>
        </r>
      </text>
    </comment>
    <comment ref="W1" authorId="0" shapeId="0">
      <text>
        <r>
          <rPr>
            <sz val="10"/>
            <color rgb="FF000000"/>
            <rFont val="Arial"/>
            <scheme val="minor"/>
          </rPr>
          <t>Is funding guaranteed for students admitted to the program?</t>
        </r>
      </text>
    </comment>
    <comment ref="X1" authorId="0" shapeId="0">
      <text>
        <r>
          <rPr>
            <sz val="10"/>
            <color rgb="FF000000"/>
            <rFont val="Arial"/>
            <scheme val="minor"/>
          </rPr>
          <t>How many years is funding guaranteed for?</t>
        </r>
      </text>
    </comment>
    <comment ref="Y1" authorId="0" shapeId="0">
      <text>
        <r>
          <rPr>
            <sz val="10"/>
            <color rgb="FF000000"/>
            <rFont val="Arial"/>
            <scheme val="minor"/>
          </rPr>
          <t>What is the minimum guaranteed stipend for a 1st year domestic student before tuition and other fees. Include any salaray from TAing or RAing if it is guaranteed.
It is possible that only net stipend (after tuition) is listed in which case leave this blank.</t>
        </r>
      </text>
    </comment>
    <comment ref="Z1" authorId="0" shapeId="0">
      <text>
        <r>
          <rPr>
            <sz val="10"/>
            <color rgb="FF000000"/>
            <rFont val="Arial"/>
            <scheme val="minor"/>
          </rPr>
          <t>The minimum guaranteed stipend for a 1st year in province domestic student after tuition and mandatory fees.
If a figure is given that is unclear if ancillary fees are accounted for or not just add a note but write down the number.</t>
        </r>
      </text>
    </comment>
    <comment ref="AA1" authorId="0" shapeId="0">
      <text>
        <r>
          <rPr>
            <sz val="10"/>
            <color rgb="FF000000"/>
            <rFont val="Arial"/>
            <scheme val="minor"/>
          </rPr>
          <t>What is the minimum guaranteed stipend for a 1st year international student before tuition and other fees. Include any salaray from TAing or RAing if it is guaranteed.
It is possible that only net stipend (after tuition) is listed in which case leave this blank.</t>
        </r>
      </text>
    </comment>
    <comment ref="AB1" authorId="0" shapeId="0">
      <text>
        <r>
          <rPr>
            <sz val="10"/>
            <color rgb="FF000000"/>
            <rFont val="Arial"/>
            <scheme val="minor"/>
          </rPr>
          <t>The minimum guaranteed stipend for a 1st year international student after tuition and mandatory fees.
If a figure is given that is unclear if ancillary fees are accounted for or not just add a note but write down the number.</t>
        </r>
      </text>
    </comment>
    <comment ref="AC1" authorId="0" shapeId="0">
      <text>
        <r>
          <rPr>
            <sz val="10"/>
            <color rgb="FF000000"/>
            <rFont val="Arial"/>
            <scheme val="minor"/>
          </rPr>
          <t>What is the minimum guaranteed stipend for a 1st year out of province domestic student before tuition and other fees. Include any salaray from TAing or RAing if it is guaranteed.
It is possible that only net stipend (after tuition) is listed in which case leave this blank.
This is likely to be blank for many institutions.</t>
        </r>
      </text>
    </comment>
    <comment ref="AD1" authorId="0" shapeId="0">
      <text>
        <r>
          <rPr>
            <sz val="10"/>
            <color rgb="FF000000"/>
            <rFont val="Arial"/>
            <scheme val="minor"/>
          </rPr>
          <t>The minimum guaranteed stipend for a 1st year OOP domestic student after tuition and mandatory fees.
If a figure is given that is unclear if ancillary fees are accounted for or not just add a note but write down the number.
This will be blank for many institutions.</t>
        </r>
      </text>
    </comment>
    <comment ref="AE1" authorId="0" shapeId="0">
      <text>
        <r>
          <rPr>
            <sz val="10"/>
            <color rgb="FF000000"/>
            <rFont val="Arial"/>
            <scheme val="minor"/>
          </rPr>
          <t>How many hours are required per year to work as a Teaching Assistant for the minimum stipend.
If no hours are required enter 0. If hours are unclear enter yes.
If TA is available but as an optional topup leave a note here.</t>
        </r>
      </text>
    </comment>
    <comment ref="AF1" authorId="0" shapeId="0">
      <text>
        <r>
          <rPr>
            <sz val="10"/>
            <color rgb="FF000000"/>
            <rFont val="Arial"/>
            <scheme val="minor"/>
          </rPr>
          <t>How many hours are required per year to work as a Research Assistant for the minimum stipend. For consistency here an RA refers to paid research work that will not be included in the graduate student's thesis. Do not include if a generic stipend is refered to as a RA by the specific institution.
If no hours are required enter 0. If hours are unclear enter yes.</t>
        </r>
      </text>
    </comment>
    <comment ref="AG1" authorId="0" shapeId="0">
      <text>
        <r>
          <rPr>
            <sz val="10"/>
            <color rgb="FF000000"/>
            <rFont val="Arial"/>
            <scheme val="minor"/>
          </rPr>
          <t>What day were the website accessed?</t>
        </r>
      </text>
    </comment>
    <comment ref="AH1" authorId="0" shapeId="0">
      <text>
        <r>
          <rPr>
            <sz val="10"/>
            <color rgb="FF000000"/>
            <rFont val="Arial"/>
            <scheme val="minor"/>
          </rPr>
          <t xml:space="preserve">What academic year is associated with the stipend numbers. In many cases this will not be clear. Leave blank. </t>
        </r>
      </text>
    </comment>
    <comment ref="AI1" authorId="0" shapeId="0">
      <text>
        <r>
          <rPr>
            <sz val="10"/>
            <color rgb="FF000000"/>
            <rFont val="Arial"/>
            <scheme val="minor"/>
          </rPr>
          <t>Include any other notes to add qualative detail to the raw numbers.
Ie. did it change recently, do most students have an admission scholarship, is there funding only for the fall and winter...</t>
        </r>
      </text>
    </comment>
  </commentList>
</comments>
</file>

<file path=xl/comments3.xml><?xml version="1.0" encoding="utf-8"?>
<comments xmlns="http://schemas.openxmlformats.org/spreadsheetml/2006/main">
  <authors>
    <author/>
  </authors>
  <commentList>
    <comment ref="A1" authorId="0" shapeId="0">
      <text>
        <r>
          <rPr>
            <sz val="10"/>
            <color rgb="FF000000"/>
            <rFont val="Arial"/>
            <scheme val="minor"/>
          </rPr>
          <t>This sheet is to be used for information that has been supplied when we requested it.
	-Thomas Bailey</t>
        </r>
      </text>
    </comment>
    <comment ref="E1" authorId="0" shapeId="0">
      <text>
        <r>
          <rPr>
            <sz val="10"/>
            <color rgb="FF000000"/>
            <rFont val="Arial"/>
            <scheme val="minor"/>
          </rPr>
          <t>The Department/course to find the closest equivalent to in the university. If its unclear choose a department within the correct faculty.</t>
        </r>
      </text>
    </comment>
    <comment ref="F1" authorId="0" shapeId="0">
      <text>
        <r>
          <rPr>
            <sz val="10"/>
            <color rgb="FF000000"/>
            <rFont val="Arial"/>
            <scheme val="minor"/>
          </rPr>
          <t>The Faculty of the department</t>
        </r>
      </text>
    </comment>
    <comment ref="G1" authorId="0" shapeId="0">
      <text>
        <r>
          <rPr>
            <sz val="10"/>
            <color rgb="FF000000"/>
            <rFont val="Arial"/>
            <scheme val="minor"/>
          </rPr>
          <t>The actual name of the department at this institution</t>
        </r>
      </text>
    </comment>
    <comment ref="I1" authorId="0" shapeId="0">
      <text>
        <r>
          <rPr>
            <sz val="10"/>
            <color rgb="FF000000"/>
            <rFont val="Arial"/>
            <scheme val="minor"/>
          </rPr>
          <t>The departmental homepage</t>
        </r>
      </text>
    </comment>
    <comment ref="J1" authorId="0" shapeId="0">
      <text>
        <r>
          <rPr>
            <sz val="10"/>
            <color rgb="FF000000"/>
            <rFont val="Arial"/>
            <scheme val="minor"/>
          </rPr>
          <t>Emails of Department Chair, Chair of Graduate Studies or generic departmental email address</t>
        </r>
      </text>
    </comment>
    <comment ref="L1" authorId="0" shapeId="0">
      <text>
        <r>
          <rPr>
            <sz val="10"/>
            <color rgb="FF000000"/>
            <rFont val="Arial"/>
            <scheme val="minor"/>
          </rPr>
          <t>Check if the department was emailed to obtain some data</t>
        </r>
      </text>
    </comment>
    <comment ref="M1" authorId="0" shapeId="0">
      <text>
        <r>
          <rPr>
            <sz val="10"/>
            <color rgb="FF000000"/>
            <rFont val="Arial"/>
            <scheme val="minor"/>
          </rPr>
          <t>Check if the department has been emailed to confirm the accuracy of publically available data</t>
        </r>
      </text>
    </comment>
    <comment ref="N1" authorId="0" shapeId="0">
      <text>
        <r>
          <rPr>
            <sz val="10"/>
            <color rgb="FF000000"/>
            <rFont val="Arial"/>
            <scheme val="minor"/>
          </rPr>
          <t>Total tuition for the 1st year of study for an in province domestic student in 2023/24. This should not include ancillary fees - if that information is the only easily accessible fill in that column instead.</t>
        </r>
      </text>
    </comment>
    <comment ref="O1" authorId="0" shapeId="0">
      <text>
        <r>
          <rPr>
            <sz val="10"/>
            <color rgb="FF000000"/>
            <rFont val="Arial"/>
            <scheme val="minor"/>
          </rPr>
          <t>Ancillary fees for a 1st year in province domestic student</t>
        </r>
      </text>
    </comment>
    <comment ref="P1" authorId="0" shapeId="0">
      <text>
        <r>
          <rPr>
            <sz val="10"/>
            <color rgb="FF000000"/>
            <rFont val="Arial"/>
            <scheme val="minor"/>
          </rPr>
          <t>Sum of Tuition and Anciallary Fees for an in province 1st year domestic student.</t>
        </r>
      </text>
    </comment>
    <comment ref="Q1" authorId="0" shapeId="0">
      <text>
        <r>
          <rPr>
            <sz val="10"/>
            <color rgb="FF000000"/>
            <rFont val="Arial"/>
            <scheme val="minor"/>
          </rPr>
          <t>Tuition of a 1st year domestic student out of province in 2023/24. This will not apply to all institutions - if not leave blank.</t>
        </r>
      </text>
    </comment>
    <comment ref="R1" authorId="0" shapeId="0">
      <text>
        <r>
          <rPr>
            <sz val="10"/>
            <color rgb="FF000000"/>
            <rFont val="Arial"/>
            <scheme val="minor"/>
          </rPr>
          <t>Is there any kind of automatic waiver or scholarship to mitigate the effect of increased tuition for OOP students. If this is done at the department level then this is considered to be part of the stipend.
If there is a full waiver add Full. Else write the dollar value of the waiver/scholarship.</t>
        </r>
      </text>
    </comment>
    <comment ref="S1" authorId="0" shapeId="0">
      <text>
        <r>
          <rPr>
            <sz val="10"/>
            <color rgb="FF000000"/>
            <rFont val="Arial"/>
            <scheme val="minor"/>
          </rPr>
          <t>Tuition for a 1st year international student in 2023/24</t>
        </r>
      </text>
    </comment>
    <comment ref="T1" authorId="0" shapeId="0">
      <text>
        <r>
          <rPr>
            <sz val="10"/>
            <color rgb="FF000000"/>
            <rFont val="Arial"/>
            <scheme val="minor"/>
          </rPr>
          <t>Ancillary Fees for 1st year international student including health insurance.</t>
        </r>
      </text>
    </comment>
    <comment ref="V1" authorId="0" shapeId="0">
      <text>
        <r>
          <rPr>
            <sz val="10"/>
            <color rgb="FF000000"/>
            <rFont val="Arial"/>
            <scheme val="minor"/>
          </rPr>
          <t>Is there any kind of automatic waiver or scholarship to mitigate the effect of increased tuition for international students. If this is done at the department level then this is considered to be part of the stipend.
If there is a full waiver add Full. Else write the dollar value of the waiver/scholarship.</t>
        </r>
      </text>
    </comment>
    <comment ref="W1" authorId="0" shapeId="0">
      <text>
        <r>
          <rPr>
            <sz val="10"/>
            <color rgb="FF000000"/>
            <rFont val="Arial"/>
            <scheme val="minor"/>
          </rPr>
          <t>Is funding guaranteed for students admitted to the program?</t>
        </r>
      </text>
    </comment>
    <comment ref="X1" authorId="0" shapeId="0">
      <text>
        <r>
          <rPr>
            <sz val="10"/>
            <color rgb="FF000000"/>
            <rFont val="Arial"/>
            <scheme val="minor"/>
          </rPr>
          <t>How many years is funding guaranteed for?</t>
        </r>
      </text>
    </comment>
    <comment ref="Y1" authorId="0" shapeId="0">
      <text>
        <r>
          <rPr>
            <sz val="10"/>
            <color rgb="FF000000"/>
            <rFont val="Arial"/>
            <scheme val="minor"/>
          </rPr>
          <t>What is the minimum guaranteed stipend for a 1st year domestic student before tuition and other fees. Include any salaray from TAing or RAing if it is guaranteed.
It is possible that only net stipend (after tuition) is listed in which case leave this blank.</t>
        </r>
      </text>
    </comment>
    <comment ref="Z1" authorId="0" shapeId="0">
      <text>
        <r>
          <rPr>
            <sz val="10"/>
            <color rgb="FF000000"/>
            <rFont val="Arial"/>
            <scheme val="minor"/>
          </rPr>
          <t>The minimum guaranteed stipend for a 1st year in province domestic student after tuition and mandatory fees.
If a figure is given that is unclear if ancillary fees are accounted for or not just add a note but write down the number.</t>
        </r>
      </text>
    </comment>
    <comment ref="AA1" authorId="0" shapeId="0">
      <text>
        <r>
          <rPr>
            <sz val="10"/>
            <color rgb="FF000000"/>
            <rFont val="Arial"/>
            <scheme val="minor"/>
          </rPr>
          <t>What is the minimum guaranteed stipend for a 1st year international student before tuition and other fees. Include any salaray from TAing or RAing if it is guaranteed.
It is possible that only net stipend (after tuition) is listed in which case leave this blank.</t>
        </r>
      </text>
    </comment>
    <comment ref="AB1" authorId="0" shapeId="0">
      <text>
        <r>
          <rPr>
            <sz val="10"/>
            <color rgb="FF000000"/>
            <rFont val="Arial"/>
            <scheme val="minor"/>
          </rPr>
          <t>The minimum guaranteed stipend for a 1st year international student after tuition and mandatory fees.
If a figure is given that is unclear if ancillary fees are accounted for or not just add a note but write down the number.</t>
        </r>
      </text>
    </comment>
    <comment ref="AC1" authorId="0" shapeId="0">
      <text>
        <r>
          <rPr>
            <sz val="10"/>
            <color rgb="FF000000"/>
            <rFont val="Arial"/>
            <scheme val="minor"/>
          </rPr>
          <t>What is the minimum guaranteed stipend for a 1st year out of province domestic student before tuition and other fees. Include any salaray from TAing or RAing if it is guaranteed.
It is possible that only net stipend (after tuition) is listed in which case leave this blank.
This is likely to be blank for many institutions.</t>
        </r>
      </text>
    </comment>
    <comment ref="AD1" authorId="0" shapeId="0">
      <text>
        <r>
          <rPr>
            <sz val="10"/>
            <color rgb="FF000000"/>
            <rFont val="Arial"/>
            <scheme val="minor"/>
          </rPr>
          <t>The minimum guaranteed stipend for a 1st year OOP domestic student after tuition and mandatory fees.
If a figure is given that is unclear if ancillary fees are accounted for or not just add a note but write down the number.
This will be blank for many institutions.</t>
        </r>
      </text>
    </comment>
    <comment ref="AE1" authorId="0" shapeId="0">
      <text>
        <r>
          <rPr>
            <sz val="10"/>
            <color rgb="FF000000"/>
            <rFont val="Arial"/>
            <scheme val="minor"/>
          </rPr>
          <t>How many hours are required per year to work as a Teaching Assistant for the minimum stipend.
If no hours are required enter 0. If hours are unclear enter yes.
If TA is available but as an optional topup leave a note here.</t>
        </r>
      </text>
    </comment>
    <comment ref="AF1" authorId="0" shapeId="0">
      <text>
        <r>
          <rPr>
            <sz val="10"/>
            <color rgb="FF000000"/>
            <rFont val="Arial"/>
            <scheme val="minor"/>
          </rPr>
          <t>How many hours are required per year to work as a Research Assistant for the minimum stipend. For consistency here an RA refers to paid research work that will not be included in the graduate student's thesis. Do not include if a generic stipend is refered to as a RA by the specific institution.
If no hours are required enter 0. If hours are unclear enter yes.</t>
        </r>
      </text>
    </comment>
    <comment ref="AG1" authorId="0" shapeId="0">
      <text>
        <r>
          <rPr>
            <sz val="10"/>
            <color rgb="FF000000"/>
            <rFont val="Arial"/>
            <scheme val="minor"/>
          </rPr>
          <t>What day were the website accessed?</t>
        </r>
      </text>
    </comment>
    <comment ref="AH1" authorId="0" shapeId="0">
      <text>
        <r>
          <rPr>
            <sz val="10"/>
            <color rgb="FF000000"/>
            <rFont val="Arial"/>
            <scheme val="minor"/>
          </rPr>
          <t xml:space="preserve">What academic year is associated with the stipend numbers. In many cases this will not be clear. Leave blank. </t>
        </r>
      </text>
    </comment>
    <comment ref="AI1" authorId="0" shapeId="0">
      <text>
        <r>
          <rPr>
            <sz val="10"/>
            <color rgb="FF000000"/>
            <rFont val="Arial"/>
            <scheme val="minor"/>
          </rPr>
          <t>Include any other notes to add qualative detail to the raw numbers.
Ie. did it change recently, do most students have an admission scholarship, is there funding only for the fall and winter...</t>
        </r>
      </text>
    </comment>
  </commentList>
</comments>
</file>

<file path=xl/sharedStrings.xml><?xml version="1.0" encoding="utf-8"?>
<sst xmlns="http://schemas.openxmlformats.org/spreadsheetml/2006/main" count="4559" uniqueCount="479">
  <si>
    <t>University</t>
  </si>
  <si>
    <t>University Total Annual Expenses 2023 [Millions of Dollars]</t>
  </si>
  <si>
    <t>University Endowment [Millions of Dollars]</t>
  </si>
  <si>
    <t>Province</t>
  </si>
  <si>
    <t>City</t>
  </si>
  <si>
    <t>Example Department</t>
  </si>
  <si>
    <t>Department</t>
  </si>
  <si>
    <t>Program</t>
  </si>
  <si>
    <t>Website</t>
  </si>
  <si>
    <t>Domestic Tuition</t>
  </si>
  <si>
    <t>Ancillary Fees</t>
  </si>
  <si>
    <t>Total Domestic Fees</t>
  </si>
  <si>
    <t>International Tuition</t>
  </si>
  <si>
    <t>Int Ancillary Fees</t>
  </si>
  <si>
    <t>Total Int Fees</t>
  </si>
  <si>
    <t>Int Waiver</t>
  </si>
  <si>
    <t>Guaranteed Funding</t>
  </si>
  <si>
    <t>Years Guaranteed</t>
  </si>
  <si>
    <t>Gross Stipend</t>
  </si>
  <si>
    <t>Net Stipend</t>
  </si>
  <si>
    <t>Gross Stipend International</t>
  </si>
  <si>
    <t>Net Stipend Int</t>
  </si>
  <si>
    <t>Hours TAing</t>
  </si>
  <si>
    <t>Hours RAing</t>
  </si>
  <si>
    <t>Date of collection</t>
  </si>
  <si>
    <t>Academic Year of Stipend</t>
  </si>
  <si>
    <t>Notes</t>
  </si>
  <si>
    <t>Tuition Data</t>
  </si>
  <si>
    <t>Stipend Data</t>
  </si>
  <si>
    <t>MBM Threshold 2020</t>
  </si>
  <si>
    <t xml:space="preserve">Notes on Thresholds </t>
  </si>
  <si>
    <t>MBM Threshold 2023</t>
  </si>
  <si>
    <t>Rental Costs</t>
  </si>
  <si>
    <t>Rental costs per year</t>
  </si>
  <si>
    <t xml:space="preserve">Net domestic - MBM Threshold (2023) </t>
  </si>
  <si>
    <t>Net domestic - Rent/year</t>
  </si>
  <si>
    <t>Net domestic - Rent - $12K</t>
  </si>
  <si>
    <t xml:space="preserve">Net International - MBM Threshold (2023) </t>
  </si>
  <si>
    <t>Net International - Rent/year</t>
  </si>
  <si>
    <t>Net International - Rent - $12K</t>
  </si>
  <si>
    <t>Tuition Get / 2</t>
  </si>
  <si>
    <t>Tuition Parse / 2</t>
  </si>
  <si>
    <t>Stipend Get / 3</t>
  </si>
  <si>
    <t>Stipend Complete / 3</t>
  </si>
  <si>
    <t>Simon Fraser University</t>
  </si>
  <si>
    <t>BC</t>
  </si>
  <si>
    <t>Burnaby</t>
  </si>
  <si>
    <t>Biological Sciences - Ecology</t>
  </si>
  <si>
    <t>Biological Sciences</t>
  </si>
  <si>
    <t>MSc</t>
  </si>
  <si>
    <t>https://www.sfu.ca/biology/graduate.html</t>
  </si>
  <si>
    <t>Yes</t>
  </si>
  <si>
    <t>Up to 336</t>
  </si>
  <si>
    <t>2023-24</t>
  </si>
  <si>
    <t>Winning scholarships do not increase minimum stipend level, no international tuition</t>
  </si>
  <si>
    <t>https://www.sfu.ca/gradstudies/apply/tuition-and-fees/tuition-types.html</t>
  </si>
  <si>
    <t>https://www.sfu.ca/biology/graduate/current/financial/funding-policy.html</t>
  </si>
  <si>
    <t>Vancouver CMA</t>
  </si>
  <si>
    <t>PhD</t>
  </si>
  <si>
    <t>Physics</t>
  </si>
  <si>
    <t>https://www.sfu.ca/physics/graduate.html</t>
  </si>
  <si>
    <t>Up to 434</t>
  </si>
  <si>
    <t>Scholarships are topped up</t>
  </si>
  <si>
    <t>https://www.sfu.ca/students/calendar/2023/fall/fees-and-regulations/tuition-fees/graduate.html</t>
  </si>
  <si>
    <t>https://www.sfu.ca/physics/graduate/prospective/financial-support.html</t>
  </si>
  <si>
    <t>Up to 343</t>
  </si>
  <si>
    <t>Calgary</t>
  </si>
  <si>
    <t>AB</t>
  </si>
  <si>
    <t>https://grad.ucalgary.ca/future-students/explore-programs/biological-sciences-msc-thesis</t>
  </si>
  <si>
    <t>Data Unavailble</t>
  </si>
  <si>
    <t>https://calendar.ucalgary.ca/pages/bdf3d650a14247e4912def1671b7ba09</t>
  </si>
  <si>
    <t xml:space="preserve">https://grad.ucalgary.ca/future-students/explore-programs/biological-sciences-phd </t>
  </si>
  <si>
    <t>Physics and Astronomy</t>
  </si>
  <si>
    <t>Alberta</t>
  </si>
  <si>
    <t>Edmonton</t>
  </si>
  <si>
    <t>https://www.ualberta.ca/biological-sciences/graduate-studies/index.html</t>
  </si>
  <si>
    <t>Not Specified</t>
  </si>
  <si>
    <t>Half of students suppported by TAing</t>
  </si>
  <si>
    <t>Governed by collective agreement</t>
  </si>
  <si>
    <t>https://www.ualberta.ca/graduate-studies/prospective-students/tuition-and-cost-of-living-estimate.html</t>
  </si>
  <si>
    <t>https://www.ualberta.ca/biological-sciences/graduate-studies/for-applicants/program-funding.html</t>
  </si>
  <si>
    <t>Physics and Geophysics</t>
  </si>
  <si>
    <t>https://www.ualberta.ca/physics/graduate-studies/index.html</t>
  </si>
  <si>
    <t>12hr/week</t>
  </si>
  <si>
    <t>https://www.ualberta.ca/physics/graduate-studies/awards-and-funding/financial-support-for-new-msc-students.html</t>
  </si>
  <si>
    <t>https://www.ualberta.ca/physics/graduate-studies/awards-and-funding/financial-support-for-new-phd-students.html</t>
  </si>
  <si>
    <t>Lethbridge</t>
  </si>
  <si>
    <t>Department of Biological Sciences</t>
  </si>
  <si>
    <t>https://www.ulethbridge.ca/artsci/biological-sciences</t>
  </si>
  <si>
    <t>Lethbridge, Alberta. population 106550. Large population center</t>
  </si>
  <si>
    <t>Department of Physics &amp; Astronomy</t>
  </si>
  <si>
    <t>https://www.ulethbridge.ca/artsci/physics-astronomy</t>
  </si>
  <si>
    <t>UNBC</t>
  </si>
  <si>
    <t>Prince George</t>
  </si>
  <si>
    <t>No departments. MSc and PhD in "Natural Resources and Environmental Studies (NRES)"</t>
  </si>
  <si>
    <t>https://www2.unbc.ca/nres-graduate-program</t>
  </si>
  <si>
    <t>No</t>
  </si>
  <si>
    <t>AW: This is the first institution I've seen have a statement on an awards ceiling: "Currently the Graduate award ceiling is $15,000 per academic year (this does not include external awards)." No minimum stipend appears to exist for these programs. Fees are itemized, like Thompson Rivers. Good for transparency, difficult to sum. "All graduate student fees are mandatory and cannot be waived."</t>
  </si>
  <si>
    <t>https://www2.unbc.ca/finance/accounts-receivable/fees-unbc#domestic-graduate</t>
  </si>
  <si>
    <t>Prince George BC 74,003 population Medium population Center</t>
  </si>
  <si>
    <t>AW: PhD candidates receive an automatic four year tuition grant; so I put $0 for PhD tuition. This information is stated on this page: https://www2.unbc.ca/nres-graduate-program</t>
  </si>
  <si>
    <t>Department of Physics</t>
  </si>
  <si>
    <t>https://www2.unbc.ca/physics</t>
  </si>
  <si>
    <t>AF: Had to email to get info. No info on graduate program on dept website, had to go to Univ. website (nightmare) to get data</t>
  </si>
  <si>
    <t>https://www2.unbc.ca/sites/default/files/sections/finance/accounts-receivable/studentfees-grad_13.pdft</t>
  </si>
  <si>
    <t>UBC</t>
  </si>
  <si>
    <t>Vancouver</t>
  </si>
  <si>
    <t>Zoology</t>
  </si>
  <si>
    <t>https://zoology.ubc.ca/graduate-program</t>
  </si>
  <si>
    <t>"as long as they make satisfactory progress in their program"</t>
  </si>
  <si>
    <t>2023/2024</t>
  </si>
  <si>
    <t xml:space="preserve">Ancillary fees itemized but on separate pages depnding if they are approved by UBC Board of Governors or Student Society https://vancouver.calendar.ubc.ca/fees/student-fees </t>
  </si>
  <si>
    <t>https://blogs.ubc.ca/zoolgradhandbook/#funding-policy</t>
  </si>
  <si>
    <t>https://phas.ubc.ca/</t>
  </si>
  <si>
    <t>https://phas.ubc.ca/graduate-program-financial-support</t>
  </si>
  <si>
    <t>Victoria</t>
  </si>
  <si>
    <t>Department of Biology</t>
  </si>
  <si>
    <t>https://www.uvic.ca/science/biology/graduate/program/index.php</t>
  </si>
  <si>
    <t xml:space="preserve">The 2024-5 tuition years are posted on the website at the time of data collection. I emailed the program to request 2023-4 stipend data (22k per year). The stipend will be raised to 26,000 this coming academic year. </t>
  </si>
  <si>
    <t>Victoria BC ~91000, near the threshold for large population center. Medium is used.</t>
  </si>
  <si>
    <t>https://www.uvic.ca/science/physics/</t>
  </si>
  <si>
    <t>2*</t>
  </si>
  <si>
    <t>2024/03-28</t>
  </si>
  <si>
    <t>The guaranteed support levels will be in effect for 2 years for a student in an MSc program, up to 5 years beyond the BSc level for a student in a PhD transfer program, 3 years for a student in a PhD program, and 4 years for a PhD student who arrives at UVic with an MSc from another university. There is no Graduate Award beyond these time limits. Arrangements for RA contributions after the time limits are between the student and supervisor.</t>
  </si>
  <si>
    <t>https://www.uvic.ca/science/physics/current/masters/financial/index.php</t>
  </si>
  <si>
    <t>4*</t>
  </si>
  <si>
    <t>https://www.uvic.ca/science/physics/current/doctorate/financial/index.php</t>
  </si>
  <si>
    <t>Manitoba</t>
  </si>
  <si>
    <t>MB</t>
  </si>
  <si>
    <t>Winnipeg</t>
  </si>
  <si>
    <t>https://umanitoba.ca/explore/programs-of-study/biological-sciences-msc</t>
  </si>
  <si>
    <t>Obtained by email</t>
  </si>
  <si>
    <t>https://umanitoba.ca/explore/programs-of-study/biological-sciences-phd</t>
  </si>
  <si>
    <t>Physics &amp; Astronomy</t>
  </si>
  <si>
    <t>https://umanitoba.ca/explore/programs-of-study/physics-msc</t>
  </si>
  <si>
    <t>https://umanitoba.ca/registrar/tuition-fees/graduate</t>
  </si>
  <si>
    <t>https://umanitoba.ca/science/student-experience/financial-aid-awards/physics-and-astronomy</t>
  </si>
  <si>
    <t>https://umanitoba.ca/explore/programs-of-study/physics-phd</t>
  </si>
  <si>
    <t>New Brunswick</t>
  </si>
  <si>
    <t>NB</t>
  </si>
  <si>
    <t>Fredericton</t>
  </si>
  <si>
    <t>https://www.unb.ca/fredericton/science/depts/biology/graduate/index.html</t>
  </si>
  <si>
    <t>2 units</t>
  </si>
  <si>
    <t>2024/24</t>
  </si>
  <si>
    <t xml:space="preserve">Funding is "subject to availability", so maybe not actually guaranteed. Howeer, the assistance is the base amount of $13500 plus tuition and incidental fees, reflected in the formula in this row. Tuition posted is for 2024-25 academic year, so I have emailed to request 2023-24 data. </t>
  </si>
  <si>
    <t>https://www.unb.ca/finance/financial-services/graduate/index.html</t>
  </si>
  <si>
    <t>Fredericton, NB</t>
  </si>
  <si>
    <t>2024/25</t>
  </si>
  <si>
    <t>Not specified</t>
  </si>
  <si>
    <t>https://www.unb.ca/finance/_assets/documents/financial-services/new/fred_gr_research_ft_new.pdf</t>
  </si>
  <si>
    <t>https://www.unb.ca/fredericton/science/depts/physics/graduate/funding.html</t>
  </si>
  <si>
    <t>Memorial</t>
  </si>
  <si>
    <t>NL</t>
  </si>
  <si>
    <t>St. John's</t>
  </si>
  <si>
    <t>https://www.mun.ca/become/graduate/programs-and-courses/biology/</t>
  </si>
  <si>
    <t xml:space="preserve">St. Johns, NL </t>
  </si>
  <si>
    <t>Physics and Physical Oceanography</t>
  </si>
  <si>
    <t>https://www.mun.ca/physics/</t>
  </si>
  <si>
    <t>?</t>
  </si>
  <si>
    <t>https://www.mun.ca/finance/graduate-student-tuition-and-fees/</t>
  </si>
  <si>
    <t>https://www.mun.ca/physics/graduate-students/information-for-prospective-graduate-students/</t>
  </si>
  <si>
    <t>https://www.mun.ca/undergrad/money-matters/</t>
  </si>
  <si>
    <t>Dalhousie</t>
  </si>
  <si>
    <t>NS</t>
  </si>
  <si>
    <t>Halifax</t>
  </si>
  <si>
    <t xml:space="preserve">Department of Biology </t>
  </si>
  <si>
    <t>https://www.dal.ca/faculty/science/biology/graduate.html</t>
  </si>
  <si>
    <t xml:space="preserve">"Our minimum stipends are take-home net of international fees (noting that these apply to MSc students but not PhD students)" - from email correspondence. "Contact the graduate secretary for details the current level of stipend." Tuition drop-down in FAQ doesn't work (https://www.dal.ca/faculty/science/biology/graduate/graduate-program-faqs.html) </t>
  </si>
  <si>
    <t>https://cdn.dal.ca/content/dam/dalhousie/pdf/admissions/MoneyMatters/Grad%202023-2024.pdf</t>
  </si>
  <si>
    <t>NA - says to contact secretary to obtain</t>
  </si>
  <si>
    <t>Halifax, NS</t>
  </si>
  <si>
    <t xml:space="preserve">"Contact the graduate secretary for details the current level of stipend." Tuition drop-down in FAQ doesn't work (https://www.dal.ca/faculty/science/biology/graduate/graduate-program-faqs.html) </t>
  </si>
  <si>
    <t>Physics &amp; Atmospheric Science</t>
  </si>
  <si>
    <t>https://www.dal.ca/faculty/science/physics/programs/GraduateStudents.html</t>
  </si>
  <si>
    <t xml:space="preserve">The tuition tables are horribly complictated (and maybe even misslabeled?)  AW adds: Yes, truly awful. Using what was found for Physics and applying it to Biology here. </t>
  </si>
  <si>
    <t>https://cdn.dal.ca/content/dam/dalhousie/pdf/academics/Graduate%20programs/Medical%20Physics/Grad%20Student%20Handbook-2020-2021.pdf</t>
  </si>
  <si>
    <t>For Dalhousie there is a "Departmental funding would normally be provided for two years to an MSc student and four years to a PhD student.", but because it's just - normally- there's no minimum. Sourced from graduate handbook</t>
  </si>
  <si>
    <t>Guelph</t>
  </si>
  <si>
    <t>ON</t>
  </si>
  <si>
    <t>Department of Integrative Biology</t>
  </si>
  <si>
    <t>https://www.uoguelph.ca/ib/grad_program_overview</t>
  </si>
  <si>
    <t>https://uoguelphca-my.sharepoint.com/:x:/g/personal/sfscomm_uoguelph_ca/Ec8jBdQ56m5Bih3a_8GAN9MBG2nJQnKyyqGOxTfoU_Gm4A?e=h1Htrn&amp;activeCell=%272023%27%21A1&amp;action=embedview</t>
  </si>
  <si>
    <t>https://www.uoguelph.ca/cbs/graduate/how-fund-your-studies</t>
  </si>
  <si>
    <t>Guelph Ont, 135,474 population</t>
  </si>
  <si>
    <t>https://www.physics.uoguelph.ca/</t>
  </si>
  <si>
    <t>Obtained by Email</t>
  </si>
  <si>
    <t>McMaster</t>
  </si>
  <si>
    <t>Hamilton</t>
  </si>
  <si>
    <t>https://gs.mcmaster.ca/program/biology/</t>
  </si>
  <si>
    <t>yes</t>
  </si>
  <si>
    <t xml:space="preserve">Somewhat unclear on if TAs are required or not. There's discussion of "If a teaching assistantship is not available, the student may be supported by other sources depending on the availability of funds." this seems to imply that a TA is required and if not given to student they might not meet a minimum? </t>
  </si>
  <si>
    <t>https://registrar.mcmaster.ca/fees/graduate/#tab-00</t>
  </si>
  <si>
    <t>https://biology.mcmaster.ca/graduate/grad-guide/</t>
  </si>
  <si>
    <t>https://physics.mcmaster.ca/</t>
  </si>
  <si>
    <t>260 a year</t>
  </si>
  <si>
    <t>Department has sometimes managed to increase by $500-1000. Website currently being updated to be more transparent</t>
  </si>
  <si>
    <t>https://mcmasteru365.sharepoint.com/sites/sci-public-docs/Shared%20Documents/Forms/AllItems.aspx?id=%2Fsites%2Fsci-public-docs%2FShared+Documents%2FWebsite+-+Department+Of+Physics+%26+Astronomy%2FGraduate%2F24-25_graduate_handbook.pdf&amp;parent=%2Fsites%2Fsci-public-docs%2FShared+Documents%2FWebsite+-+Department+Of+Physics+%26+Astronomy%2FGraduate&amp;p=true&amp;ga=1</t>
  </si>
  <si>
    <t>Queen's</t>
  </si>
  <si>
    <t>Kingston</t>
  </si>
  <si>
    <t>Biology Department</t>
  </si>
  <si>
    <t>https://biology.queensu.ca/</t>
  </si>
  <si>
    <t>2022-2023</t>
  </si>
  <si>
    <t>https://www.queensu.ca/registrar/tuition-fees/graduate</t>
  </si>
  <si>
    <t>https://biology.queensu.ca/current-students/graduate-students/fees-and-funding-0</t>
  </si>
  <si>
    <t>Kingston, Ont 136685 pop</t>
  </si>
  <si>
    <t>Physics, Engineering Physics &amp; Astronomy</t>
  </si>
  <si>
    <t>https://www.queensu.ca/physics/</t>
  </si>
  <si>
    <t>https://www.queensu.ca/physics/grad-studies/msc-degree-overview</t>
  </si>
  <si>
    <t>https://www.queensu.ca/physics/grad-studies/phd-degree-overview</t>
  </si>
  <si>
    <t>Western</t>
  </si>
  <si>
    <t>London</t>
  </si>
  <si>
    <r>
      <rPr>
        <u/>
        <sz val="9"/>
        <color rgb="FF1155CC"/>
        <rFont val="Arial, sans-serif"/>
      </rPr>
      <t>uwo.ca/biology</t>
    </r>
    <r>
      <rPr>
        <u/>
        <sz val="9"/>
        <color rgb="FF000000"/>
        <rFont val="Arial, sans-serif"/>
      </rPr>
      <t xml:space="preserve"> </t>
    </r>
  </si>
  <si>
    <r>
      <rPr>
        <sz val="9"/>
        <color rgb="FF000000"/>
        <rFont val="Arial, sans-serif"/>
      </rPr>
      <t xml:space="preserve">One of the clearest pages for funding I've come across. Western also has an Affordability Calculator: </t>
    </r>
    <r>
      <rPr>
        <u/>
        <sz val="9"/>
        <color rgb="FF1155CC"/>
        <rFont val="Arial, sans-serif"/>
      </rPr>
      <t>https://grad.uwo.ca/finances/affordability_calculator.cfm</t>
    </r>
    <r>
      <rPr>
        <sz val="9"/>
        <color rgb="FF000000"/>
        <rFont val="Arial, sans-serif"/>
      </rPr>
      <t xml:space="preserve"> </t>
    </r>
  </si>
  <si>
    <t>https://uwo.ca/biology/graduate/future-students/financial-support.html</t>
  </si>
  <si>
    <t>London Ont 404699</t>
  </si>
  <si>
    <r>
      <rPr>
        <u/>
        <sz val="9"/>
        <color rgb="FF1155CC"/>
        <rFont val="Arial, sans-serif"/>
      </rPr>
      <t>uwo.ca/biology</t>
    </r>
    <r>
      <rPr>
        <u/>
        <sz val="9"/>
        <color rgb="FF000000"/>
        <rFont val="Arial, sans-serif"/>
      </rPr>
      <t xml:space="preserve"> </t>
    </r>
  </si>
  <si>
    <t>https://www.physics.uwo.ca/</t>
  </si>
  <si>
    <t>Another unclear sheet of tuition/fee structures. It appears that there's a single year charge for international students, then a per-term tuition cost.</t>
  </si>
  <si>
    <t>https://www.registrar.uwo.ca/student_finances/fees_refunds/pdfsfeeschedule/Grad%20Fees%20-%20Winter%202022%20FT%20INTL.pdf</t>
  </si>
  <si>
    <t>The graduate handbook appears to be nearly a decade out of date? should contact them.</t>
  </si>
  <si>
    <t>Ottawa</t>
  </si>
  <si>
    <t>65-90.5</t>
  </si>
  <si>
    <t>2023-20234</t>
  </si>
  <si>
    <t>Very complex set of fee and tuition structures, which change depending on how long you've been around. I, for consistency, stuck with what it would be if you were just starting with a full-time program. Even better, you have to add up the ancillary fees yourself. Stipend does require TAing at least 1 per term. Hours depend on if it's demonstration (65) or grading (90.5) or a combination (in between)</t>
  </si>
  <si>
    <t>https://www.uottawa.ca/study/fees-financial-support/university-fees/tuition-canadians-ontario</t>
  </si>
  <si>
    <t>https://science.uottawa.ca/biology/sites/science.uottawa.ca.biology/files/biogradguidebook-en.pdf</t>
  </si>
  <si>
    <t>3,000 / term</t>
  </si>
  <si>
    <t>There is an international PhD support of $3k/term that just started in 2023. They do describe it as a 'non-guaranteed' funding</t>
  </si>
  <si>
    <t>https://physics.carleton.ca/future-students/graduate</t>
  </si>
  <si>
    <t>Information obtained from internal financial form</t>
  </si>
  <si>
    <t>Took a long time to find stipend information, but I think i got caught in a loop on the faculty's page about the department, rather than the department page.</t>
  </si>
  <si>
    <t>Acadia</t>
  </si>
  <si>
    <t>Wolfville</t>
  </si>
  <si>
    <t>Biology</t>
  </si>
  <si>
    <t>https://biology.acadiau.ca/home.html</t>
  </si>
  <si>
    <t>2024-2024</t>
  </si>
  <si>
    <t>https://www2.acadiau.ca/student-services/student-accounts/tuition-fees/full-time-student-fees.html</t>
  </si>
  <si>
    <t>Emailed</t>
  </si>
  <si>
    <t>Wolfville, NS 4195 population (!) Small population Center</t>
  </si>
  <si>
    <t>Saint Mary's</t>
  </si>
  <si>
    <t>Astronomy and Physics</t>
  </si>
  <si>
    <t>https://www.smu.ca/astronomy-physics/index.html</t>
  </si>
  <si>
    <t>https://www.smu.ca/academics/graduate-tuition-fees.html</t>
  </si>
  <si>
    <t>Ontario Tech University</t>
  </si>
  <si>
    <t>Oshawa</t>
  </si>
  <si>
    <t>Physics     Material Science is joint with Trent University - See Trent</t>
  </si>
  <si>
    <t>https://science.ontariotechu.ca/physics/index.php</t>
  </si>
  <si>
    <t>https://gradstudies.ontariotechu.ca/current_students/tuition-fees/domestic-tuition-fees/index.php</t>
  </si>
  <si>
    <t>https://gradstudies.ontariotechu.ca/current_students/student_finances/graduate_funding/index.php</t>
  </si>
  <si>
    <t>Oshawa Ont 170071 pop</t>
  </si>
  <si>
    <t>Carleton</t>
  </si>
  <si>
    <t>https://carleton.ca/biology/guidelines/</t>
  </si>
  <si>
    <t>10 if on a Full Teaching Assistantship</t>
  </si>
  <si>
    <t>Posted tuition amounts include ancillary fees. General to graduate admissions</t>
  </si>
  <si>
    <t>https://carleton.ca/studentaccounts/tuition-fees/</t>
  </si>
  <si>
    <t>Ottawa, On</t>
  </si>
  <si>
    <t>Posted tuition amounts include ancillary fees</t>
  </si>
  <si>
    <t>https://physics.carleton.ca/future-students/graduate/funding-and-awards</t>
  </si>
  <si>
    <t>Does not specify</t>
  </si>
  <si>
    <t>Trent</t>
  </si>
  <si>
    <t>Peterborough</t>
  </si>
  <si>
    <t>Graduate programs are through the interdisciplinary 
Environmental &amp; Life Sciences Graduate Programs</t>
  </si>
  <si>
    <t>https://www.trentu.ca/els/environmental-life-sciences</t>
  </si>
  <si>
    <r>
      <rPr>
        <u/>
        <sz val="9"/>
        <color rgb="FF1155CC"/>
        <rFont val="Arial, sans-serif"/>
      </rPr>
      <t>https://www.trentu.ca/graduatestudies/tuition-awards-funding</t>
    </r>
    <r>
      <rPr>
        <u/>
        <sz val="9"/>
        <color rgb="FF0000FF"/>
        <rFont val="Arial, sans-serif"/>
      </rPr>
      <t xml:space="preserve"> </t>
    </r>
  </si>
  <si>
    <t>https://www.trentu.ca/els/experience</t>
  </si>
  <si>
    <t>Peterborough ont 84230 pop Medium population Center</t>
  </si>
  <si>
    <t xml:space="preserve">https://www.trentu.ca/graduatestudies/tuition-awards-fundin </t>
  </si>
  <si>
    <t>Physics &amp; Astronomy (Materials Science) - Linked to Ontario Tech. Emailed here.</t>
  </si>
  <si>
    <t>https://www.trentu.ca/physics/</t>
  </si>
  <si>
    <t>Included the health and dental fees</t>
  </si>
  <si>
    <t>Brock</t>
  </si>
  <si>
    <t>St. Catharines</t>
  </si>
  <si>
    <t>https://brocku.ca/programs/graduate/msc-biol/</t>
  </si>
  <si>
    <t>None indicated</t>
  </si>
  <si>
    <t>Not provided</t>
  </si>
  <si>
    <t>Ancillary fees included in posted tuition. International students charged an additional $750.00 per term (included in total value). Stipend value from TAship given on an hourly rate; I have added TAship to base stipend based on 10 hours a week assuming 24 teaching weeks per year</t>
  </si>
  <si>
    <t>https://brocku.ca/safa/2024-graduate-tuition-and-fees/#2023-gr-fees-per-termd620-80b21bef-7b87c659-fdd83416-d107861d-79adfd50-8a0fd1c3-6c58</t>
  </si>
  <si>
    <t>https://brocku.ca/graduate-studies/scholarships-awards/funding/</t>
  </si>
  <si>
    <t>St. Catharines, Ont 140370 pop large urban pop</t>
  </si>
  <si>
    <t>https://brocku.ca/programs/graduate/phd-biol/</t>
  </si>
  <si>
    <t xml:space="preserve">Ancillary fees included in posted tuition. International students charged an additional $750.00 per term (included in total value). </t>
  </si>
  <si>
    <t>Physics Department</t>
  </si>
  <si>
    <t>https://www.physics.brocku.ca/</t>
  </si>
  <si>
    <t>"The Master of Science in Materials Physics International Student Program is an unfunded program.
Graduate students in the Faculty of Math and Science may be eligible for a variety of scholarships,
fellowships, and awards administered by Brock University and external agencies"</t>
  </si>
  <si>
    <t>https://www.physics.brocku.ca/Programs/MSMP_Handbook.pdf</t>
  </si>
  <si>
    <t>"Many graduate students require financial assistance to pursue their studies. Graduate students in the
Faculty of Math and Science are eligible for a variety of scholarships, fellowships, and awards
administered by Brock University and the Ontario and Canadian Governments (e.g. NSERC, OGS, etc.) A
listing of these awards can be obtained by consulting the section on Financial Assistance in the Graduate
Studies Calendar"</t>
  </si>
  <si>
    <t>https://www.physics.brocku.ca/Programs/PHD_Handbook.pd</t>
  </si>
  <si>
    <t>University of Toronto</t>
  </si>
  <si>
    <t>Toronto</t>
  </si>
  <si>
    <t>Department of Ecology &amp; Evolutionary Biology</t>
  </si>
  <si>
    <t>https://eeb.utoronto.ca/education/graduate/</t>
  </si>
  <si>
    <t>Some exemptions available</t>
  </si>
  <si>
    <t>16 months</t>
  </si>
  <si>
    <t>140 hours per year</t>
  </si>
  <si>
    <t>The best most informative stipend page I've found yet for Ecology programs, which is still not complete. Note: this is the department of SOS Chair of the Board Prof. Marc Johnson. Tuition data on the other hand directed me from program page to Student Accounts page to Planning &amp; Budget page. Some information on international students possibly eligible for an exemption allowing them to pay domestic fees. Actual tuition information buried in an Appendix in a PDF</t>
  </si>
  <si>
    <t>https://planningandbudget.utoronto.ca/tuition-fee-lookup-tool/</t>
  </si>
  <si>
    <t>https://eeb.utoronto.ca/education/graduate/graduate-finances/graduate-stipends/</t>
  </si>
  <si>
    <t>4-5, depending on admission stream (direct entry into PhD, or roll-up from MSc)</t>
  </si>
  <si>
    <t>https://www.physics.utoronto.ca/graduate/</t>
  </si>
  <si>
    <t>https://www.physics.utoronto.ca/documents/545/FINSUP25Aug2023.pdf</t>
  </si>
  <si>
    <t xml:space="preserve"> </t>
  </si>
  <si>
    <t>York</t>
  </si>
  <si>
    <t>https://www.yorku.ca/gradstudies/biology/current-students/degree-requirements/#msc</t>
  </si>
  <si>
    <t>https://www.yorku.ca/gradstudies/biology/future-students/york-graduate-funding/</t>
  </si>
  <si>
    <t>https://www.yorku.ca/gradstudies/biology/current-students/degree-requirements/#phd</t>
  </si>
  <si>
    <t>https://www.yorku.ca/science/physics/</t>
  </si>
  <si>
    <t>Included the UHIP in the ancillary fees cost</t>
  </si>
  <si>
    <t>https://sfs.yorku.ca/fees/courses/2024/summer/graduate-studies/masters</t>
  </si>
  <si>
    <t>https://www.yorku.ca/gradstudies/physics-astronomy/future-students/york-graduate-funding/</t>
  </si>
  <si>
    <t>TMU (Ryerson)</t>
  </si>
  <si>
    <t>Department of Chemistry and Biology</t>
  </si>
  <si>
    <t>https://www.torontomu.ca/chemistry-biology/graduate-studies/program-overview/</t>
  </si>
  <si>
    <t xml:space="preserve">No stipend data found. Tuition data provided for whole program (expected time in program) rather than annual on main page. Had to calculate ancillary fees from total fees minus tuition by term. The input $9,000 is based on the "3-5k per term" estimate given to me by the department contact. </t>
  </si>
  <si>
    <t>https://www.torontomu.ca/current-students/tuition-fees/graduate/</t>
  </si>
  <si>
    <t>https://www.torontomu.ca/chemistry-biology/graduate-studies/fees-funding/</t>
  </si>
  <si>
    <t>https://www.torontomu.ca/physics/graduate-studies/fields-of-study/</t>
  </si>
  <si>
    <t>2024-03-20 / 2024-07-15</t>
  </si>
  <si>
    <t>No stipend data found. Tuition data provided for whole program (expected time in program) rather than annual on main page. Had to calculate ancillary fees from total fees minus tuition by term. Notes re: fees STUDENTS REGISTERING IN WINTER 2024 MUST ADD $451.70 (TMGSU WINTER HEALTH &amp; DENTAL PLAN) TO TOTAL FEES" and "STUDENTS REGISTERING IN WINTER 2024 MUST ADD $504.00 (UNIVERSITY HEALTH INSURANCE PLAN) TO TOTAL FEES"; those values are added here</t>
  </si>
  <si>
    <t>https://www.torontomu.ca/physics/graduate-studies/fees-funding/</t>
  </si>
  <si>
    <t>Waterloo</t>
  </si>
  <si>
    <r>
      <rPr>
        <u/>
        <sz val="9"/>
        <color rgb="FF1155CC"/>
        <rFont val="Arial, sans-serif"/>
      </rPr>
      <t>https://uwaterloo.ca/biology/graduate-studies</t>
    </r>
    <r>
      <rPr>
        <u/>
        <sz val="9"/>
        <color rgb="FF000000"/>
        <rFont val="Arial, sans-serif"/>
      </rPr>
      <t xml:space="preserve"> </t>
    </r>
  </si>
  <si>
    <t>Additional funding may be available to offset international tuition differential</t>
  </si>
  <si>
    <t>10 hours/week for 2 terms if holding a GTA</t>
  </si>
  <si>
    <t>Tuition information not linked from program page. Individual terms are given in several sub-pages listing all programs, very difficult to scroll through to figure out what a graduate student would pay in a year. "Effective fall 2023, any student who is 
not international (Canadian citizen, permanent resident, or protected person) or who does not qualify as an Ontario resident will be considered a Domestic Out of Province student. Note that this change will affect a subset of graduate programs and all undergraduate programs."</t>
  </si>
  <si>
    <t>https://uwaterloo.ca/finance/student-financial-services/tuition-fee-schedules</t>
  </si>
  <si>
    <t>https://uwaterloo.ca/biology/sites/default/files/uploads/documents/bgs-handbook-2324-v2.pdf</t>
  </si>
  <si>
    <t>Waterloo ont, 113520 population, large population center</t>
  </si>
  <si>
    <t xml:space="preserve">https://uwaterloo.ca/biology/graduate-studie </t>
  </si>
  <si>
    <t>Department of Physics and Astronomy</t>
  </si>
  <si>
    <t>https://uwaterloo.ca/physics-astronomy/</t>
  </si>
  <si>
    <t>Stipend estimated value is after fees and tuition. Tuition information not linked from program page. Individual terms are given in several sub-pages listing all programs, very difficult to scroll through to figure out what a graduate student would pay in a year. "Effective fall 2023, any student who is not international (Canadian citizen, permanent resident, or protected person) or who does not qualify as an Ontario resident will be considered a Domestic Out of Province student. Note that this change will affect a subset of graduate programs and all undergraduate programs."</t>
  </si>
  <si>
    <t>https://uwaterloo.ca/graduate-studies-postdoctoral-affairs/current-students/minimum-funding</t>
  </si>
  <si>
    <t>Wilfrid Laurier</t>
  </si>
  <si>
    <t>MSc Integrative Biology; PhD Biology and Chemical Sciences</t>
  </si>
  <si>
    <t>https://wlu.ca/programs/science/graduate/integrative-biology-msc/index.html</t>
  </si>
  <si>
    <t>Legal dependants</t>
  </si>
  <si>
    <t>Optional</t>
  </si>
  <si>
    <t>Website indicates that numbers might vary between programs but program page redirects to common weboage</t>
  </si>
  <si>
    <t>https://www.wlu.ca/academics/faculties/graduate-and-postdoctoral-studies/tuition-and-funding/index.html?ref=graduate-and-postdoctoral-studies%2Ffunding-at-a-glance%2Findex.html</t>
  </si>
  <si>
    <t>https://downloads.wlu.ca/downloads/programs/science/biology/documents/msc-biology-2016-handbook.pdf</t>
  </si>
  <si>
    <t>https://wlu.ca/programs/science/graduate/biological-and-chemical-sciences-phd/index.html</t>
  </si>
  <si>
    <t>https://students.wlu.ca/programs/science/biological-and-chemical-sciences/awards-and-funding.html</t>
  </si>
  <si>
    <t>Windsor</t>
  </si>
  <si>
    <t xml:space="preserve">Department of Integrative Biology </t>
  </si>
  <si>
    <t>https://www.uwindsor.ca/science/integrative-biology/315/graduate-programs-ibio</t>
  </si>
  <si>
    <t>2023-2024</t>
  </si>
  <si>
    <t>https://www.uwindsor.ca/finance/fee-estimator</t>
  </si>
  <si>
    <t>Windsor, Ont 233763 population large population</t>
  </si>
  <si>
    <t>https://www.uwindsor.ca/science/physics/</t>
  </si>
  <si>
    <t>They have only 'typical student stipends are' with no minimums noted.</t>
  </si>
  <si>
    <t>https://www.uwindsor.ca/science/physics/sites/uwindsor.ca.science.physics/files/2019-2020_physics_graduate_handbook_without_funding_packages.pdf</t>
  </si>
  <si>
    <t>https://www.uwindsor.ca/science/physics/sites/uwindsor.ca.science.physics/files/2023-24_physics_scholarship_packages.pdf</t>
  </si>
  <si>
    <t>McGill</t>
  </si>
  <si>
    <t>QC</t>
  </si>
  <si>
    <t>Montreal</t>
  </si>
  <si>
    <t>https://www.mcgill.ca/biology/graduate-studies/current-graduate-students-0/graduate-funding-0</t>
  </si>
  <si>
    <t>Full</t>
  </si>
  <si>
    <t>180/yr</t>
  </si>
  <si>
    <t>2024-2025</t>
  </si>
  <si>
    <t>Tuition will be reimbursed: "You will receive a subsidy to cover the cost of tuition and fees which you must pay to the University each term. This subsidy is paid by your supervisor and/or by awards that you receive. International students may additionally receive a Differential Fee Waiver (DFW) from GPS or an international student tuition relief award from the Department to offset your higher tuition cost."</t>
  </si>
  <si>
    <t>https://www.mcgill.ca/student-accounts/tuition-charges/fallwinter-term-tuition-and-fees/graduate-fees</t>
  </si>
  <si>
    <t>https://www.mcgill.ca/biology/graduate-0/current-graduate-students-0/graduate-funding-0</t>
  </si>
  <si>
    <t>AF: Updated with most recent numbers</t>
  </si>
  <si>
    <t>https://www.physics.mcgill.ca/grads/finance.html</t>
  </si>
  <si>
    <r>
      <rPr>
        <sz val="10"/>
        <color rgb="FF000000"/>
        <rFont val="Calibri, sans-serif"/>
      </rPr>
      <t xml:space="preserve">TA total: 5945 (AF edit: This was done incorrectly. The page says that 2880.90 is the tuition </t>
    </r>
    <r>
      <rPr>
        <i/>
        <sz val="10"/>
        <color rgb="FF000000"/>
        <rFont val="Calibri, sans-serif"/>
      </rPr>
      <t>after</t>
    </r>
    <r>
      <rPr>
        <sz val="10"/>
        <color rgb="FF000000"/>
        <rFont val="Calibri, sans-serif"/>
      </rPr>
      <t xml:space="preserve"> department subsidies, so it must be higher than that. I have/am revising this so that it's correct. It only impacts the OOP MSc and International MSc PhD tuitions. They have equalized the tuitions so all students, regardless of origin, pay same amount)</t>
    </r>
  </si>
  <si>
    <t>UdeM</t>
  </si>
  <si>
    <t>Department of Biological Science</t>
  </si>
  <si>
    <t>https://bio.umontreal.ca/english/student-resources/financial-support/#c83414</t>
  </si>
  <si>
    <t>No statement about how long tuition is guarenteed, TA hours, etc</t>
  </si>
  <si>
    <t>https://esp.umontreal.ca/english/what-you-need-to-know/admission/tuition-fees/</t>
  </si>
  <si>
    <t>https://bio.umontreal.ca/english/student-resources/financial-support/</t>
  </si>
  <si>
    <t>https://phys.umontreal.ca/english/home/</t>
  </si>
  <si>
    <t>https://phys.umontreal.ca/english/student-resources/financial-support/</t>
  </si>
  <si>
    <t>Concordia</t>
  </si>
  <si>
    <t>https://www.concordia.ca/artsci/biology/programs/graduate/phd-biology.html</t>
  </si>
  <si>
    <t>Full time is based on 11.25 credits per term = 33.75 credits per year. "
Each student on average receives $22,000 in annual support. Additional merit-based awards are available in limited numbers.
Support will be provided to most admitted international students to maintain tuition expenses at the level of Quebec residents."</t>
  </si>
  <si>
    <t>https://www.concordia.ca/content/dam/artsci/biology/docs/BIOLGradprogramguiderevised2024_inprogressMICHELLEApril2024_Changes_Accepted.pdf</t>
  </si>
  <si>
    <t>https://www.concordia.ca/artsci/physics.html</t>
  </si>
  <si>
    <t>https://www.concordia.ca/artsci/physics/programs/graduate/physics-msc.html</t>
  </si>
  <si>
    <t>UQAM</t>
  </si>
  <si>
    <t>Département des sciences biologiques</t>
  </si>
  <si>
    <t>https://bio.uqam.ca/en/#</t>
  </si>
  <si>
    <t>Tuition &amp; Fees are presented together</t>
  </si>
  <si>
    <t>https://etudier.uqam.ca/cout-bourses</t>
  </si>
  <si>
    <t xml:space="preserve">•        Do you offer a guaranteed stipend for graduate students (both master’s and PhD)?
The program of biology at UQAM imposes professors to pay a minimum stipends per student per year.
MSc = $12500 / PhD = $17000
Professors can ask for a maximum of one derogation. In biology, most professors pay their student more than this minimum (I would say the average is around $20000 before TAships, which means that students may be able to get around $25000 per year, they may also apply to institutional fellowships to get more money, and again whether the supervisors reduces their contribution or not depends on the professor).
UQAM also provides 13 000$ as an automatic institutional fellowship to every PhD student (5K 1st year ; 4k 2nd year ; 4K 3rd year). But professors can decide to include or not that amount in the minimum stipend described above.
•        If so, how many years is this stipend guaranteed for?
MSc = 2 years (6 terms) / PhD = 4 years (12 terms). There is no obligation, but most professors would extend the stipends if the student needs to extend their registration. 
•        What is the minimum value of this stipend (either gross or net of tuition)?
See above (gross).
•        Are students required to TA or RA on non-thesis-related work to attain this minimum level?
No. Students can choose to add TAships to this stipends. They generally do. 
I’ve heard some professors asked their students to do non-thesis-related research work, but I don’t think it’s the norm.
•        If TAing or RAing is required, how many hours per year (or week) does this entail?
We set a maximum number of TAships per year, because too much teaching could delay the thesis work. 
•        Does the department have any initiatives in place to mitigate higher tuition and healthcare costs for international students?
Yes. All the international PhD students (or the Canadian non Quebecer students) pay tuition fees that are equivalent to those of Quebec residents. That comes from an automatic tuition support from UQAM institution.
Unfortunately it’s not automatic for Master’s students, but UQAM’s Faculty of Science provides some fellowships per year to reduce tuition fees to the same level as Quebec students for the two years of the MSc.
If you want to get more information on tuition fees at UQAM: https://etudier.uqam.ca/cout-bourses
Every students who comes to Quebec, becomes a (temporary) Quebec resident and thus gets the provincial health care coverage.
I hope this will help. Thanks a lot for you actions! It’s really appreciated. I’ll try to change the content of the web page to add this type of information.
Best
Denis
</t>
  </si>
  <si>
    <t>https://etudier.uqam.ca/programme?code=3805</t>
  </si>
  <si>
    <t>No physics department, using Sciences de l’atmosphère: météo et climat</t>
  </si>
  <si>
    <t>http://www.ism.uqam.ca/</t>
  </si>
  <si>
    <t>There is no garanteed stipend by the programs, altough PhD students almost always receive grants or are hired by their research direction.
The university itself offers garanteed grants to all full time doctorate students ("bourse de soutien universel au doctorat"): https://bourses.uqam.ca/trouver-une-bourse/programme-de-bourses-de-soutien-universel-au-doctorat/ . It is 13 000$.
There are also some grants offered to some master students, but it is not for all of them. It gives 4000$: https://bourses.uqam.ca/trouver-une-bourse/bourses-institutionnelles-aux-cycles-superieurs/
Some  grants for master students are specifically offered to international students, to lower the cost of tuition: https://bourses.uqam.ca/trouver-une-bourse/bourses-detudes-droits-de-scolarite-majores/ . 
And of course there are institutionna grants for excellence, as well as a lot of paid research work available (but not garanteed).</t>
  </si>
  <si>
    <t>Laval</t>
  </si>
  <si>
    <t>Quebec City</t>
  </si>
  <si>
    <t>Departemente de Biologie</t>
  </si>
  <si>
    <t>https://www.fsg.ulaval.ca/departements/departement-de-biologie</t>
  </si>
  <si>
    <t>Average is ~15k for MSc, 20k PhD</t>
  </si>
  <si>
    <t>https://www.bbaf.ulaval.ca/en/scholarships-bursaries/canadian-citizens-or-permanent-residents/masters-program-funding/</t>
  </si>
  <si>
    <t>https://www.fsg.ulaval.ca/futurs-etudiants/bourses-couts-et-financement-des-etudes#c41560</t>
  </si>
  <si>
    <t>Tuition based on 2 terms of 12 credits each.</t>
  </si>
  <si>
    <t>Département de physique, de génie physique et d'optique</t>
  </si>
  <si>
    <t>https://www.fsg.ulaval.ca/departements/departement-de-physique-de-genie-physique-et-doptique</t>
  </si>
  <si>
    <t>No (officially, informally most offer a minimum of 16K, 2yrs guaranteed)</t>
  </si>
  <si>
    <t xml:space="preserve">•        Do you offer a guaranteed stipend for graduate students (both master’s and PhD)?  Officially NO but all professors (most) did.
•        If so, how many years is this stipend guaranteed for?  2 years for MSc, 4 years for PHD
•        What is the minimum value of this stipend (either gross or net of tuition)?   16K$ per year
•        Are students required to TA or RA on non-thesis-related work to attain this minimum level?  NO
•        If TAing or RAing is required, how many hours per year (or week) does this entail? NA
•        Does the department have any initiatives in place to mitigate higher tuition and healthcare costs for international students?  It is at a higher level, they offer reduce inscription cost.
</t>
  </si>
  <si>
    <t>Email, Department has no official minimum, but most/all (unclear) profs offer a minimum of 16k.</t>
  </si>
  <si>
    <t>No (officially, informally most offer a minimum of 16K, 4yrs guaranteed)</t>
  </si>
  <si>
    <t>Sherbrooke</t>
  </si>
  <si>
    <t>Biologie</t>
  </si>
  <si>
    <t>50% to Full</t>
  </si>
  <si>
    <t>https://www.usherbrooke.ca/admission/couts-et-aide-financiere/frais-scolarite</t>
  </si>
  <si>
    <t>Sherbrooke Quebec, 167162 pop Large population center</t>
  </si>
  <si>
    <t>Physique</t>
  </si>
  <si>
    <t>2017?</t>
  </si>
  <si>
    <t>https://www.usherbrooke.ca/physique/fileadmin/sites/physique/documents/Intranet/eFkt1T-English_information.pdf</t>
  </si>
  <si>
    <t>Regina</t>
  </si>
  <si>
    <t>SK</t>
  </si>
  <si>
    <t>https://www.uregina.ca/science/biology/index.html</t>
  </si>
  <si>
    <t>https://www.uregina.ca/fs/assets/docs/pdf/fee-schedules/202330-grad-studies-tuition-schedule.pdf</t>
  </si>
  <si>
    <t>https://www.uregina.ca/science/physics/</t>
  </si>
  <si>
    <t>Used 2023 fall, 2024 winter, 2024 spring/summer fees. Also used 5 credit hours for MSc, which is the mean number of credits/semester needed to finish in 4 years</t>
  </si>
  <si>
    <t>https://www.uregina.ca/fs/students/fee-schedule.html</t>
  </si>
  <si>
    <t>https://www.uregina.ca/science/physics/financial/graduate-finances.html</t>
  </si>
  <si>
    <r>
      <rPr>
        <sz val="9"/>
        <color rgb="FF000000"/>
        <rFont val="Arial, sans-serif"/>
      </rPr>
      <t xml:space="preserve">NOTE FOR CALCULATION: International increase is hidden in the fees, </t>
    </r>
    <r>
      <rPr>
        <i/>
        <sz val="9"/>
        <color rgb="FF000000"/>
        <rFont val="Arial, sans-serif"/>
      </rPr>
      <t>not</t>
    </r>
    <r>
      <rPr>
        <sz val="9"/>
        <color rgb="FF000000"/>
        <rFont val="Arial, sans-serif"/>
      </rPr>
      <t xml:space="preserve"> tuition as is typical</t>
    </r>
  </si>
  <si>
    <t>Saskatchewan</t>
  </si>
  <si>
    <t>Saskatoon</t>
  </si>
  <si>
    <t>https://artsandscience.usask.ca/biology/</t>
  </si>
  <si>
    <t>Stipends are recommended, not guaranteed. In the 2023/4 Graduate Student Handbook: "As of Sept 1 2023, the Biology department recommended graduate student stipends are as follows:
MSc: $22,500 for up to 28 months time in program
PhD: $24,000 for up to 52 months time in program"</t>
  </si>
  <si>
    <t>https://students.usask.ca/documents/registrarial/2023-2024-tuition-factsheet.pdf</t>
  </si>
  <si>
    <t>https://artsandscience.usask.ca/biology/documents/1-biology-grad-handbook_2023-24.pdf</t>
  </si>
  <si>
    <t>Department of Physics and Engineering Physics</t>
  </si>
  <si>
    <t>https://artsandscience.usask.ca/physics/index.php</t>
  </si>
  <si>
    <t>2024-2025 (assumed, stipend from email)</t>
  </si>
  <si>
    <t>While there is a link that appears to discuss (Departmental guidelines and Action Plan for devolved scholarship funds) that link is dead.</t>
  </si>
  <si>
    <t>https://students.usask.ca/money/tuition-fees/graduate-tuition.php</t>
  </si>
  <si>
    <t>Email</t>
  </si>
  <si>
    <t xml:space="preserve">•        Do you offer a guaranteed stipend for graduate students (both master's and PhD)?  PhD students are guaranteed $20k/year and MSc are guaranteed $18k/year.
•         If so, how many years is this stipend guaranteed for? PhD is for 4 years; MSc is for 2 years.
•        What is the minimum value of this stipend (either gross or net of tuition)?  Students receive the full stipend, they pay their own tuition.
•        Are students required to TA or RA on non-thesis-related work to attain this minimum level?  Students who receive departmental scholarships as part of the stipend totals are required to do TA work.
•        If TAing or RAing is required, how many hours per year (or week) does this entail?  Dependent on the amount of the scholarship they can be assigned between 30-60 hours per term.
•        Does the department have any initiatives in place to mitigate higher tuition and healthcare costs for international students?  We do not at this time due to limited funding available. Some Professors will give their students an extra stipend payment at the beginning of the term to help with their tuition.  Most students receive more than the required minimum stipend amounts already.
</t>
  </si>
  <si>
    <t>École Polytechnique de Montréal</t>
  </si>
  <si>
    <t>Genie Biomedical</t>
  </si>
  <si>
    <t>https://www.polymtl.ca/biomed/</t>
  </si>
  <si>
    <t>No, Discretion of Supervisor</t>
  </si>
  <si>
    <t xml:space="preserve">The numbers here are from the entire university and are based on some sort of discretion from the PI. </t>
  </si>
  <si>
    <t>https://www.polymtl.ca/futur/en/es/finances</t>
  </si>
  <si>
    <t>https://share.polymtl.ca/alfresco/service/api/path/content;cm:content/workspace/SpacesStore/Company%20Home/Sites/avis-diffusion/documentLibrary/DRI/AvisDRI-003-MAFS-2023-2024.pdf?a=false&amp;guest=true</t>
  </si>
  <si>
    <t>Genie Physique</t>
  </si>
  <si>
    <t>https://www.polymtl.ca/phys/</t>
  </si>
  <si>
    <t>University of Winnipeg</t>
  </si>
  <si>
    <t>https://www.uwinnipeg.ca/biology/graduate/our-program.html</t>
  </si>
  <si>
    <t>Tri-Council</t>
  </si>
  <si>
    <t>Faculty</t>
  </si>
  <si>
    <t>Contact Emails</t>
  </si>
  <si>
    <t>Emailed to Obtain</t>
  </si>
  <si>
    <t>Emailed to Confirm</t>
  </si>
  <si>
    <t>OOP Tuition</t>
  </si>
  <si>
    <t>OOP Waiver</t>
  </si>
  <si>
    <t>Gross Stipend OOP</t>
  </si>
  <si>
    <t>Net Stipend OOP</t>
  </si>
  <si>
    <t>NSERC</t>
  </si>
  <si>
    <t>Science</t>
  </si>
  <si>
    <t>SSHRC</t>
  </si>
  <si>
    <t>Political Science</t>
  </si>
  <si>
    <t>Social Science / Arts / Humanties</t>
  </si>
  <si>
    <t>MA</t>
  </si>
  <si>
    <t>History</t>
  </si>
  <si>
    <t>CIHR</t>
  </si>
  <si>
    <t>Medical Science - Biochemistry &amp; Molecular Biology</t>
  </si>
  <si>
    <t>Medicine</t>
  </si>
  <si>
    <t>Engineering - Civil</t>
  </si>
  <si>
    <t>Engineering</t>
  </si>
  <si>
    <t>MEng</t>
  </si>
  <si>
    <t>Thompson Rivers</t>
  </si>
  <si>
    <t>Kelowna</t>
  </si>
  <si>
    <t>Laurentian</t>
  </si>
  <si>
    <t>Sudbury</t>
  </si>
  <si>
    <t>UPEI</t>
  </si>
  <si>
    <t>PEI</t>
  </si>
  <si>
    <t>Charlottetown</t>
  </si>
  <si>
    <t>Brandon</t>
  </si>
  <si>
    <t>British Columbia Institute of Technology</t>
  </si>
  <si>
    <t>TAing requirements depends on funding arrangement with supervisor. TAing hours therefore depend, but it's frequently about 12 hours per week. No waivers specifically for international students outside what is generally given to students</t>
  </si>
  <si>
    <t>No other initiatives for international students</t>
  </si>
  <si>
    <t>104 hours of TAing per term</t>
  </si>
  <si>
    <t>Brandon Univeristy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</si>
</sst>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
    <numFmt numFmtId="165" formatCode="yyyy\-mm\-dd"/>
    <numFmt numFmtId="166" formatCode="d/m"/>
    <numFmt numFmtId="167" formatCode="yyyy\-m"/>
    <numFmt numFmtId="168" formatCode="dd\-mm\-yyyy"/>
    <numFmt numFmtId="169" formatCode="d\-m"/>
    <numFmt numFmtId="170" formatCode="[$$-380A]\ #,##0.00"/>
  </numFmts>
  <fonts count="53">
    <font>
      <sz val="10"/>
      <color rgb="FF000000"/>
      <name val="Arial"/>
      <scheme val="minor"/>
    </font>
    <font>
      <sz val="10"/>
      <color theme="1"/>
      <name val="Arial"/>
      <scheme val="minor"/>
    </font>
    <font>
      <i/>
      <sz val="9"/>
      <color rgb="FF000000"/>
      <name val="Arial"/>
    </font>
    <font>
      <sz val="9"/>
      <color rgb="FF000000"/>
      <name val="Arial"/>
    </font>
    <font>
      <sz val="9"/>
      <color theme="1"/>
      <name val="Arial"/>
    </font>
    <font>
      <u/>
      <sz val="9"/>
      <color rgb="FF000000"/>
      <name val="Arial"/>
    </font>
    <font>
      <u/>
      <sz val="9"/>
      <color rgb="FF0000FF"/>
      <name val="Arial"/>
    </font>
    <font>
      <u/>
      <sz val="9"/>
      <color rgb="FF0000FF"/>
      <name val="Arial"/>
    </font>
    <font>
      <sz val="10"/>
      <color rgb="FF000000"/>
      <name val="Calibri"/>
    </font>
    <font>
      <u/>
      <sz val="9"/>
      <color rgb="FF000000"/>
      <name val="Arial"/>
    </font>
    <font>
      <u/>
      <sz val="9"/>
      <color rgb="FF0000FF"/>
      <name val="Arial"/>
    </font>
    <font>
      <u/>
      <sz val="9"/>
      <color rgb="FF0000FF"/>
      <name val="Arial"/>
    </font>
    <font>
      <i/>
      <sz val="9"/>
      <color theme="1"/>
      <name val="Arial"/>
    </font>
    <font>
      <b/>
      <sz val="11"/>
      <color rgb="FF222222"/>
      <name val="Arial"/>
    </font>
    <font>
      <sz val="9"/>
      <color rgb="FF333333"/>
      <name val="Inherit"/>
    </font>
    <font>
      <i/>
      <sz val="10"/>
      <color theme="1"/>
      <name val="Arial"/>
      <scheme val="minor"/>
    </font>
    <font>
      <sz val="9"/>
      <color rgb="FF000000"/>
      <name val="&quot;Arial&quot;"/>
    </font>
    <font>
      <sz val="9"/>
      <color theme="1"/>
      <name val="Arial"/>
      <scheme val="minor"/>
    </font>
    <font>
      <sz val="9"/>
      <color rgb="FF1155CC"/>
      <name val="&quot;Google Sans Mono&quot;"/>
    </font>
    <font>
      <u/>
      <sz val="9"/>
      <color rgb="FF000000"/>
      <name val="Arial"/>
    </font>
    <font>
      <u/>
      <sz val="9"/>
      <color rgb="FF000000"/>
      <name val="Arial"/>
    </font>
    <font>
      <i/>
      <sz val="11"/>
      <color rgb="FF000000"/>
      <name val="Calibri"/>
    </font>
    <font>
      <sz val="9"/>
      <color theme="1"/>
      <name val="&quot;Google Sans Mono&quot;"/>
    </font>
    <font>
      <sz val="9"/>
      <color rgb="FF7E3794"/>
      <name val="Arial"/>
      <scheme val="minor"/>
    </font>
    <font>
      <sz val="12"/>
      <color rgb="FF333333"/>
      <name val="Din-2014"/>
    </font>
    <font>
      <sz val="12"/>
      <color rgb="FF000000"/>
      <name val="Arial"/>
    </font>
    <font>
      <sz val="10"/>
      <color rgb="FF101010"/>
      <name val="Arial"/>
    </font>
    <font>
      <u/>
      <sz val="10"/>
      <color rgb="FF0000FF"/>
      <name val="Arial"/>
    </font>
    <font>
      <sz val="10"/>
      <color rgb="FF000000"/>
      <name val="&quot;Open Sans&quot;"/>
    </font>
    <font>
      <u/>
      <sz val="10"/>
      <color rgb="FF0000FF"/>
      <name val="&quot;Segoe UI&quot;"/>
    </font>
    <font>
      <u/>
      <sz val="10"/>
      <color rgb="FF0000FF"/>
      <name val="Arial"/>
    </font>
    <font>
      <u/>
      <sz val="10"/>
      <color rgb="FF0000FF"/>
      <name val="Arial"/>
    </font>
    <font>
      <u/>
      <sz val="10"/>
      <color rgb="FF0000FF"/>
      <name val="&quot;Segoe UI&quot;"/>
    </font>
    <font>
      <u/>
      <sz val="9"/>
      <color rgb="FF000000"/>
      <name val="Arial"/>
    </font>
    <font>
      <u/>
      <sz val="9"/>
      <color rgb="FF000000"/>
      <name val="Arial"/>
    </font>
    <font>
      <sz val="10"/>
      <color theme="1"/>
      <name val="&quot;Segoe UI&quot;"/>
    </font>
    <font>
      <sz val="11"/>
      <color theme="1"/>
      <name val="Calibri"/>
    </font>
    <font>
      <u/>
      <sz val="11"/>
      <color rgb="FF0563C1"/>
      <name val="Calibri"/>
    </font>
    <font>
      <sz val="11"/>
      <color rgb="FF000000"/>
      <name val="Calibri"/>
    </font>
    <font>
      <u/>
      <sz val="9"/>
      <color rgb="FF000000"/>
      <name val="Arial"/>
    </font>
    <font>
      <u/>
      <sz val="9"/>
      <color rgb="FF0563C1"/>
      <name val="Arial"/>
    </font>
    <font>
      <u/>
      <sz val="9"/>
      <color rgb="FF000000"/>
      <name val="Arial"/>
    </font>
    <font>
      <u/>
      <sz val="9"/>
      <color rgb="FF0563C1"/>
      <name val="Arial"/>
    </font>
    <font>
      <u/>
      <sz val="9"/>
      <color rgb="FF0563C1"/>
      <name val="Arial"/>
    </font>
    <font>
      <u/>
      <sz val="11"/>
      <color rgb="FF0563C1"/>
      <name val="Calibri"/>
    </font>
    <font>
      <u/>
      <sz val="11"/>
      <color rgb="FF0563C1"/>
      <name val="Calibri"/>
    </font>
    <font>
      <u/>
      <sz val="9"/>
      <color rgb="FF1155CC"/>
      <name val="Arial, sans-serif"/>
    </font>
    <font>
      <u/>
      <sz val="9"/>
      <color rgb="FF000000"/>
      <name val="Arial, sans-serif"/>
    </font>
    <font>
      <sz val="9"/>
      <color rgb="FF000000"/>
      <name val="Arial, sans-serif"/>
    </font>
    <font>
      <u/>
      <sz val="9"/>
      <color rgb="FF0000FF"/>
      <name val="Arial, sans-serif"/>
    </font>
    <font>
      <sz val="10"/>
      <color rgb="FF000000"/>
      <name val="Calibri, sans-serif"/>
    </font>
    <font>
      <i/>
      <sz val="10"/>
      <color rgb="FF000000"/>
      <name val="Calibri, sans-serif"/>
    </font>
    <font>
      <i/>
      <sz val="9"/>
      <color rgb="FF000000"/>
      <name val="Arial, sans-serif"/>
    </font>
  </fonts>
  <fills count="13">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D9D2E9"/>
        <bgColor rgb="FFD9D2E9"/>
      </patternFill>
    </fill>
    <fill>
      <patternFill patternType="solid">
        <fgColor rgb="FFD0E0E3"/>
        <bgColor rgb="FFD0E0E3"/>
      </patternFill>
    </fill>
    <fill>
      <patternFill patternType="solid">
        <fgColor rgb="FFEFEFEF"/>
        <bgColor rgb="FFEFEFEF"/>
      </patternFill>
    </fill>
    <fill>
      <patternFill patternType="solid">
        <fgColor rgb="FFF4CCCC"/>
        <bgColor rgb="FFF4CCCC"/>
      </patternFill>
    </fill>
    <fill>
      <patternFill patternType="solid">
        <fgColor rgb="FFCFE2F3"/>
        <bgColor rgb="FFCFE2F3"/>
      </patternFill>
    </fill>
    <fill>
      <patternFill patternType="solid">
        <fgColor rgb="FFF2F2F2"/>
        <bgColor rgb="FFF2F2F2"/>
      </patternFill>
    </fill>
    <fill>
      <patternFill patternType="solid">
        <fgColor rgb="FF666666"/>
        <bgColor rgb="FF666666"/>
      </patternFill>
    </fill>
    <fill>
      <patternFill patternType="solid">
        <fgColor rgb="FFF3F3F3"/>
        <bgColor rgb="FFF3F3F3"/>
      </patternFill>
    </fill>
  </fills>
  <borders count="3">
    <border>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213">
    <xf numFmtId="0" fontId="0" fillId="0" borderId="0" xfId="0" applyFont="1" applyAlignment="1"/>
    <xf numFmtId="0" fontId="3" fillId="4" borderId="0" xfId="0" applyFont="1" applyFill="1" applyAlignment="1">
      <alignment horizontal="center" vertical="center" wrapText="1"/>
    </xf>
    <xf numFmtId="0" fontId="4" fillId="4" borderId="0" xfId="0" applyFont="1" applyFill="1" applyAlignment="1">
      <alignment horizontal="center" vertical="center" wrapText="1"/>
    </xf>
    <xf numFmtId="0" fontId="3"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left"/>
    </xf>
    <xf numFmtId="0" fontId="5" fillId="0" borderId="0" xfId="0" applyFont="1" applyAlignment="1">
      <alignment horizontal="left"/>
    </xf>
    <xf numFmtId="164" fontId="3" fillId="0" borderId="0" xfId="0" applyNumberFormat="1" applyFont="1" applyAlignment="1">
      <alignment horizontal="left"/>
    </xf>
    <xf numFmtId="164" fontId="2" fillId="0" borderId="0" xfId="0" applyNumberFormat="1" applyFont="1" applyAlignment="1">
      <alignment horizontal="left"/>
    </xf>
    <xf numFmtId="0" fontId="3" fillId="0" borderId="0" xfId="0" applyFont="1" applyAlignment="1">
      <alignment horizontal="left"/>
    </xf>
    <xf numFmtId="165" fontId="3" fillId="0" borderId="0" xfId="0" applyNumberFormat="1" applyFont="1" applyAlignment="1">
      <alignment horizontal="center"/>
    </xf>
    <xf numFmtId="0" fontId="3" fillId="0" borderId="0" xfId="0" applyFont="1" applyAlignment="1">
      <alignment horizontal="center"/>
    </xf>
    <xf numFmtId="0" fontId="6" fillId="0" borderId="0" xfId="0" applyFont="1" applyAlignment="1">
      <alignment horizontal="left" vertical="center"/>
    </xf>
    <xf numFmtId="164" fontId="3" fillId="0" borderId="0" xfId="0" applyNumberFormat="1" applyFont="1" applyAlignment="1">
      <alignment horizontal="left" vertical="center" wrapText="1"/>
    </xf>
    <xf numFmtId="164" fontId="2" fillId="0" borderId="0" xfId="0" applyNumberFormat="1" applyFont="1" applyAlignment="1">
      <alignment horizontal="center" vertical="center"/>
    </xf>
    <xf numFmtId="164" fontId="3" fillId="0" borderId="0" xfId="0" applyNumberFormat="1" applyFont="1" applyAlignment="1">
      <alignment horizontal="center" vertical="center"/>
    </xf>
    <xf numFmtId="164" fontId="3" fillId="0" borderId="0" xfId="0" applyNumberFormat="1" applyFont="1" applyAlignment="1">
      <alignment horizontal="left"/>
    </xf>
    <xf numFmtId="0" fontId="7" fillId="0" borderId="0" xfId="0" applyFont="1" applyAlignment="1">
      <alignment horizontal="left"/>
    </xf>
    <xf numFmtId="3" fontId="3" fillId="0" borderId="0" xfId="0" applyNumberFormat="1" applyFont="1" applyAlignment="1">
      <alignment horizontal="left"/>
    </xf>
    <xf numFmtId="3" fontId="2" fillId="0" borderId="0" xfId="0" applyNumberFormat="1" applyFont="1" applyAlignment="1">
      <alignment horizontal="left"/>
    </xf>
    <xf numFmtId="0" fontId="8" fillId="0" borderId="0" xfId="0" applyFont="1" applyAlignment="1">
      <alignment horizontal="left" wrapText="1"/>
    </xf>
    <xf numFmtId="0" fontId="9" fillId="0" borderId="0" xfId="0" applyFont="1" applyAlignment="1">
      <alignment horizontal="left"/>
    </xf>
    <xf numFmtId="0" fontId="3" fillId="0" borderId="0" xfId="0" applyFont="1" applyAlignment="1">
      <alignment horizontal="left"/>
    </xf>
    <xf numFmtId="0" fontId="10" fillId="0" borderId="0" xfId="0" applyFont="1" applyAlignment="1">
      <alignment horizontal="left" vertical="center"/>
    </xf>
    <xf numFmtId="166" fontId="3" fillId="0" borderId="0" xfId="0" applyNumberFormat="1" applyFont="1" applyAlignment="1">
      <alignment horizontal="left"/>
    </xf>
    <xf numFmtId="0" fontId="11" fillId="0" borderId="0" xfId="0" applyFont="1" applyAlignment="1">
      <alignment horizontal="left"/>
    </xf>
    <xf numFmtId="0" fontId="3" fillId="0" borderId="0" xfId="0" applyFont="1" applyAlignment="1">
      <alignment horizontal="left"/>
    </xf>
    <xf numFmtId="0" fontId="3" fillId="0" borderId="0" xfId="0" applyFont="1" applyAlignment="1">
      <alignment horizontal="left" vertical="center" wrapText="1"/>
    </xf>
    <xf numFmtId="0" fontId="1" fillId="0" borderId="0" xfId="0" applyFont="1" applyAlignment="1">
      <alignment vertical="center"/>
    </xf>
    <xf numFmtId="3" fontId="13" fillId="0" borderId="0" xfId="0" applyNumberFormat="1" applyFont="1" applyAlignment="1">
      <alignment horizontal="left"/>
    </xf>
    <xf numFmtId="0" fontId="14" fillId="0" borderId="0" xfId="0" applyFont="1" applyAlignment="1">
      <alignment wrapText="1"/>
    </xf>
    <xf numFmtId="164" fontId="15" fillId="0" borderId="0" xfId="0" applyNumberFormat="1" applyFont="1" applyAlignment="1"/>
    <xf numFmtId="165" fontId="16" fillId="0" borderId="0" xfId="0" applyNumberFormat="1" applyFont="1" applyAlignment="1">
      <alignment horizontal="center"/>
    </xf>
    <xf numFmtId="164" fontId="17" fillId="0" borderId="0" xfId="0" applyNumberFormat="1" applyFont="1"/>
    <xf numFmtId="164" fontId="18" fillId="0" borderId="0" xfId="0" applyNumberFormat="1" applyFont="1"/>
    <xf numFmtId="164" fontId="3" fillId="5" borderId="0" xfId="0" applyNumberFormat="1" applyFont="1" applyFill="1" applyAlignment="1">
      <alignment horizontal="left"/>
    </xf>
    <xf numFmtId="0" fontId="19" fillId="0" borderId="0" xfId="0" applyFont="1" applyAlignment="1">
      <alignment horizontal="left" vertical="center"/>
    </xf>
    <xf numFmtId="164" fontId="4" fillId="0" borderId="0" xfId="0" applyNumberFormat="1" applyFont="1" applyAlignment="1">
      <alignment horizontal="left"/>
    </xf>
    <xf numFmtId="164" fontId="4" fillId="0" borderId="0" xfId="0" applyNumberFormat="1" applyFont="1" applyAlignment="1">
      <alignment horizontal="center" vertical="center"/>
    </xf>
    <xf numFmtId="4" fontId="3" fillId="0" borderId="0" xfId="0" applyNumberFormat="1" applyFont="1" applyAlignment="1">
      <alignment horizontal="left"/>
    </xf>
    <xf numFmtId="4" fontId="1" fillId="0" borderId="0" xfId="0" applyNumberFormat="1" applyFont="1" applyAlignment="1"/>
    <xf numFmtId="0" fontId="1" fillId="0" borderId="0" xfId="0" applyFont="1" applyAlignment="1"/>
    <xf numFmtId="167" fontId="3" fillId="0" borderId="0" xfId="0" applyNumberFormat="1" applyFont="1" applyAlignment="1">
      <alignment horizontal="center"/>
    </xf>
    <xf numFmtId="0" fontId="20" fillId="0" borderId="0" xfId="0" applyFont="1" applyAlignment="1">
      <alignment horizontal="left"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164" fontId="17" fillId="0" borderId="0" xfId="0" applyNumberFormat="1" applyFont="1" applyAlignment="1">
      <alignment vertical="center"/>
    </xf>
    <xf numFmtId="0" fontId="21" fillId="0" borderId="0" xfId="0" applyFont="1" applyAlignment="1">
      <alignment vertical="center"/>
    </xf>
    <xf numFmtId="3" fontId="3" fillId="0" borderId="0" xfId="0" applyNumberFormat="1" applyFont="1" applyAlignment="1">
      <alignment horizontal="center" vertical="center"/>
    </xf>
    <xf numFmtId="164" fontId="22" fillId="0" borderId="0" xfId="0" applyNumberFormat="1" applyFont="1"/>
    <xf numFmtId="164" fontId="1" fillId="0" borderId="0" xfId="0" applyNumberFormat="1" applyFont="1"/>
    <xf numFmtId="3" fontId="1" fillId="0" borderId="0" xfId="0" applyNumberFormat="1" applyFont="1" applyAlignment="1"/>
    <xf numFmtId="164" fontId="23" fillId="0" borderId="0" xfId="0" applyNumberFormat="1" applyFont="1"/>
    <xf numFmtId="164" fontId="1" fillId="0" borderId="0" xfId="0" applyNumberFormat="1" applyFont="1" applyAlignment="1"/>
    <xf numFmtId="3" fontId="3" fillId="5" borderId="0" xfId="0" applyNumberFormat="1" applyFont="1" applyFill="1" applyAlignment="1">
      <alignment horizontal="left"/>
    </xf>
    <xf numFmtId="3" fontId="23" fillId="0" borderId="0" xfId="0" applyNumberFormat="1" applyFont="1"/>
    <xf numFmtId="0" fontId="3" fillId="0" borderId="0" xfId="0" applyFont="1" applyAlignment="1">
      <alignment horizontal="left" wrapText="1"/>
    </xf>
    <xf numFmtId="0" fontId="3" fillId="0" borderId="0" xfId="0" applyFont="1" applyAlignment="1">
      <alignment horizontal="left" vertical="center"/>
    </xf>
    <xf numFmtId="167" fontId="16" fillId="0" borderId="0" xfId="0" applyNumberFormat="1" applyFont="1" applyAlignment="1">
      <alignment horizontal="center"/>
    </xf>
    <xf numFmtId="168" fontId="3" fillId="0" borderId="0" xfId="0" applyNumberFormat="1" applyFont="1" applyAlignment="1">
      <alignment horizontal="center"/>
    </xf>
    <xf numFmtId="164" fontId="24" fillId="0" borderId="0" xfId="0" applyNumberFormat="1" applyFont="1" applyAlignment="1"/>
    <xf numFmtId="0" fontId="25" fillId="0" borderId="0" xfId="0" applyFont="1" applyAlignment="1">
      <alignment horizontal="left"/>
    </xf>
    <xf numFmtId="169" fontId="3" fillId="0" borderId="0" xfId="0" applyNumberFormat="1" applyFont="1" applyAlignment="1">
      <alignment horizontal="left"/>
    </xf>
    <xf numFmtId="0" fontId="26" fillId="0" borderId="0" xfId="0" applyFont="1" applyAlignment="1">
      <alignment horizontal="left"/>
    </xf>
    <xf numFmtId="0" fontId="27" fillId="0" borderId="0" xfId="0" applyFont="1" applyAlignment="1">
      <alignment vertical="center"/>
    </xf>
    <xf numFmtId="0" fontId="28" fillId="0" borderId="0" xfId="0" applyFont="1" applyAlignment="1">
      <alignment horizontal="left"/>
    </xf>
    <xf numFmtId="0" fontId="29" fillId="0" borderId="0" xfId="0" applyFont="1" applyAlignment="1">
      <alignment vertical="center"/>
    </xf>
    <xf numFmtId="0" fontId="30" fillId="0" borderId="0" xfId="0" applyFont="1" applyAlignment="1">
      <alignment vertical="center"/>
    </xf>
    <xf numFmtId="0" fontId="31" fillId="0" borderId="0" xfId="0" applyFont="1" applyAlignment="1">
      <alignment vertical="center"/>
    </xf>
    <xf numFmtId="0" fontId="32" fillId="0" borderId="0" xfId="0" applyFont="1" applyAlignment="1"/>
    <xf numFmtId="0" fontId="1" fillId="0" borderId="0" xfId="0" applyFont="1"/>
    <xf numFmtId="0" fontId="33" fillId="0" borderId="0" xfId="0" applyFont="1" applyAlignment="1">
      <alignment horizontal="left"/>
    </xf>
    <xf numFmtId="3" fontId="34" fillId="0" borderId="0" xfId="0" applyNumberFormat="1" applyFont="1" applyAlignment="1">
      <alignment horizontal="left"/>
    </xf>
    <xf numFmtId="14" fontId="3" fillId="0" borderId="0" xfId="0" applyNumberFormat="1" applyFont="1" applyAlignment="1">
      <alignment horizontal="center"/>
    </xf>
    <xf numFmtId="0" fontId="35" fillId="0" borderId="0" xfId="0" applyFont="1" applyAlignment="1">
      <alignment vertical="center"/>
    </xf>
    <xf numFmtId="0" fontId="36" fillId="0" borderId="0" xfId="0" applyFont="1" applyAlignment="1">
      <alignment wrapText="1"/>
    </xf>
    <xf numFmtId="0" fontId="15" fillId="0" borderId="0" xfId="0" applyFont="1" applyAlignment="1">
      <alignment vertical="center"/>
    </xf>
    <xf numFmtId="0" fontId="2" fillId="10" borderId="1" xfId="0" applyFont="1" applyFill="1" applyBorder="1" applyAlignment="1">
      <alignment horizontal="left"/>
    </xf>
    <xf numFmtId="0" fontId="3" fillId="10" borderId="1" xfId="0" applyFont="1" applyFill="1" applyBorder="1" applyAlignment="1">
      <alignment horizontal="left"/>
    </xf>
    <xf numFmtId="0" fontId="3" fillId="10" borderId="1" xfId="0" applyFont="1" applyFill="1" applyBorder="1" applyAlignment="1">
      <alignment horizontal="center"/>
    </xf>
    <xf numFmtId="164" fontId="2" fillId="10" borderId="1" xfId="0" applyNumberFormat="1" applyFont="1" applyFill="1" applyBorder="1" applyAlignment="1">
      <alignment horizontal="left"/>
    </xf>
    <xf numFmtId="164" fontId="3" fillId="10" borderId="1" xfId="0" applyNumberFormat="1" applyFont="1" applyFill="1" applyBorder="1" applyAlignment="1">
      <alignment horizontal="left"/>
    </xf>
    <xf numFmtId="165" fontId="3" fillId="10" borderId="1" xfId="0" applyNumberFormat="1" applyFont="1" applyFill="1" applyBorder="1" applyAlignment="1">
      <alignment horizontal="left"/>
    </xf>
    <xf numFmtId="164" fontId="3" fillId="10" borderId="0" xfId="0" applyNumberFormat="1" applyFont="1" applyFill="1" applyAlignment="1">
      <alignment horizontal="left"/>
    </xf>
    <xf numFmtId="0" fontId="3" fillId="10" borderId="0" xfId="0" applyFont="1" applyFill="1" applyAlignment="1">
      <alignment horizontal="left"/>
    </xf>
    <xf numFmtId="0" fontId="2" fillId="10" borderId="0" xfId="0" applyFont="1" applyFill="1" applyAlignment="1">
      <alignment horizontal="left"/>
    </xf>
    <xf numFmtId="0" fontId="3" fillId="10" borderId="0" xfId="0" applyFont="1" applyFill="1" applyAlignment="1">
      <alignment horizontal="center"/>
    </xf>
    <xf numFmtId="164" fontId="2" fillId="10" borderId="0" xfId="0" applyNumberFormat="1" applyFont="1" applyFill="1" applyAlignment="1">
      <alignment horizontal="left"/>
    </xf>
    <xf numFmtId="165" fontId="3" fillId="10" borderId="0" xfId="0" applyNumberFormat="1" applyFont="1" applyFill="1" applyAlignment="1">
      <alignment horizontal="left"/>
    </xf>
    <xf numFmtId="0" fontId="8" fillId="0" borderId="0" xfId="0" applyFont="1" applyAlignment="1">
      <alignment horizontal="left"/>
    </xf>
    <xf numFmtId="0" fontId="2" fillId="11" borderId="0" xfId="0" applyFont="1" applyFill="1" applyAlignment="1">
      <alignment horizontal="left" vertical="center"/>
    </xf>
    <xf numFmtId="0" fontId="2" fillId="11" borderId="0" xfId="0" applyFont="1" applyFill="1" applyAlignment="1">
      <alignment horizontal="left"/>
    </xf>
    <xf numFmtId="0" fontId="37" fillId="11" borderId="0" xfId="0" applyFont="1" applyFill="1" applyAlignment="1">
      <alignment horizontal="left"/>
    </xf>
    <xf numFmtId="0" fontId="3" fillId="11" borderId="0" xfId="0" applyFont="1" applyFill="1" applyAlignment="1">
      <alignment horizontal="left"/>
    </xf>
    <xf numFmtId="0" fontId="3" fillId="11" borderId="0" xfId="0" applyFont="1" applyFill="1" applyAlignment="1">
      <alignment horizontal="center"/>
    </xf>
    <xf numFmtId="164" fontId="3" fillId="11" borderId="0" xfId="0" applyNumberFormat="1" applyFont="1" applyFill="1" applyAlignment="1">
      <alignment horizontal="left"/>
    </xf>
    <xf numFmtId="164" fontId="2" fillId="11" borderId="0" xfId="0" applyNumberFormat="1" applyFont="1" applyFill="1" applyAlignment="1">
      <alignment horizontal="left"/>
    </xf>
    <xf numFmtId="3" fontId="3" fillId="11" borderId="0" xfId="0" applyNumberFormat="1" applyFont="1" applyFill="1" applyAlignment="1">
      <alignment horizontal="left"/>
    </xf>
    <xf numFmtId="3" fontId="2" fillId="11" borderId="0" xfId="0" applyNumberFormat="1" applyFont="1" applyFill="1" applyAlignment="1">
      <alignment horizontal="left"/>
    </xf>
    <xf numFmtId="0" fontId="3" fillId="11" borderId="0" xfId="0" applyFont="1" applyFill="1" applyAlignment="1">
      <alignment horizontal="left"/>
    </xf>
    <xf numFmtId="0" fontId="8" fillId="11" borderId="0" xfId="0" applyFont="1" applyFill="1" applyAlignment="1">
      <alignment horizontal="left"/>
    </xf>
    <xf numFmtId="0" fontId="38" fillId="11" borderId="0" xfId="0" applyFont="1" applyFill="1" applyAlignment="1"/>
    <xf numFmtId="0" fontId="8" fillId="11" borderId="0" xfId="0" applyFont="1" applyFill="1" applyAlignment="1">
      <alignment horizontal="left"/>
    </xf>
    <xf numFmtId="0" fontId="3" fillId="11" borderId="0" xfId="0" applyFont="1" applyFill="1" applyAlignment="1">
      <alignment horizontal="left"/>
    </xf>
    <xf numFmtId="0" fontId="2" fillId="0" borderId="0" xfId="0" applyFont="1" applyAlignment="1">
      <alignment horizontal="left" vertical="center"/>
    </xf>
    <xf numFmtId="0" fontId="2" fillId="0" borderId="0" xfId="0" applyFont="1" applyAlignment="1">
      <alignment horizontal="left"/>
    </xf>
    <xf numFmtId="0" fontId="3" fillId="0" borderId="0" xfId="0" applyFont="1" applyAlignment="1">
      <alignment horizontal="left"/>
    </xf>
    <xf numFmtId="164" fontId="2" fillId="0" borderId="0" xfId="0" applyNumberFormat="1" applyFont="1" applyAlignment="1">
      <alignment horizontal="left"/>
    </xf>
    <xf numFmtId="0" fontId="39" fillId="10" borderId="1" xfId="0" applyFont="1" applyFill="1" applyBorder="1" applyAlignment="1">
      <alignment horizontal="left"/>
    </xf>
    <xf numFmtId="0" fontId="3" fillId="10" borderId="1" xfId="0" applyFont="1" applyFill="1" applyBorder="1" applyAlignment="1">
      <alignment horizontal="left"/>
    </xf>
    <xf numFmtId="0" fontId="3" fillId="10" borderId="0" xfId="0" applyFont="1" applyFill="1" applyAlignment="1">
      <alignment horizontal="left"/>
    </xf>
    <xf numFmtId="0" fontId="40" fillId="0" borderId="0" xfId="0" applyFont="1" applyAlignment="1">
      <alignment horizontal="left"/>
    </xf>
    <xf numFmtId="0" fontId="41" fillId="10" borderId="0" xfId="0" applyFont="1" applyFill="1" applyAlignment="1">
      <alignment horizontal="left"/>
    </xf>
    <xf numFmtId="0" fontId="2" fillId="11" borderId="0" xfId="0" applyFont="1" applyFill="1"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3" fillId="0" borderId="0" xfId="0" applyFont="1" applyAlignment="1">
      <alignment horizontal="left"/>
    </xf>
    <xf numFmtId="0" fontId="42" fillId="0" borderId="0" xfId="0" applyFont="1" applyAlignment="1">
      <alignment horizontal="left"/>
    </xf>
    <xf numFmtId="164" fontId="3" fillId="0" borderId="0" xfId="0" applyNumberFormat="1" applyFont="1" applyAlignment="1">
      <alignment horizontal="left"/>
    </xf>
    <xf numFmtId="164" fontId="2" fillId="0" borderId="0" xfId="0" applyNumberFormat="1" applyFont="1" applyAlignment="1">
      <alignment horizontal="left"/>
    </xf>
    <xf numFmtId="0" fontId="3" fillId="10" borderId="1" xfId="0" applyFont="1" applyFill="1" applyBorder="1" applyAlignment="1">
      <alignment horizontal="left"/>
    </xf>
    <xf numFmtId="3" fontId="2" fillId="10" borderId="0" xfId="0" applyNumberFormat="1" applyFont="1" applyFill="1" applyAlignment="1">
      <alignment horizontal="left"/>
    </xf>
    <xf numFmtId="0" fontId="3" fillId="10" borderId="0" xfId="0" applyFont="1" applyFill="1" applyAlignment="1">
      <alignment horizontal="left"/>
    </xf>
    <xf numFmtId="0" fontId="2" fillId="0" borderId="2" xfId="0" applyFont="1" applyBorder="1" applyAlignment="1">
      <alignment horizontal="left" vertical="center"/>
    </xf>
    <xf numFmtId="0" fontId="2" fillId="0" borderId="2" xfId="0" applyFont="1" applyBorder="1" applyAlignment="1">
      <alignment horizontal="left"/>
    </xf>
    <xf numFmtId="0" fontId="3" fillId="0" borderId="2" xfId="0" applyFont="1" applyBorder="1" applyAlignment="1">
      <alignment horizontal="left"/>
    </xf>
    <xf numFmtId="0" fontId="43" fillId="0" borderId="2" xfId="0" applyFont="1" applyBorder="1" applyAlignment="1">
      <alignment horizontal="left"/>
    </xf>
    <xf numFmtId="164" fontId="3" fillId="0" borderId="2" xfId="0" applyNumberFormat="1" applyFont="1" applyBorder="1" applyAlignment="1">
      <alignment horizontal="left"/>
    </xf>
    <xf numFmtId="164" fontId="2" fillId="0" borderId="2" xfId="0" applyNumberFormat="1" applyFont="1" applyBorder="1" applyAlignment="1">
      <alignment horizontal="left"/>
    </xf>
    <xf numFmtId="0" fontId="21" fillId="11" borderId="0" xfId="0" applyFont="1" applyFill="1" applyAlignment="1">
      <alignment vertical="center"/>
    </xf>
    <xf numFmtId="0" fontId="2" fillId="0" borderId="0" xfId="0" applyFont="1" applyAlignment="1">
      <alignment horizontal="left"/>
    </xf>
    <xf numFmtId="0" fontId="3" fillId="0" borderId="0" xfId="0" applyFont="1" applyAlignment="1">
      <alignment horizontal="left"/>
    </xf>
    <xf numFmtId="0" fontId="3" fillId="0" borderId="0" xfId="0" applyFont="1" applyAlignment="1">
      <alignment horizontal="left"/>
    </xf>
    <xf numFmtId="3" fontId="3" fillId="10" borderId="0" xfId="0" applyNumberFormat="1" applyFont="1" applyFill="1" applyAlignment="1">
      <alignment horizontal="left"/>
    </xf>
    <xf numFmtId="0" fontId="3" fillId="0" borderId="0" xfId="0" applyFont="1" applyAlignment="1">
      <alignment horizontal="center"/>
    </xf>
    <xf numFmtId="0" fontId="3" fillId="10" borderId="0" xfId="0" applyFont="1" applyFill="1" applyAlignment="1">
      <alignment horizontal="left"/>
    </xf>
    <xf numFmtId="0" fontId="3" fillId="0" borderId="2" xfId="0" applyFont="1" applyBorder="1" applyAlignment="1">
      <alignment horizontal="left"/>
    </xf>
    <xf numFmtId="0" fontId="15" fillId="11" borderId="0" xfId="0" applyFont="1" applyFill="1" applyAlignment="1">
      <alignment vertical="center"/>
    </xf>
    <xf numFmtId="0" fontId="2" fillId="3" borderId="0" xfId="0" applyFont="1" applyFill="1" applyAlignment="1">
      <alignment horizontal="left" vertical="center"/>
    </xf>
    <xf numFmtId="0" fontId="2" fillId="3" borderId="0" xfId="0" applyFont="1" applyFill="1" applyAlignment="1">
      <alignment horizontal="left"/>
    </xf>
    <xf numFmtId="0" fontId="3" fillId="3" borderId="0" xfId="0" applyFont="1" applyFill="1" applyAlignment="1">
      <alignment horizontal="left"/>
    </xf>
    <xf numFmtId="0" fontId="3" fillId="3" borderId="0" xfId="0" applyFont="1" applyFill="1" applyAlignment="1">
      <alignment horizontal="left"/>
    </xf>
    <xf numFmtId="164" fontId="3" fillId="3" borderId="0" xfId="0" applyNumberFormat="1" applyFont="1" applyFill="1" applyAlignment="1">
      <alignment horizontal="left"/>
    </xf>
    <xf numFmtId="164" fontId="2" fillId="3" borderId="0" xfId="0" applyNumberFormat="1" applyFont="1" applyFill="1" applyAlignment="1">
      <alignment horizontal="left"/>
    </xf>
    <xf numFmtId="164" fontId="3" fillId="2" borderId="0" xfId="0" applyNumberFormat="1" applyFont="1" applyFill="1" applyAlignment="1">
      <alignment horizontal="left"/>
    </xf>
    <xf numFmtId="0" fontId="3" fillId="2" borderId="0" xfId="0" applyFont="1" applyFill="1" applyAlignment="1">
      <alignment horizontal="left"/>
    </xf>
    <xf numFmtId="0" fontId="2" fillId="2" borderId="0" xfId="0" applyFont="1" applyFill="1" applyAlignment="1">
      <alignment horizontal="left"/>
    </xf>
    <xf numFmtId="0" fontId="44" fillId="10" borderId="0" xfId="0" applyFont="1" applyFill="1" applyAlignment="1">
      <alignment horizontal="left"/>
    </xf>
    <xf numFmtId="0" fontId="8" fillId="10" borderId="0" xfId="0" applyFont="1" applyFill="1" applyAlignment="1">
      <alignment horizontal="left"/>
    </xf>
    <xf numFmtId="0" fontId="2" fillId="0" borderId="0" xfId="0" applyFont="1" applyAlignment="1">
      <alignment vertical="center"/>
    </xf>
    <xf numFmtId="0" fontId="45" fillId="0" borderId="0" xfId="0" applyFont="1" applyAlignment="1">
      <alignment horizontal="left"/>
    </xf>
    <xf numFmtId="0" fontId="38" fillId="0" borderId="0" xfId="0" applyFont="1" applyAlignment="1"/>
    <xf numFmtId="0" fontId="8" fillId="0" borderId="0" xfId="0" applyFont="1" applyAlignment="1">
      <alignment horizontal="left"/>
    </xf>
    <xf numFmtId="0" fontId="38" fillId="7" borderId="0" xfId="0" applyFont="1" applyFill="1" applyAlignment="1"/>
    <xf numFmtId="0" fontId="38" fillId="0" borderId="0" xfId="0" applyFont="1" applyAlignment="1"/>
    <xf numFmtId="0" fontId="0" fillId="0" borderId="0" xfId="0" applyFont="1" applyAlignment="1"/>
    <xf numFmtId="0" fontId="2" fillId="0" borderId="0" xfId="0" applyFont="1" applyAlignment="1">
      <alignment horizontal="left" vertical="center" wrapText="1"/>
    </xf>
    <xf numFmtId="0" fontId="2" fillId="0" borderId="0" xfId="0" applyFont="1" applyAlignment="1">
      <alignment horizontal="left" vertical="center"/>
    </xf>
    <xf numFmtId="0" fontId="3" fillId="0" borderId="0" xfId="0" applyFont="1" applyAlignment="1">
      <alignment horizontal="left" vertical="center" wrapText="1"/>
    </xf>
    <xf numFmtId="0" fontId="2" fillId="11" borderId="0" xfId="0" applyFont="1" applyFill="1" applyAlignment="1">
      <alignment horizontal="left" vertical="center"/>
    </xf>
    <xf numFmtId="0" fontId="2" fillId="10" borderId="1" xfId="0" applyFont="1" applyFill="1" applyBorder="1" applyAlignment="1">
      <alignment horizontal="left" vertical="center" wrapText="1"/>
    </xf>
    <xf numFmtId="0" fontId="2" fillId="7" borderId="1" xfId="0" applyFont="1" applyFill="1" applyBorder="1" applyAlignment="1">
      <alignment horizontal="left" vertical="center"/>
    </xf>
    <xf numFmtId="0" fontId="2" fillId="10" borderId="1" xfId="0" applyFont="1" applyFill="1" applyBorder="1" applyAlignment="1">
      <alignment horizontal="left" vertical="center"/>
    </xf>
    <xf numFmtId="0" fontId="2" fillId="11" borderId="0" xfId="0" applyFont="1" applyFill="1" applyAlignment="1">
      <alignment horizontal="left" vertical="center" wrapText="1"/>
    </xf>
    <xf numFmtId="0" fontId="3" fillId="10" borderId="1" xfId="0" applyFont="1" applyFill="1" applyBorder="1" applyAlignment="1">
      <alignment horizontal="left" vertical="center" wrapText="1"/>
    </xf>
    <xf numFmtId="0" fontId="3" fillId="11" borderId="0" xfId="0" applyFont="1" applyFill="1" applyAlignment="1">
      <alignment horizontal="left" vertical="center" wrapText="1"/>
    </xf>
    <xf numFmtId="0" fontId="2" fillId="11" borderId="0" xfId="0" applyFont="1" applyFill="1" applyAlignment="1">
      <alignment vertical="center"/>
    </xf>
    <xf numFmtId="0" fontId="2" fillId="7" borderId="0" xfId="0" applyFont="1" applyFill="1" applyAlignment="1">
      <alignment horizontal="left" vertical="center"/>
    </xf>
    <xf numFmtId="0" fontId="15" fillId="7"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left" vertical="center"/>
    </xf>
    <xf numFmtId="0" fontId="2" fillId="9" borderId="1" xfId="0" applyFont="1" applyFill="1" applyBorder="1" applyAlignment="1">
      <alignment horizontal="left" vertical="center"/>
    </xf>
    <xf numFmtId="0" fontId="21" fillId="7" borderId="1" xfId="0" applyFont="1" applyFill="1" applyBorder="1" applyAlignment="1">
      <alignment vertical="center"/>
    </xf>
    <xf numFmtId="0" fontId="21" fillId="12" borderId="0" xfId="0" applyFont="1" applyFill="1" applyAlignment="1">
      <alignment vertical="center"/>
    </xf>
    <xf numFmtId="0" fontId="2" fillId="12" borderId="0" xfId="0" applyFont="1" applyFill="1" applyAlignment="1">
      <alignment horizontal="left" vertical="center"/>
    </xf>
    <xf numFmtId="0" fontId="2" fillId="0" borderId="0" xfId="0" applyFont="1" applyAlignment="1">
      <alignment vertical="center"/>
    </xf>
    <xf numFmtId="0" fontId="2" fillId="10" borderId="0" xfId="0" applyFont="1" applyFill="1" applyAlignment="1">
      <alignment horizontal="left" vertical="center"/>
    </xf>
    <xf numFmtId="0" fontId="2" fillId="10" borderId="0" xfId="0" applyFont="1" applyFill="1" applyAlignment="1">
      <alignment horizontal="left" vertical="center" wrapText="1"/>
    </xf>
    <xf numFmtId="0" fontId="3" fillId="10" borderId="0" xfId="0" applyFont="1" applyFill="1" applyAlignment="1">
      <alignment horizontal="left" vertical="center" wrapText="1"/>
    </xf>
    <xf numFmtId="0" fontId="3" fillId="3" borderId="0" xfId="0" applyFont="1" applyFill="1" applyAlignment="1">
      <alignment horizontal="left"/>
    </xf>
    <xf numFmtId="0" fontId="2" fillId="3" borderId="0" xfId="0" applyFont="1" applyFill="1" applyAlignment="1">
      <alignment vertical="center" wrapText="1"/>
    </xf>
    <xf numFmtId="0" fontId="3" fillId="4" borderId="0" xfId="0" applyFont="1" applyFill="1" applyAlignment="1">
      <alignment vertical="center" wrapText="1"/>
    </xf>
    <xf numFmtId="164" fontId="3" fillId="4" borderId="0" xfId="0" applyNumberFormat="1" applyFont="1" applyFill="1" applyAlignment="1">
      <alignment vertical="center" wrapText="1"/>
    </xf>
    <xf numFmtId="164" fontId="2" fillId="5" borderId="0" xfId="0" applyNumberFormat="1" applyFont="1" applyFill="1" applyAlignment="1">
      <alignment vertical="center" wrapText="1"/>
    </xf>
    <xf numFmtId="0" fontId="2" fillId="5" borderId="0" xfId="0" applyFont="1" applyFill="1" applyAlignment="1">
      <alignment vertical="center" wrapText="1"/>
    </xf>
    <xf numFmtId="164" fontId="4" fillId="6" borderId="0" xfId="0" applyNumberFormat="1" applyFont="1" applyFill="1" applyAlignment="1">
      <alignment vertical="center" wrapText="1"/>
    </xf>
    <xf numFmtId="164" fontId="3" fillId="6" borderId="0" xfId="0" applyNumberFormat="1" applyFont="1" applyFill="1" applyAlignment="1">
      <alignment vertical="center" wrapText="1"/>
    </xf>
    <xf numFmtId="164" fontId="3" fillId="5" borderId="0" xfId="0" applyNumberFormat="1" applyFont="1" applyFill="1" applyAlignment="1">
      <alignment vertical="center" wrapText="1"/>
    </xf>
    <xf numFmtId="0" fontId="12" fillId="0" borderId="0" xfId="0" applyFont="1" applyAlignment="1">
      <alignment vertical="center"/>
    </xf>
    <xf numFmtId="0" fontId="3" fillId="0" borderId="0" xfId="0" applyFont="1"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5" fillId="0" borderId="0" xfId="0" applyFont="1" applyAlignment="1"/>
    <xf numFmtId="0" fontId="3" fillId="0" borderId="0" xfId="0" applyFont="1" applyAlignment="1">
      <alignment wrapText="1"/>
    </xf>
    <xf numFmtId="0" fontId="6" fillId="0" borderId="0" xfId="0" applyFont="1" applyAlignment="1">
      <alignment vertical="center"/>
    </xf>
    <xf numFmtId="164" fontId="4" fillId="0" borderId="0" xfId="0" applyNumberFormat="1" applyFont="1" applyAlignment="1">
      <alignment vertical="center"/>
    </xf>
    <xf numFmtId="164" fontId="3" fillId="0" borderId="0" xfId="0" applyNumberFormat="1" applyFont="1" applyAlignment="1">
      <alignment vertical="center" wrapText="1"/>
    </xf>
    <xf numFmtId="164" fontId="2" fillId="0" borderId="0" xfId="0" applyNumberFormat="1" applyFont="1" applyAlignment="1">
      <alignment vertical="center"/>
    </xf>
    <xf numFmtId="164" fontId="3" fillId="0" borderId="0" xfId="0" applyNumberFormat="1" applyFont="1" applyAlignment="1">
      <alignment vertical="center"/>
    </xf>
    <xf numFmtId="0" fontId="7" fillId="0" borderId="0" xfId="0" applyFont="1" applyAlignment="1"/>
    <xf numFmtId="0" fontId="8" fillId="0" borderId="0" xfId="0" applyFont="1" applyAlignment="1">
      <alignment wrapText="1"/>
    </xf>
    <xf numFmtId="0" fontId="3" fillId="8" borderId="0" xfId="0" applyFont="1" applyFill="1" applyAlignment="1">
      <alignment vertical="center"/>
    </xf>
    <xf numFmtId="164" fontId="3" fillId="8" borderId="0" xfId="0" applyNumberFormat="1" applyFont="1" applyFill="1" applyAlignment="1">
      <alignment vertical="center"/>
    </xf>
    <xf numFmtId="0" fontId="9" fillId="0" borderId="0" xfId="0" applyFont="1" applyAlignment="1"/>
    <xf numFmtId="3" fontId="3" fillId="2" borderId="0" xfId="0" applyNumberFormat="1" applyFont="1" applyFill="1" applyAlignment="1">
      <alignment vertical="center"/>
    </xf>
    <xf numFmtId="0" fontId="3" fillId="0" borderId="0" xfId="0" applyFont="1" applyAlignment="1"/>
    <xf numFmtId="164" fontId="1" fillId="0" borderId="0" xfId="0" applyNumberFormat="1" applyFont="1" applyAlignment="1">
      <alignment vertical="center"/>
    </xf>
    <xf numFmtId="0" fontId="11" fillId="0" borderId="0" xfId="0" applyFont="1" applyAlignment="1"/>
    <xf numFmtId="3" fontId="3" fillId="8" borderId="0" xfId="0" applyNumberFormat="1" applyFont="1" applyFill="1" applyAlignment="1">
      <alignment vertical="center"/>
    </xf>
    <xf numFmtId="0" fontId="3" fillId="9" borderId="0" xfId="0" applyFont="1" applyFill="1" applyAlignment="1">
      <alignment vertical="center"/>
    </xf>
    <xf numFmtId="0" fontId="3" fillId="9" borderId="0" xfId="0" applyFont="1" applyFill="1" applyAlignment="1">
      <alignment vertical="center" wrapText="1"/>
    </xf>
    <xf numFmtId="3" fontId="3" fillId="0" borderId="0" xfId="0" applyNumberFormat="1" applyFont="1" applyAlignment="1">
      <alignment vertical="center"/>
    </xf>
    <xf numFmtId="170" fontId="2"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2.acadiau.ca/student-services/student-accounts/tuition-fees/full-time-student-fees.html" TargetMode="External"/><Relationship Id="rId21" Type="http://schemas.openxmlformats.org/officeDocument/2006/relationships/hyperlink" Target="https://www2.unbc.ca/nres-graduate-program" TargetMode="External"/><Relationship Id="rId63" Type="http://schemas.openxmlformats.org/officeDocument/2006/relationships/hyperlink" Target="https://www.mun.ca/physics/graduate-students/information-for-prospective-graduate-students/" TargetMode="External"/><Relationship Id="rId159" Type="http://schemas.openxmlformats.org/officeDocument/2006/relationships/hyperlink" Target="https://eeb.utoronto.ca/education/graduate/" TargetMode="External"/><Relationship Id="rId170" Type="http://schemas.openxmlformats.org/officeDocument/2006/relationships/hyperlink" Target="https://www.physics.utoronto.ca/documents/545/FINSUP25Aug2023.pdf" TargetMode="External"/><Relationship Id="rId226" Type="http://schemas.openxmlformats.org/officeDocument/2006/relationships/hyperlink" Target="https://www.mcgill.ca/student-accounts/tuition-charges/fallwinter-term-tuition-and-fees/graduate-fees" TargetMode="External"/><Relationship Id="rId268" Type="http://schemas.openxmlformats.org/officeDocument/2006/relationships/hyperlink" Target="https://students.usask.ca/documents/registrarial/2023-2024-tuition-factsheet.pdf" TargetMode="External"/><Relationship Id="rId32" Type="http://schemas.openxmlformats.org/officeDocument/2006/relationships/hyperlink" Target="https://www.uvic.ca/science/biology/graduate/program/index.php" TargetMode="External"/><Relationship Id="rId74" Type="http://schemas.openxmlformats.org/officeDocument/2006/relationships/hyperlink" Target="https://www.uoguelph.ca/cbs/graduate/how-fund-your-studies" TargetMode="External"/><Relationship Id="rId128" Type="http://schemas.openxmlformats.org/officeDocument/2006/relationships/hyperlink" Target="https://gradstudies.ontariotechu.ca/current_students/student_finances/graduate_funding/index.php" TargetMode="External"/><Relationship Id="rId5" Type="http://schemas.openxmlformats.org/officeDocument/2006/relationships/hyperlink" Target="https://www.sfu.ca/students/calendar/2023/fall/fees-and-regulations/tuition-fees/graduate.html" TargetMode="External"/><Relationship Id="rId181" Type="http://schemas.openxmlformats.org/officeDocument/2006/relationships/hyperlink" Target="https://www.torontomu.ca/chemistry-biology/graduate-studies/fees-funding/" TargetMode="External"/><Relationship Id="rId237" Type="http://schemas.openxmlformats.org/officeDocument/2006/relationships/hyperlink" Target="https://phys.umontreal.ca/english/home/" TargetMode="External"/><Relationship Id="rId279" Type="http://schemas.openxmlformats.org/officeDocument/2006/relationships/hyperlink" Target="https://share.polymtl.ca/alfresco/service/api/path/content;cm:content/workspace/SpacesStore/Company%20Home/Sites/avis-diffusion/documentLibrary/DRI/AvisDRI-003-MAFS-2023-2024.pdf?a=false&amp;guest=true" TargetMode="External"/><Relationship Id="rId43" Type="http://schemas.openxmlformats.org/officeDocument/2006/relationships/hyperlink" Target="https://umanitoba.ca/science/student-experience/financial-aid-awards/physics-and-astronomy" TargetMode="External"/><Relationship Id="rId139" Type="http://schemas.openxmlformats.org/officeDocument/2006/relationships/hyperlink" Target="https://www.trentu.ca/els/environmental-life-sciences" TargetMode="External"/><Relationship Id="rId85" Type="http://schemas.openxmlformats.org/officeDocument/2006/relationships/hyperlink" Target="https://gs.mcmaster.ca/program/biology/" TargetMode="External"/><Relationship Id="rId150" Type="http://schemas.openxmlformats.org/officeDocument/2006/relationships/hyperlink" Target="https://brocku.ca/graduate-studies/scholarships-awards/funding/" TargetMode="External"/><Relationship Id="rId171" Type="http://schemas.openxmlformats.org/officeDocument/2006/relationships/hyperlink" Target="https://www.yorku.ca/gradstudies/biology/current-students/degree-requirements/" TargetMode="External"/><Relationship Id="rId192" Type="http://schemas.openxmlformats.org/officeDocument/2006/relationships/hyperlink" Target="https://uwaterloo.ca/finance/student-financial-services/tuition-fee-schedules" TargetMode="External"/><Relationship Id="rId206" Type="http://schemas.openxmlformats.org/officeDocument/2006/relationships/hyperlink" Target="https://wlu.ca/programs/science/graduate/biological-and-chemical-sciences-phd/index.html" TargetMode="External"/><Relationship Id="rId227" Type="http://schemas.openxmlformats.org/officeDocument/2006/relationships/hyperlink" Target="https://www.physics.mcgill.ca/grads/finance.html" TargetMode="External"/><Relationship Id="rId248" Type="http://schemas.openxmlformats.org/officeDocument/2006/relationships/hyperlink" Target="https://etudier.uqam.ca/programme?code=3805" TargetMode="External"/><Relationship Id="rId269" Type="http://schemas.openxmlformats.org/officeDocument/2006/relationships/hyperlink" Target="https://artsandscience.usask.ca/biology/documents/1-biology-grad-handbook_2023-24.pdf" TargetMode="External"/><Relationship Id="rId12" Type="http://schemas.openxmlformats.org/officeDocument/2006/relationships/hyperlink" Target="https://calendar.ucalgary.ca/pages/bdf3d650a14247e4912def1671b7ba09" TargetMode="External"/><Relationship Id="rId33" Type="http://schemas.openxmlformats.org/officeDocument/2006/relationships/hyperlink" Target="https://www.uvic.ca/science/physics/" TargetMode="External"/><Relationship Id="rId108" Type="http://schemas.openxmlformats.org/officeDocument/2006/relationships/hyperlink" Target="https://uwo.ca/biology/graduate/future-students/financial-support.html" TargetMode="External"/><Relationship Id="rId129" Type="http://schemas.openxmlformats.org/officeDocument/2006/relationships/hyperlink" Target="https://carleton.ca/biology/guidelines/" TargetMode="External"/><Relationship Id="rId280" Type="http://schemas.openxmlformats.org/officeDocument/2006/relationships/hyperlink" Target="https://www.polymtl.ca/phys/" TargetMode="External"/><Relationship Id="rId54" Type="http://schemas.openxmlformats.org/officeDocument/2006/relationships/hyperlink" Target="https://www.mun.ca/become/graduate/programs-and-courses/biology/" TargetMode="External"/><Relationship Id="rId75" Type="http://schemas.openxmlformats.org/officeDocument/2006/relationships/hyperlink" Target="https://www.uoguelph.ca/ib/grad_program_overview" TargetMode="External"/><Relationship Id="rId96" Type="http://schemas.openxmlformats.org/officeDocument/2006/relationships/hyperlink" Target="https://www.queensu.ca/registrar/tuition-fees/graduate" TargetMode="External"/><Relationship Id="rId140" Type="http://schemas.openxmlformats.org/officeDocument/2006/relationships/hyperlink" Target="https://www.trentu.ca/graduatestudies/tuition-awards-funding" TargetMode="External"/><Relationship Id="rId161" Type="http://schemas.openxmlformats.org/officeDocument/2006/relationships/hyperlink" Target="https://eeb.utoronto.ca/education/graduate/graduate-finances/graduate-stipends/" TargetMode="External"/><Relationship Id="rId182" Type="http://schemas.openxmlformats.org/officeDocument/2006/relationships/hyperlink" Target="https://www.torontomu.ca/chemistry-biology/graduate-studies/program-overview/" TargetMode="External"/><Relationship Id="rId217" Type="http://schemas.openxmlformats.org/officeDocument/2006/relationships/hyperlink" Target="https://www.mcgill.ca/student-accounts/tuition-charges/fallwinter-term-tuition-and-fees/graduate-fees" TargetMode="External"/><Relationship Id="rId6" Type="http://schemas.openxmlformats.org/officeDocument/2006/relationships/hyperlink" Target="https://www.sfu.ca/physics/graduate/prospective/financial-support.html" TargetMode="External"/><Relationship Id="rId238" Type="http://schemas.openxmlformats.org/officeDocument/2006/relationships/hyperlink" Target="https://esp.umontreal.ca/english/what-you-need-to-know/admission/tuition-fees/" TargetMode="External"/><Relationship Id="rId259" Type="http://schemas.openxmlformats.org/officeDocument/2006/relationships/hyperlink" Target="https://www.usherbrooke.ca/admission/couts-et-aide-financiere/frais-scolarite" TargetMode="External"/><Relationship Id="rId23" Type="http://schemas.openxmlformats.org/officeDocument/2006/relationships/hyperlink" Target="https://www2.unbc.ca/nres-graduate-program" TargetMode="External"/><Relationship Id="rId119" Type="http://schemas.openxmlformats.org/officeDocument/2006/relationships/hyperlink" Target="https://www.smu.ca/astronomy-physics/index.html" TargetMode="External"/><Relationship Id="rId270" Type="http://schemas.openxmlformats.org/officeDocument/2006/relationships/hyperlink" Target="https://artsandscience.usask.ca/biology/" TargetMode="External"/><Relationship Id="rId44" Type="http://schemas.openxmlformats.org/officeDocument/2006/relationships/hyperlink" Target="https://www.unb.ca/fredericton/science/depts/biology/graduate/index.html" TargetMode="External"/><Relationship Id="rId65" Type="http://schemas.openxmlformats.org/officeDocument/2006/relationships/hyperlink" Target="https://cdn.dal.ca/content/dam/dalhousie/pdf/admissions/MoneyMatters/Grad%202023-2024.pdf" TargetMode="External"/><Relationship Id="rId86" Type="http://schemas.openxmlformats.org/officeDocument/2006/relationships/hyperlink" Target="https://registrar.mcmaster.ca/fees/graduate/" TargetMode="External"/><Relationship Id="rId130" Type="http://schemas.openxmlformats.org/officeDocument/2006/relationships/hyperlink" Target="https://carleton.ca/studentaccounts/tuition-fees/" TargetMode="External"/><Relationship Id="rId151" Type="http://schemas.openxmlformats.org/officeDocument/2006/relationships/hyperlink" Target="https://brocku.ca/programs/graduate/phd-biol/" TargetMode="External"/><Relationship Id="rId172" Type="http://schemas.openxmlformats.org/officeDocument/2006/relationships/hyperlink" Target="https://www.yorku.ca/gradstudies/biology/future-students/york-graduate-funding/" TargetMode="External"/><Relationship Id="rId193" Type="http://schemas.openxmlformats.org/officeDocument/2006/relationships/hyperlink" Target="https://uwaterloo.ca/biology/sites/default/files/uploads/documents/bgs-handbook-2324-v2.pdf" TargetMode="External"/><Relationship Id="rId207" Type="http://schemas.openxmlformats.org/officeDocument/2006/relationships/hyperlink" Target="https://www.wlu.ca/academics/faculties/graduate-and-postdoctoral-studies/tuition-and-funding/index.html?ref=graduate-and-postdoctoral-studies%2Ffunding-at-a-glance%2Findex.html" TargetMode="External"/><Relationship Id="rId228" Type="http://schemas.openxmlformats.org/officeDocument/2006/relationships/hyperlink" Target="https://bio.umontreal.ca/english/student-resources/financial-support/" TargetMode="External"/><Relationship Id="rId249" Type="http://schemas.openxmlformats.org/officeDocument/2006/relationships/hyperlink" Target="http://www.ism.uqam.ca/~ism/scholarships/" TargetMode="External"/><Relationship Id="rId13" Type="http://schemas.openxmlformats.org/officeDocument/2006/relationships/hyperlink" Target="https://www.ualberta.ca/biological-sciences/graduate-studies/index.html" TargetMode="External"/><Relationship Id="rId109" Type="http://schemas.openxmlformats.org/officeDocument/2006/relationships/hyperlink" Target="https://www.physics.uwo.ca/" TargetMode="External"/><Relationship Id="rId260" Type="http://schemas.openxmlformats.org/officeDocument/2006/relationships/hyperlink" Target="https://www.usherbrooke.ca/physique/fileadmin/sites/physique/documents/Intranet/eFkt1T-English_information.pdf" TargetMode="External"/><Relationship Id="rId281" Type="http://schemas.openxmlformats.org/officeDocument/2006/relationships/hyperlink" Target="https://www.polymtl.ca/futur/en/es/finances" TargetMode="External"/><Relationship Id="rId34" Type="http://schemas.openxmlformats.org/officeDocument/2006/relationships/hyperlink" Target="https://www.uvic.ca/science/physics/current/masters/financial/index.php" TargetMode="External"/><Relationship Id="rId55" Type="http://schemas.openxmlformats.org/officeDocument/2006/relationships/hyperlink" Target="https://www.mun.ca/become/graduate/programs-and-courses/biology/" TargetMode="External"/><Relationship Id="rId76" Type="http://schemas.openxmlformats.org/officeDocument/2006/relationships/hyperlink" Target="https://uoguelphca-my.sharepoint.com/:x:/g/personal/sfscomm_uoguelph_ca/Ec8jBdQ56m5Bih3a_8GAN9MBG2nJQnKyyqGOxTfoU_Gm4A?e=h1Htrn&amp;activeCell=%272023%27%21A1&amp;action=embedview" TargetMode="External"/><Relationship Id="rId97" Type="http://schemas.openxmlformats.org/officeDocument/2006/relationships/hyperlink" Target="https://biology.queensu.ca/current-students/graduate-students/fees-and-funding-0" TargetMode="External"/><Relationship Id="rId120" Type="http://schemas.openxmlformats.org/officeDocument/2006/relationships/hyperlink" Target="https://www.smu.ca/academics/graduate-tuition-fees.html" TargetMode="External"/><Relationship Id="rId141" Type="http://schemas.openxmlformats.org/officeDocument/2006/relationships/hyperlink" Target="https://www.trentu.ca/els/experience" TargetMode="External"/><Relationship Id="rId7" Type="http://schemas.openxmlformats.org/officeDocument/2006/relationships/hyperlink" Target="https://grad.ucalgary.ca/future-students/explore-programs/biological-sciences-msc-thesis" TargetMode="External"/><Relationship Id="rId162" Type="http://schemas.openxmlformats.org/officeDocument/2006/relationships/hyperlink" Target="https://eeb.utoronto.ca/education/graduate/" TargetMode="External"/><Relationship Id="rId183" Type="http://schemas.openxmlformats.org/officeDocument/2006/relationships/hyperlink" Target="https://www.torontomu.ca/current-students/tuition-fees/graduate/" TargetMode="External"/><Relationship Id="rId218" Type="http://schemas.openxmlformats.org/officeDocument/2006/relationships/hyperlink" Target="https://www.mcgill.ca/biology/graduate-0/current-graduate-students-0/graduate-funding-0" TargetMode="External"/><Relationship Id="rId239" Type="http://schemas.openxmlformats.org/officeDocument/2006/relationships/hyperlink" Target="https://phys.umontreal.ca/english/student-resources/financial-support/" TargetMode="External"/><Relationship Id="rId250" Type="http://schemas.openxmlformats.org/officeDocument/2006/relationships/hyperlink" Target="https://www.fsg.ulaval.ca/departements/departement-de-biologie" TargetMode="External"/><Relationship Id="rId271" Type="http://schemas.openxmlformats.org/officeDocument/2006/relationships/hyperlink" Target="https://students.usask.ca/documents/registrarial/2023-2024-tuition-factsheet.pdf" TargetMode="External"/><Relationship Id="rId24" Type="http://schemas.openxmlformats.org/officeDocument/2006/relationships/hyperlink" Target="https://www2.unbc.ca/physics" TargetMode="External"/><Relationship Id="rId45" Type="http://schemas.openxmlformats.org/officeDocument/2006/relationships/hyperlink" Target="https://www.unb.ca/finance/financial-services/graduate/index.html" TargetMode="External"/><Relationship Id="rId66" Type="http://schemas.openxmlformats.org/officeDocument/2006/relationships/hyperlink" Target="https://cdn.dal.ca/content/dam/dalhousie/pdf/admissions/MoneyMatters/Grad%202023-2024.pdf" TargetMode="External"/><Relationship Id="rId87" Type="http://schemas.openxmlformats.org/officeDocument/2006/relationships/hyperlink" Target="https://biology.mcmaster.ca/graduate/grad-guide/" TargetMode="External"/><Relationship Id="rId110" Type="http://schemas.openxmlformats.org/officeDocument/2006/relationships/hyperlink" Target="https://www.registrar.uwo.ca/student_finances/fees_refunds/pdfsfeeschedule/Grad%20Fees%20-%20Winter%202022%20FT%20INTL.pdf" TargetMode="External"/><Relationship Id="rId131" Type="http://schemas.openxmlformats.org/officeDocument/2006/relationships/hyperlink" Target="https://carleton.ca/biology/guidelines/" TargetMode="External"/><Relationship Id="rId152" Type="http://schemas.openxmlformats.org/officeDocument/2006/relationships/hyperlink" Target="https://brocku.ca/safa/2024-graduate-tuition-and-fees/" TargetMode="External"/><Relationship Id="rId173" Type="http://schemas.openxmlformats.org/officeDocument/2006/relationships/hyperlink" Target="https://www.yorku.ca/gradstudies/biology/current-students/degree-requirements/" TargetMode="External"/><Relationship Id="rId194" Type="http://schemas.openxmlformats.org/officeDocument/2006/relationships/hyperlink" Target="https://uwaterloo.ca/biology/graduate-studie" TargetMode="External"/><Relationship Id="rId208" Type="http://schemas.openxmlformats.org/officeDocument/2006/relationships/hyperlink" Target="https://students.wlu.ca/programs/science/biological-and-chemical-sciences/awards-and-funding.html" TargetMode="External"/><Relationship Id="rId229" Type="http://schemas.openxmlformats.org/officeDocument/2006/relationships/hyperlink" Target="https://esp.umontreal.ca/english/what-you-need-to-know/admission/tuition-fees/" TargetMode="External"/><Relationship Id="rId240" Type="http://schemas.openxmlformats.org/officeDocument/2006/relationships/hyperlink" Target="https://www.concordia.ca/artsci/biology/programs/graduate/phd-biology.html" TargetMode="External"/><Relationship Id="rId261" Type="http://schemas.openxmlformats.org/officeDocument/2006/relationships/hyperlink" Target="https://www.uregina.ca/science/biology/index.html" TargetMode="External"/><Relationship Id="rId14" Type="http://schemas.openxmlformats.org/officeDocument/2006/relationships/hyperlink" Target="https://www.ualberta.ca/graduate-studies/prospective-students/tuition-and-cost-of-living-estimate.html" TargetMode="External"/><Relationship Id="rId35" Type="http://schemas.openxmlformats.org/officeDocument/2006/relationships/hyperlink" Target="https://www.uvic.ca/science/physics/current/doctorate/financial/index.php" TargetMode="External"/><Relationship Id="rId56" Type="http://schemas.openxmlformats.org/officeDocument/2006/relationships/hyperlink" Target="https://www.mun.ca/become/graduate/programs-and-courses/biology/" TargetMode="External"/><Relationship Id="rId77" Type="http://schemas.openxmlformats.org/officeDocument/2006/relationships/hyperlink" Target="https://www.uoguelph.ca/cbs/graduate/how-fund-your-studies" TargetMode="External"/><Relationship Id="rId100" Type="http://schemas.openxmlformats.org/officeDocument/2006/relationships/hyperlink" Target="https://www.queensu.ca/physics/grad-studies/msc-degree-overview" TargetMode="External"/><Relationship Id="rId282" Type="http://schemas.openxmlformats.org/officeDocument/2006/relationships/hyperlink" Target="https://share.polymtl.ca/alfresco/service/api/path/content;cm:content/workspace/SpacesStore/Company%20Home/Sites/avis-diffusion/documentLibrary/DRI/AvisDRI-003-MAFS-2023-2024.pdf?a=false&amp;guest=true" TargetMode="External"/><Relationship Id="rId8" Type="http://schemas.openxmlformats.org/officeDocument/2006/relationships/hyperlink" Target="https://calendar.ucalgary.ca/pages/bdf3d650a14247e4912def1671b7ba09" TargetMode="External"/><Relationship Id="rId98" Type="http://schemas.openxmlformats.org/officeDocument/2006/relationships/hyperlink" Target="https://www.queensu.ca/physics/" TargetMode="External"/><Relationship Id="rId121" Type="http://schemas.openxmlformats.org/officeDocument/2006/relationships/hyperlink" Target="https://www.smu.ca/astronomy-physics/index.html" TargetMode="External"/><Relationship Id="rId142" Type="http://schemas.openxmlformats.org/officeDocument/2006/relationships/hyperlink" Target="https://www.trentu.ca/els/environmental-life-sciences" TargetMode="External"/><Relationship Id="rId163" Type="http://schemas.openxmlformats.org/officeDocument/2006/relationships/hyperlink" Target="https://planningandbudget.utoronto.ca/tuition-fee-lookup-tool/" TargetMode="External"/><Relationship Id="rId184" Type="http://schemas.openxmlformats.org/officeDocument/2006/relationships/hyperlink" Target="https://www.torontomu.ca/chemistry-biology/graduate-studies/fees-funding/" TargetMode="External"/><Relationship Id="rId219" Type="http://schemas.openxmlformats.org/officeDocument/2006/relationships/hyperlink" Target="https://www.mcgill.ca/biology/graduate-studies/current-graduate-students-0/graduate-funding-0" TargetMode="External"/><Relationship Id="rId230" Type="http://schemas.openxmlformats.org/officeDocument/2006/relationships/hyperlink" Target="https://bio.umontreal.ca/english/student-resources/financial-support/" TargetMode="External"/><Relationship Id="rId251" Type="http://schemas.openxmlformats.org/officeDocument/2006/relationships/hyperlink" Target="https://www.bbaf.ulaval.ca/en/scholarships-bursaries/canadian-citizens-or-permanent-residents/masters-program-funding/" TargetMode="External"/><Relationship Id="rId25" Type="http://schemas.openxmlformats.org/officeDocument/2006/relationships/hyperlink" Target="https://www2.unbc.ca/sites/default/files/sections/finance/accounts-receivable/studentfees-grad_13.pdft" TargetMode="External"/><Relationship Id="rId46" Type="http://schemas.openxmlformats.org/officeDocument/2006/relationships/hyperlink" Target="https://www.unb.ca/fredericton/science/depts/biology/graduate/index.html" TargetMode="External"/><Relationship Id="rId67" Type="http://schemas.openxmlformats.org/officeDocument/2006/relationships/hyperlink" Target="https://www.dal.ca/faculty/science/physics/programs/GraduateStudents.html" TargetMode="External"/><Relationship Id="rId272" Type="http://schemas.openxmlformats.org/officeDocument/2006/relationships/hyperlink" Target="https://artsandscience.usask.ca/biology/documents/1-biology-grad-handbook_2023-24.pdf" TargetMode="External"/><Relationship Id="rId88" Type="http://schemas.openxmlformats.org/officeDocument/2006/relationships/hyperlink" Target="https://physics.mcmaster.ca/" TargetMode="External"/><Relationship Id="rId111" Type="http://schemas.openxmlformats.org/officeDocument/2006/relationships/hyperlink" Target="https://www.physics.uwo.ca/" TargetMode="External"/><Relationship Id="rId132" Type="http://schemas.openxmlformats.org/officeDocument/2006/relationships/hyperlink" Target="https://carleton.ca/studentaccounts/tuition-fees/" TargetMode="External"/><Relationship Id="rId153" Type="http://schemas.openxmlformats.org/officeDocument/2006/relationships/hyperlink" Target="https://brocku.ca/graduate-studies/scholarships-awards/funding/" TargetMode="External"/><Relationship Id="rId174" Type="http://schemas.openxmlformats.org/officeDocument/2006/relationships/hyperlink" Target="https://www.yorku.ca/gradstudies/biology/future-students/york-graduate-funding/" TargetMode="External"/><Relationship Id="rId195" Type="http://schemas.openxmlformats.org/officeDocument/2006/relationships/hyperlink" Target="https://uwaterloo.ca/finance/student-financial-services/tuition-fee-schedules" TargetMode="External"/><Relationship Id="rId209" Type="http://schemas.openxmlformats.org/officeDocument/2006/relationships/hyperlink" Target="https://www.uwindsor.ca/science/integrative-biology/315/graduate-programs-ibio" TargetMode="External"/><Relationship Id="rId220" Type="http://schemas.openxmlformats.org/officeDocument/2006/relationships/hyperlink" Target="https://www.mcgill.ca/student-accounts/tuition-charges/fallwinter-term-tuition-and-fees/graduate-fees" TargetMode="External"/><Relationship Id="rId241" Type="http://schemas.openxmlformats.org/officeDocument/2006/relationships/hyperlink" Target="https://www.concordia.ca/content/dam/artsci/biology/docs/BIOLGradprogramguiderevised2024_inprogressMICHELLEApril2024_Changes_Accepted.pdf" TargetMode="External"/><Relationship Id="rId15" Type="http://schemas.openxmlformats.org/officeDocument/2006/relationships/hyperlink" Target="https://www.ualberta.ca/biological-sciences/graduate-studies/for-applicants/program-funding.html" TargetMode="External"/><Relationship Id="rId36" Type="http://schemas.openxmlformats.org/officeDocument/2006/relationships/hyperlink" Target="https://umanitoba.ca/explore/programs-of-study/biological-sciences-msc" TargetMode="External"/><Relationship Id="rId57" Type="http://schemas.openxmlformats.org/officeDocument/2006/relationships/hyperlink" Target="https://www.mun.ca/become/graduate/programs-and-courses/biology/" TargetMode="External"/><Relationship Id="rId262" Type="http://schemas.openxmlformats.org/officeDocument/2006/relationships/hyperlink" Target="https://www.uregina.ca/fs/assets/docs/pdf/fee-schedules/202330-grad-studies-tuition-schedule.pdf" TargetMode="External"/><Relationship Id="rId283" Type="http://schemas.openxmlformats.org/officeDocument/2006/relationships/hyperlink" Target="https://www.polymtl.ca/futur/en/es/finances" TargetMode="External"/><Relationship Id="rId78" Type="http://schemas.openxmlformats.org/officeDocument/2006/relationships/hyperlink" Target="https://www.physics.uoguelph.ca/" TargetMode="External"/><Relationship Id="rId99" Type="http://schemas.openxmlformats.org/officeDocument/2006/relationships/hyperlink" Target="https://www.queensu.ca/registrar/tuition-fees/graduate" TargetMode="External"/><Relationship Id="rId101" Type="http://schemas.openxmlformats.org/officeDocument/2006/relationships/hyperlink" Target="https://www.queensu.ca/physics/" TargetMode="External"/><Relationship Id="rId122" Type="http://schemas.openxmlformats.org/officeDocument/2006/relationships/hyperlink" Target="https://www.smu.ca/academics/graduate-tuition-fees.html" TargetMode="External"/><Relationship Id="rId143" Type="http://schemas.openxmlformats.org/officeDocument/2006/relationships/hyperlink" Target="https://www.trentu.ca/graduatestudies/tuition-awards-fundin" TargetMode="External"/><Relationship Id="rId164" Type="http://schemas.openxmlformats.org/officeDocument/2006/relationships/hyperlink" Target="https://eeb.utoronto.ca/education/graduate/graduate-finances/graduate-stipends/" TargetMode="External"/><Relationship Id="rId185" Type="http://schemas.openxmlformats.org/officeDocument/2006/relationships/hyperlink" Target="https://www.torontomu.ca/physics/graduate-studies/fields-of-study/" TargetMode="External"/><Relationship Id="rId9" Type="http://schemas.openxmlformats.org/officeDocument/2006/relationships/hyperlink" Target="https://grad.ucalgary.ca/future-students/explore-programs/biological-sciences-phd" TargetMode="External"/><Relationship Id="rId210" Type="http://schemas.openxmlformats.org/officeDocument/2006/relationships/hyperlink" Target="https://www.uwindsor.ca/finance/fee-estimator" TargetMode="External"/><Relationship Id="rId26" Type="http://schemas.openxmlformats.org/officeDocument/2006/relationships/hyperlink" Target="https://zoology.ubc.ca/graduate-program" TargetMode="External"/><Relationship Id="rId231" Type="http://schemas.openxmlformats.org/officeDocument/2006/relationships/hyperlink" Target="https://bio.umontreal.ca/english/student-resources/financial-support/" TargetMode="External"/><Relationship Id="rId252" Type="http://schemas.openxmlformats.org/officeDocument/2006/relationships/hyperlink" Target="https://www.fsg.ulaval.ca/futurs-etudiants/bourses-couts-et-financement-des-etudes" TargetMode="External"/><Relationship Id="rId273" Type="http://schemas.openxmlformats.org/officeDocument/2006/relationships/hyperlink" Target="https://artsandscience.usask.ca/physics/index.php" TargetMode="External"/><Relationship Id="rId47" Type="http://schemas.openxmlformats.org/officeDocument/2006/relationships/hyperlink" Target="https://www.unb.ca/fredericton/science/depts/biology/graduate/index.html" TargetMode="External"/><Relationship Id="rId68" Type="http://schemas.openxmlformats.org/officeDocument/2006/relationships/hyperlink" Target="https://cdn.dal.ca/content/dam/dalhousie/pdf/admissions/MoneyMatters/Grad%202023-2024.pdf" TargetMode="External"/><Relationship Id="rId89" Type="http://schemas.openxmlformats.org/officeDocument/2006/relationships/hyperlink" Target="https://mcmasteru365.sharepoint.com/sites/sci-public-docs/Shared%20Documents/Forms/AllItems.aspx?id=%2Fsites%2Fsci-public-docs%2FShared+Documents%2FWebsite+-+Department+Of+Physics+%26+Astronomy%2FGraduate%2F24-25_graduate_handbook.pdf&amp;parent=%2Fsites%2Fsci-public-docs%2FShared+Documents%2FWebsite+-+Department+Of+Physics+%26+Astronomy%2FGraduate&amp;p=true&amp;ga=1" TargetMode="External"/><Relationship Id="rId112" Type="http://schemas.openxmlformats.org/officeDocument/2006/relationships/hyperlink" Target="https://www.uottawa.ca/study/fees-financial-support/university-fees/tuition-canadians-ontario" TargetMode="External"/><Relationship Id="rId133" Type="http://schemas.openxmlformats.org/officeDocument/2006/relationships/hyperlink" Target="https://physics.carleton.ca/future-students/graduate/funding-and-awards" TargetMode="External"/><Relationship Id="rId154" Type="http://schemas.openxmlformats.org/officeDocument/2006/relationships/hyperlink" Target="https://www.physics.brocku.ca/" TargetMode="External"/><Relationship Id="rId175" Type="http://schemas.openxmlformats.org/officeDocument/2006/relationships/hyperlink" Target="https://www.yorku.ca/science/physics/" TargetMode="External"/><Relationship Id="rId196" Type="http://schemas.openxmlformats.org/officeDocument/2006/relationships/hyperlink" Target="https://uwaterloo.ca/biology/sites/default/files/uploads/documents/bgs-handbook-2324-v2.pdf" TargetMode="External"/><Relationship Id="rId200" Type="http://schemas.openxmlformats.org/officeDocument/2006/relationships/hyperlink" Target="https://uwaterloo.ca/physics-astronomy/" TargetMode="External"/><Relationship Id="rId16" Type="http://schemas.openxmlformats.org/officeDocument/2006/relationships/hyperlink" Target="https://www.ualberta.ca/physics/graduate-studies/index.html" TargetMode="External"/><Relationship Id="rId221" Type="http://schemas.openxmlformats.org/officeDocument/2006/relationships/hyperlink" Target="https://www.mcgill.ca/biology/graduate-0/current-graduate-students-0/graduate-funding-0" TargetMode="External"/><Relationship Id="rId242" Type="http://schemas.openxmlformats.org/officeDocument/2006/relationships/hyperlink" Target="https://www.concordia.ca/content/dam/artsci/biology/docs/BIOLGradprogramguiderevised2024_inprogressMICHELLEApril2024_Changes_Accepted.pdf" TargetMode="External"/><Relationship Id="rId263" Type="http://schemas.openxmlformats.org/officeDocument/2006/relationships/hyperlink" Target="https://www.uregina.ca/fs/assets/docs/pdf/fee-schedules/202330-grad-studies-tuition-schedule.pdf" TargetMode="External"/><Relationship Id="rId284" Type="http://schemas.openxmlformats.org/officeDocument/2006/relationships/hyperlink" Target="https://share.polymtl.ca/alfresco/service/api/path/content;cm:content/workspace/SpacesStore/Company%20Home/Sites/avis-diffusion/documentLibrary/DRI/AvisDRI-003-MAFS-2023-2024.pdf?a=false&amp;guest=true" TargetMode="External"/><Relationship Id="rId37" Type="http://schemas.openxmlformats.org/officeDocument/2006/relationships/hyperlink" Target="https://umanitoba.ca/explore/programs-of-study/biological-sciences-phd" TargetMode="External"/><Relationship Id="rId58" Type="http://schemas.openxmlformats.org/officeDocument/2006/relationships/hyperlink" Target="https://www.mun.ca/physics/" TargetMode="External"/><Relationship Id="rId79" Type="http://schemas.openxmlformats.org/officeDocument/2006/relationships/hyperlink" Target="https://uoguelphca-my.sharepoint.com/:x:/g/personal/sfscomm_uoguelph_ca/Ec8jBdQ56m5Bih3a_8GAN9MBG2nJQnKyyqGOxTfoU_Gm4A?e=h1Htrn&amp;activeCell=%272023%27%21A1&amp;action=embedview" TargetMode="External"/><Relationship Id="rId102" Type="http://schemas.openxmlformats.org/officeDocument/2006/relationships/hyperlink" Target="https://www.queensu.ca/registrar/tuition-fees/graduate" TargetMode="External"/><Relationship Id="rId123" Type="http://schemas.openxmlformats.org/officeDocument/2006/relationships/hyperlink" Target="https://science.ontariotechu.ca/physics/index.php" TargetMode="External"/><Relationship Id="rId144" Type="http://schemas.openxmlformats.org/officeDocument/2006/relationships/hyperlink" Target="https://www.trentu.ca/els/experience" TargetMode="External"/><Relationship Id="rId90" Type="http://schemas.openxmlformats.org/officeDocument/2006/relationships/hyperlink" Target="https://physics.mcmaster.ca/" TargetMode="External"/><Relationship Id="rId165" Type="http://schemas.openxmlformats.org/officeDocument/2006/relationships/hyperlink" Target="https://www.physics.utoronto.ca/graduate/" TargetMode="External"/><Relationship Id="rId186" Type="http://schemas.openxmlformats.org/officeDocument/2006/relationships/hyperlink" Target="https://www.torontomu.ca/current-students/tuition-fees/graduate/" TargetMode="External"/><Relationship Id="rId211" Type="http://schemas.openxmlformats.org/officeDocument/2006/relationships/hyperlink" Target="https://www.uwindsor.ca/science/integrative-biology/315/graduate-programs-ibio" TargetMode="External"/><Relationship Id="rId232" Type="http://schemas.openxmlformats.org/officeDocument/2006/relationships/hyperlink" Target="https://esp.umontreal.ca/english/what-you-need-to-know/admission/tuition-fees/" TargetMode="External"/><Relationship Id="rId253" Type="http://schemas.openxmlformats.org/officeDocument/2006/relationships/hyperlink" Target="https://www.bbaf.ulaval.ca/en/scholarships-bursaries/canadian-citizens-or-permanent-residents/masters-program-funding/" TargetMode="External"/><Relationship Id="rId274" Type="http://schemas.openxmlformats.org/officeDocument/2006/relationships/hyperlink" Target="https://students.usask.ca/money/tuition-fees/graduate-tuition.php" TargetMode="External"/><Relationship Id="rId27" Type="http://schemas.openxmlformats.org/officeDocument/2006/relationships/hyperlink" Target="https://blogs.ubc.ca/zoolgradhandbook/" TargetMode="External"/><Relationship Id="rId48" Type="http://schemas.openxmlformats.org/officeDocument/2006/relationships/hyperlink" Target="https://www.unb.ca/finance/financial-services/graduate/index.html" TargetMode="External"/><Relationship Id="rId69" Type="http://schemas.openxmlformats.org/officeDocument/2006/relationships/hyperlink" Target="https://cdn.dal.ca/content/dam/dalhousie/pdf/academics/Graduate%20programs/Medical%20Physics/Grad%20Student%20Handbook-2020-2021.pdf" TargetMode="External"/><Relationship Id="rId113" Type="http://schemas.openxmlformats.org/officeDocument/2006/relationships/hyperlink" Target="https://science.uottawa.ca/biology/sites/science.uottawa.ca.biology/files/biogradguidebook-en.pdf" TargetMode="External"/><Relationship Id="rId134" Type="http://schemas.openxmlformats.org/officeDocument/2006/relationships/hyperlink" Target="https://carleton.ca/studentaccounts/tuition-fees/" TargetMode="External"/><Relationship Id="rId80" Type="http://schemas.openxmlformats.org/officeDocument/2006/relationships/hyperlink" Target="https://www.physics.uoguelph.ca/" TargetMode="External"/><Relationship Id="rId155" Type="http://schemas.openxmlformats.org/officeDocument/2006/relationships/hyperlink" Target="https://brocku.ca/safa/2024-graduate-tuition-and-fees/" TargetMode="External"/><Relationship Id="rId176" Type="http://schemas.openxmlformats.org/officeDocument/2006/relationships/hyperlink" Target="https://sfs.yorku.ca/fees/courses/2024/summer/graduate-studies/masters" TargetMode="External"/><Relationship Id="rId197" Type="http://schemas.openxmlformats.org/officeDocument/2006/relationships/hyperlink" Target="https://uwaterloo.ca/physics-astronomy/" TargetMode="External"/><Relationship Id="rId201" Type="http://schemas.openxmlformats.org/officeDocument/2006/relationships/hyperlink" Target="https://uwaterloo.ca/finance/student-financial-services/tuition-fee-schedules" TargetMode="External"/><Relationship Id="rId222" Type="http://schemas.openxmlformats.org/officeDocument/2006/relationships/hyperlink" Target="https://www.physics.mcgill.ca/grads/finance.html" TargetMode="External"/><Relationship Id="rId243" Type="http://schemas.openxmlformats.org/officeDocument/2006/relationships/hyperlink" Target="https://www.concordia.ca/artsci/physics.html" TargetMode="External"/><Relationship Id="rId264" Type="http://schemas.openxmlformats.org/officeDocument/2006/relationships/hyperlink" Target="https://www.uregina.ca/science/physics/" TargetMode="External"/><Relationship Id="rId285" Type="http://schemas.openxmlformats.org/officeDocument/2006/relationships/hyperlink" Target="https://www.uwinnipeg.ca/biology/graduate/our-program.html" TargetMode="External"/><Relationship Id="rId17" Type="http://schemas.openxmlformats.org/officeDocument/2006/relationships/hyperlink" Target="https://www.ualberta.ca/physics/graduate-studies/awards-and-funding/financial-support-for-new-msc-students.html" TargetMode="External"/><Relationship Id="rId38" Type="http://schemas.openxmlformats.org/officeDocument/2006/relationships/hyperlink" Target="https://umanitoba.ca/explore/programs-of-study/physics-msc" TargetMode="External"/><Relationship Id="rId59" Type="http://schemas.openxmlformats.org/officeDocument/2006/relationships/hyperlink" Target="https://www.mun.ca/finance/graduate-student-tuition-and-fees/" TargetMode="External"/><Relationship Id="rId103" Type="http://schemas.openxmlformats.org/officeDocument/2006/relationships/hyperlink" Target="https://www.queensu.ca/physics/grad-studies/phd-degree-overview" TargetMode="External"/><Relationship Id="rId124" Type="http://schemas.openxmlformats.org/officeDocument/2006/relationships/hyperlink" Target="https://gradstudies.ontariotechu.ca/current_students/tuition-fees/domestic-tuition-fees/index.php" TargetMode="External"/><Relationship Id="rId70" Type="http://schemas.openxmlformats.org/officeDocument/2006/relationships/hyperlink" Target="https://cdn.dal.ca/content/dam/dalhousie/pdf/admissions/MoneyMatters/Grad%202023-2024.pdf" TargetMode="External"/><Relationship Id="rId91" Type="http://schemas.openxmlformats.org/officeDocument/2006/relationships/hyperlink" Target="https://mcmasteru365.sharepoint.com/sites/sci-public-docs/Shared%20Documents/Forms/AllItems.aspx?id=%2Fsites%2Fsci-public-docs%2FShared+Documents%2FWebsite+-+Department+Of+Physics+%26+Astronomy%2FGraduate%2F24-25_graduate_handbook.pdf&amp;parent=%2Fsites%2Fsci-public-docs%2FShared+Documents%2FWebsite+-+Department+Of+Physics+%26+Astronomy%2FGraduate&amp;p=true&amp;ga=1" TargetMode="External"/><Relationship Id="rId145" Type="http://schemas.openxmlformats.org/officeDocument/2006/relationships/hyperlink" Target="https://www.trentu.ca/physics/" TargetMode="External"/><Relationship Id="rId166" Type="http://schemas.openxmlformats.org/officeDocument/2006/relationships/hyperlink" Target="https://planningandbudget.utoronto.ca/tuition-fee-lookup-tool/" TargetMode="External"/><Relationship Id="rId187" Type="http://schemas.openxmlformats.org/officeDocument/2006/relationships/hyperlink" Target="https://www.torontomu.ca/physics/graduate-studies/fees-funding/" TargetMode="External"/><Relationship Id="rId1" Type="http://schemas.openxmlformats.org/officeDocument/2006/relationships/hyperlink" Target="https://www.sfu.ca/biology/graduate.html" TargetMode="External"/><Relationship Id="rId212" Type="http://schemas.openxmlformats.org/officeDocument/2006/relationships/hyperlink" Target="https://www.uwindsor.ca/finance/fee-estimator" TargetMode="External"/><Relationship Id="rId233" Type="http://schemas.openxmlformats.org/officeDocument/2006/relationships/hyperlink" Target="https://bio.umontreal.ca/english/student-resources/financial-support/" TargetMode="External"/><Relationship Id="rId254" Type="http://schemas.openxmlformats.org/officeDocument/2006/relationships/hyperlink" Target="https://www.fsg.ulaval.ca/futurs-etudiants/bourses-couts-et-financement-des-etudes" TargetMode="External"/><Relationship Id="rId28" Type="http://schemas.openxmlformats.org/officeDocument/2006/relationships/hyperlink" Target="https://blogs.ubc.ca/zoolgradhandbook/" TargetMode="External"/><Relationship Id="rId49" Type="http://schemas.openxmlformats.org/officeDocument/2006/relationships/hyperlink" Target="https://www.unb.ca/fredericton/science/depts/biology/graduate/index.html" TargetMode="External"/><Relationship Id="rId114" Type="http://schemas.openxmlformats.org/officeDocument/2006/relationships/hyperlink" Target="https://physics.carleton.ca/future-students/graduate" TargetMode="External"/><Relationship Id="rId275" Type="http://schemas.openxmlformats.org/officeDocument/2006/relationships/hyperlink" Target="https://www.polymtl.ca/biomed/" TargetMode="External"/><Relationship Id="rId60" Type="http://schemas.openxmlformats.org/officeDocument/2006/relationships/hyperlink" Target="https://www.mun.ca/physics/graduate-students/information-for-prospective-graduate-students/" TargetMode="External"/><Relationship Id="rId81" Type="http://schemas.openxmlformats.org/officeDocument/2006/relationships/hyperlink" Target="https://uoguelphca-my.sharepoint.com/:x:/g/personal/sfscomm_uoguelph_ca/Ec8jBdQ56m5Bih3a_8GAN9MBG2nJQnKyyqGOxTfoU_Gm4A?e=h1Htrn&amp;activeCell=%272023%27%21A1&amp;action=embedview" TargetMode="External"/><Relationship Id="rId135" Type="http://schemas.openxmlformats.org/officeDocument/2006/relationships/hyperlink" Target="https://physics.carleton.ca/future-students/graduate/funding-and-awards" TargetMode="External"/><Relationship Id="rId156" Type="http://schemas.openxmlformats.org/officeDocument/2006/relationships/hyperlink" Target="https://www.physics.brocku.ca/Programs/MSMP_Handbook.pdf" TargetMode="External"/><Relationship Id="rId177" Type="http://schemas.openxmlformats.org/officeDocument/2006/relationships/hyperlink" Target="https://www.yorku.ca/gradstudies/physics-astronomy/future-students/york-graduate-funding/" TargetMode="External"/><Relationship Id="rId198" Type="http://schemas.openxmlformats.org/officeDocument/2006/relationships/hyperlink" Target="https://uwaterloo.ca/finance/student-financial-services/tuition-fee-schedules" TargetMode="External"/><Relationship Id="rId202" Type="http://schemas.openxmlformats.org/officeDocument/2006/relationships/hyperlink" Target="https://uwaterloo.ca/graduate-studies-postdoctoral-affairs/current-students/minimum-funding" TargetMode="External"/><Relationship Id="rId223" Type="http://schemas.openxmlformats.org/officeDocument/2006/relationships/hyperlink" Target="https://www.mcgill.ca/student-accounts/tuition-charges/fallwinter-term-tuition-and-fees/graduate-fees" TargetMode="External"/><Relationship Id="rId244" Type="http://schemas.openxmlformats.org/officeDocument/2006/relationships/hyperlink" Target="https://www.concordia.ca/artsci/physics/programs/graduate/physics-msc.html" TargetMode="External"/><Relationship Id="rId18" Type="http://schemas.openxmlformats.org/officeDocument/2006/relationships/hyperlink" Target="https://www.ualberta.ca/physics/graduate-studies/awards-and-funding/financial-support-for-new-phd-students.html" TargetMode="External"/><Relationship Id="rId39" Type="http://schemas.openxmlformats.org/officeDocument/2006/relationships/hyperlink" Target="https://umanitoba.ca/registrar/tuition-fees/graduate" TargetMode="External"/><Relationship Id="rId265" Type="http://schemas.openxmlformats.org/officeDocument/2006/relationships/hyperlink" Target="https://www.uregina.ca/fs/students/fee-schedule.html" TargetMode="External"/><Relationship Id="rId286" Type="http://schemas.openxmlformats.org/officeDocument/2006/relationships/vmlDrawing" Target="../drawings/vmlDrawing1.vml"/><Relationship Id="rId50" Type="http://schemas.openxmlformats.org/officeDocument/2006/relationships/hyperlink" Target="https://www.unb.ca/finance/_assets/documents/financial-services/new/fred_gr_research_ft_new.pdf" TargetMode="External"/><Relationship Id="rId104" Type="http://schemas.openxmlformats.org/officeDocument/2006/relationships/hyperlink" Target="http://uwo.ca/biology" TargetMode="External"/><Relationship Id="rId125" Type="http://schemas.openxmlformats.org/officeDocument/2006/relationships/hyperlink" Target="https://gradstudies.ontariotechu.ca/current_students/student_finances/graduate_funding/index.php" TargetMode="External"/><Relationship Id="rId146" Type="http://schemas.openxmlformats.org/officeDocument/2006/relationships/hyperlink" Target="https://www.trentu.ca/graduatestudies/tuition-awards-fundin" TargetMode="External"/><Relationship Id="rId167" Type="http://schemas.openxmlformats.org/officeDocument/2006/relationships/hyperlink" Target="https://www.physics.utoronto.ca/documents/545/FINSUP25Aug2023.pdf" TargetMode="External"/><Relationship Id="rId188" Type="http://schemas.openxmlformats.org/officeDocument/2006/relationships/hyperlink" Target="https://www.torontomu.ca/physics/graduate-studies/fields-of-study/" TargetMode="External"/><Relationship Id="rId71" Type="http://schemas.openxmlformats.org/officeDocument/2006/relationships/hyperlink" Target="https://cdn.dal.ca/content/dam/dalhousie/pdf/academics/Graduate%20programs/Medical%20Physics/Grad%20Student%20Handbook-2020-2021.pdf" TargetMode="External"/><Relationship Id="rId92" Type="http://schemas.openxmlformats.org/officeDocument/2006/relationships/hyperlink" Target="https://biology.queensu.ca/" TargetMode="External"/><Relationship Id="rId213" Type="http://schemas.openxmlformats.org/officeDocument/2006/relationships/hyperlink" Target="https://www.uwindsor.ca/science/physics/" TargetMode="External"/><Relationship Id="rId234" Type="http://schemas.openxmlformats.org/officeDocument/2006/relationships/hyperlink" Target="https://phys.umontreal.ca/english/home/" TargetMode="External"/><Relationship Id="rId2" Type="http://schemas.openxmlformats.org/officeDocument/2006/relationships/hyperlink" Target="https://www.sfu.ca/gradstudies/apply/tuition-and-fees/tuition-types.html" TargetMode="External"/><Relationship Id="rId29" Type="http://schemas.openxmlformats.org/officeDocument/2006/relationships/hyperlink" Target="https://phas.ubc.ca/" TargetMode="External"/><Relationship Id="rId255" Type="http://schemas.openxmlformats.org/officeDocument/2006/relationships/hyperlink" Target="https://www.fsg.ulaval.ca/departements/departement-de-physique-de-genie-physique-et-doptique" TargetMode="External"/><Relationship Id="rId276" Type="http://schemas.openxmlformats.org/officeDocument/2006/relationships/hyperlink" Target="https://www.polymtl.ca/futur/en/es/finances" TargetMode="External"/><Relationship Id="rId40" Type="http://schemas.openxmlformats.org/officeDocument/2006/relationships/hyperlink" Target="https://umanitoba.ca/science/student-experience/financial-aid-awards/physics-and-astronomy" TargetMode="External"/><Relationship Id="rId115" Type="http://schemas.openxmlformats.org/officeDocument/2006/relationships/hyperlink" Target="https://www.uottawa.ca/study/fees-financial-support/university-fees/tuition-canadians-ontario" TargetMode="External"/><Relationship Id="rId136" Type="http://schemas.openxmlformats.org/officeDocument/2006/relationships/hyperlink" Target="https://physics.carleton.ca/future-students/graduate/funding-and-awards" TargetMode="External"/><Relationship Id="rId157" Type="http://schemas.openxmlformats.org/officeDocument/2006/relationships/hyperlink" Target="https://brocku.ca/safa/2024-graduate-tuition-and-fees/" TargetMode="External"/><Relationship Id="rId178" Type="http://schemas.openxmlformats.org/officeDocument/2006/relationships/hyperlink" Target="https://www.yorku.ca/gradstudies/physics-astronomy/future-students/york-graduate-funding/" TargetMode="External"/><Relationship Id="rId61" Type="http://schemas.openxmlformats.org/officeDocument/2006/relationships/hyperlink" Target="https://www.mun.ca/physics/" TargetMode="External"/><Relationship Id="rId82" Type="http://schemas.openxmlformats.org/officeDocument/2006/relationships/hyperlink" Target="https://gs.mcmaster.ca/program/biology/" TargetMode="External"/><Relationship Id="rId199" Type="http://schemas.openxmlformats.org/officeDocument/2006/relationships/hyperlink" Target="https://uwaterloo.ca/graduate-studies-postdoctoral-affairs/current-students/minimum-funding" TargetMode="External"/><Relationship Id="rId203" Type="http://schemas.openxmlformats.org/officeDocument/2006/relationships/hyperlink" Target="https://wlu.ca/programs/science/graduate/integrative-biology-msc/index.html" TargetMode="External"/><Relationship Id="rId19" Type="http://schemas.openxmlformats.org/officeDocument/2006/relationships/hyperlink" Target="https://www.ulethbridge.ca/artsci/biological-sciences" TargetMode="External"/><Relationship Id="rId224" Type="http://schemas.openxmlformats.org/officeDocument/2006/relationships/hyperlink" Target="https://www.physics.mcgill.ca/grads/finance.html" TargetMode="External"/><Relationship Id="rId245" Type="http://schemas.openxmlformats.org/officeDocument/2006/relationships/hyperlink" Target="https://www.concordia.ca/artsci/physics/programs/graduate/physics-msc.html" TargetMode="External"/><Relationship Id="rId266" Type="http://schemas.openxmlformats.org/officeDocument/2006/relationships/hyperlink" Target="https://www.uregina.ca/science/physics/financial/graduate-finances.html" TargetMode="External"/><Relationship Id="rId287" Type="http://schemas.openxmlformats.org/officeDocument/2006/relationships/comments" Target="../comments1.xml"/><Relationship Id="rId30" Type="http://schemas.openxmlformats.org/officeDocument/2006/relationships/hyperlink" Target="https://phas.ubc.ca/graduate-program-financial-support" TargetMode="External"/><Relationship Id="rId105" Type="http://schemas.openxmlformats.org/officeDocument/2006/relationships/hyperlink" Target="https://grad.uwo.ca/finances/affordability_calculator.cfm" TargetMode="External"/><Relationship Id="rId126" Type="http://schemas.openxmlformats.org/officeDocument/2006/relationships/hyperlink" Target="https://science.ontariotechu.ca/physics/index.php" TargetMode="External"/><Relationship Id="rId147" Type="http://schemas.openxmlformats.org/officeDocument/2006/relationships/hyperlink" Target="https://www.trentu.ca/graduatestudies/tuition-awards-fundin" TargetMode="External"/><Relationship Id="rId168" Type="http://schemas.openxmlformats.org/officeDocument/2006/relationships/hyperlink" Target="https://www.physics.utoronto.ca/graduate/" TargetMode="External"/><Relationship Id="rId51" Type="http://schemas.openxmlformats.org/officeDocument/2006/relationships/hyperlink" Target="https://www.unb.ca/fredericton/science/depts/physics/graduate/funding.html" TargetMode="External"/><Relationship Id="rId72" Type="http://schemas.openxmlformats.org/officeDocument/2006/relationships/hyperlink" Target="https://www.uoguelph.ca/ib/grad_program_overview" TargetMode="External"/><Relationship Id="rId93" Type="http://schemas.openxmlformats.org/officeDocument/2006/relationships/hyperlink" Target="https://www.queensu.ca/registrar/tuition-fees/graduate" TargetMode="External"/><Relationship Id="rId189" Type="http://schemas.openxmlformats.org/officeDocument/2006/relationships/hyperlink" Target="https://www.torontomu.ca/current-students/tuition-fees/graduate/" TargetMode="External"/><Relationship Id="rId3" Type="http://schemas.openxmlformats.org/officeDocument/2006/relationships/hyperlink" Target="https://www.sfu.ca/biology/graduate/current/financial/funding-policy.html" TargetMode="External"/><Relationship Id="rId214" Type="http://schemas.openxmlformats.org/officeDocument/2006/relationships/hyperlink" Target="https://www.uwindsor.ca/science/physics/sites/uwindsor.ca.science.physics/files/2019-2020_physics_graduate_handbook_without_funding_packages.pdf" TargetMode="External"/><Relationship Id="rId235" Type="http://schemas.openxmlformats.org/officeDocument/2006/relationships/hyperlink" Target="https://esp.umontreal.ca/english/what-you-need-to-know/admission/tuition-fees/" TargetMode="External"/><Relationship Id="rId256" Type="http://schemas.openxmlformats.org/officeDocument/2006/relationships/hyperlink" Target="https://www.usherbrooke.ca/admission/couts-et-aide-financiere/frais-scolarite" TargetMode="External"/><Relationship Id="rId277" Type="http://schemas.openxmlformats.org/officeDocument/2006/relationships/hyperlink" Target="https://share.polymtl.ca/alfresco/service/api/path/content;cm:content/workspace/SpacesStore/Company%20Home/Sites/avis-diffusion/documentLibrary/DRI/AvisDRI-003-MAFS-2023-2024.pdf?a=false&amp;guest=true" TargetMode="External"/><Relationship Id="rId116" Type="http://schemas.openxmlformats.org/officeDocument/2006/relationships/hyperlink" Target="https://biology.acadiau.ca/home.html" TargetMode="External"/><Relationship Id="rId137" Type="http://schemas.openxmlformats.org/officeDocument/2006/relationships/hyperlink" Target="https://carleton.ca/studentaccounts/tuition-fees/" TargetMode="External"/><Relationship Id="rId158" Type="http://schemas.openxmlformats.org/officeDocument/2006/relationships/hyperlink" Target="https://www.physics.brocku.ca/Programs/PHD_Handbook.pd" TargetMode="External"/><Relationship Id="rId20" Type="http://schemas.openxmlformats.org/officeDocument/2006/relationships/hyperlink" Target="https://www.ulethbridge.ca/artsci/physics-astronomy" TargetMode="External"/><Relationship Id="rId41" Type="http://schemas.openxmlformats.org/officeDocument/2006/relationships/hyperlink" Target="https://umanitoba.ca/explore/programs-of-study/physics-phd" TargetMode="External"/><Relationship Id="rId62" Type="http://schemas.openxmlformats.org/officeDocument/2006/relationships/hyperlink" Target="https://www.mun.ca/undergrad/money-matters/" TargetMode="External"/><Relationship Id="rId83" Type="http://schemas.openxmlformats.org/officeDocument/2006/relationships/hyperlink" Target="https://registrar.mcmaster.ca/fees/graduate/" TargetMode="External"/><Relationship Id="rId179" Type="http://schemas.openxmlformats.org/officeDocument/2006/relationships/hyperlink" Target="https://www.torontomu.ca/chemistry-biology/graduate-studies/program-overview/" TargetMode="External"/><Relationship Id="rId190" Type="http://schemas.openxmlformats.org/officeDocument/2006/relationships/hyperlink" Target="https://www.torontomu.ca/physics/graduate-studies/fees-funding/" TargetMode="External"/><Relationship Id="rId204" Type="http://schemas.openxmlformats.org/officeDocument/2006/relationships/hyperlink" Target="https://www.wlu.ca/academics/faculties/graduate-and-postdoctoral-studies/tuition-and-funding/index.html?ref=graduate-and-postdoctoral-studies%2Ffunding-at-a-glance%2Findex.html" TargetMode="External"/><Relationship Id="rId225" Type="http://schemas.openxmlformats.org/officeDocument/2006/relationships/hyperlink" Target="https://www.physics.mcgill.ca/grads/finance.html" TargetMode="External"/><Relationship Id="rId246" Type="http://schemas.openxmlformats.org/officeDocument/2006/relationships/hyperlink" Target="https://bio.uqam.ca/en/" TargetMode="External"/><Relationship Id="rId267" Type="http://schemas.openxmlformats.org/officeDocument/2006/relationships/hyperlink" Target="https://artsandscience.usask.ca/biology/" TargetMode="External"/><Relationship Id="rId106" Type="http://schemas.openxmlformats.org/officeDocument/2006/relationships/hyperlink" Target="https://uwo.ca/biology/graduate/future-students/financial-support.html" TargetMode="External"/><Relationship Id="rId127" Type="http://schemas.openxmlformats.org/officeDocument/2006/relationships/hyperlink" Target="https://gradstudies.ontariotechu.ca/current_students/tuition-fees/domestic-tuition-fees/index.php" TargetMode="External"/><Relationship Id="rId10" Type="http://schemas.openxmlformats.org/officeDocument/2006/relationships/hyperlink" Target="https://calendar.ucalgary.ca/pages/bdf3d650a14247e4912def1671b7ba09" TargetMode="External"/><Relationship Id="rId31" Type="http://schemas.openxmlformats.org/officeDocument/2006/relationships/hyperlink" Target="https://phas.ubc.ca/graduate-program-financial-support" TargetMode="External"/><Relationship Id="rId52" Type="http://schemas.openxmlformats.org/officeDocument/2006/relationships/hyperlink" Target="https://www.unb.ca/finance/_assets/documents/financial-services/new/fred_gr_research_ft_new.pdf" TargetMode="External"/><Relationship Id="rId73" Type="http://schemas.openxmlformats.org/officeDocument/2006/relationships/hyperlink" Target="https://uoguelphca-my.sharepoint.com/:x:/g/personal/sfscomm_uoguelph_ca/Ec8jBdQ56m5Bih3a_8GAN9MBG2nJQnKyyqGOxTfoU_Gm4A?e=h1Htrn&amp;activeCell=%272023%27%21A1&amp;action=embedview" TargetMode="External"/><Relationship Id="rId94" Type="http://schemas.openxmlformats.org/officeDocument/2006/relationships/hyperlink" Target="https://biology.queensu.ca/current-students/graduate-students/fees-and-funding-0" TargetMode="External"/><Relationship Id="rId148" Type="http://schemas.openxmlformats.org/officeDocument/2006/relationships/hyperlink" Target="https://brocku.ca/programs/graduate/msc-biol/" TargetMode="External"/><Relationship Id="rId169" Type="http://schemas.openxmlformats.org/officeDocument/2006/relationships/hyperlink" Target="https://planningandbudget.utoronto.ca/tuition-fee-lookup-tool/" TargetMode="External"/><Relationship Id="rId4" Type="http://schemas.openxmlformats.org/officeDocument/2006/relationships/hyperlink" Target="https://www.sfu.ca/physics/graduate.html" TargetMode="External"/><Relationship Id="rId180" Type="http://schemas.openxmlformats.org/officeDocument/2006/relationships/hyperlink" Target="https://www.torontomu.ca/current-students/tuition-fees/graduate/" TargetMode="External"/><Relationship Id="rId215" Type="http://schemas.openxmlformats.org/officeDocument/2006/relationships/hyperlink" Target="https://www.uwindsor.ca/science/physics/sites/uwindsor.ca.science.physics/files/2023-24_physics_scholarship_packages.pdf" TargetMode="External"/><Relationship Id="rId236" Type="http://schemas.openxmlformats.org/officeDocument/2006/relationships/hyperlink" Target="https://phys.umontreal.ca/english/student-resources/financial-support/" TargetMode="External"/><Relationship Id="rId257" Type="http://schemas.openxmlformats.org/officeDocument/2006/relationships/hyperlink" Target="https://www.usherbrooke.ca/admission/couts-et-aide-financiere/frais-scolarite" TargetMode="External"/><Relationship Id="rId278" Type="http://schemas.openxmlformats.org/officeDocument/2006/relationships/hyperlink" Target="https://www.polymtl.ca/futur/en/es/finances" TargetMode="External"/><Relationship Id="rId42" Type="http://schemas.openxmlformats.org/officeDocument/2006/relationships/hyperlink" Target="https://umanitoba.ca/registrar/tuition-fees/graduate" TargetMode="External"/><Relationship Id="rId84" Type="http://schemas.openxmlformats.org/officeDocument/2006/relationships/hyperlink" Target="https://biology.mcmaster.ca/graduate/grad-guide/" TargetMode="External"/><Relationship Id="rId138" Type="http://schemas.openxmlformats.org/officeDocument/2006/relationships/hyperlink" Target="https://physics.carleton.ca/future-students/graduate/funding-and-awards" TargetMode="External"/><Relationship Id="rId191" Type="http://schemas.openxmlformats.org/officeDocument/2006/relationships/hyperlink" Target="https://uwaterloo.ca/biology/graduate-studies" TargetMode="External"/><Relationship Id="rId205" Type="http://schemas.openxmlformats.org/officeDocument/2006/relationships/hyperlink" Target="https://downloads.wlu.ca/downloads/programs/science/biology/documents/msc-biology-2016-handbook.pdf" TargetMode="External"/><Relationship Id="rId247" Type="http://schemas.openxmlformats.org/officeDocument/2006/relationships/hyperlink" Target="https://etudier.uqam.ca/cout-bourses" TargetMode="External"/><Relationship Id="rId107" Type="http://schemas.openxmlformats.org/officeDocument/2006/relationships/hyperlink" Target="http://uwo.ca/biology" TargetMode="External"/><Relationship Id="rId11" Type="http://schemas.openxmlformats.org/officeDocument/2006/relationships/hyperlink" Target="https://calendar.ucalgary.ca/pages/bdf3d650a14247e4912def1671b7ba09" TargetMode="External"/><Relationship Id="rId53" Type="http://schemas.openxmlformats.org/officeDocument/2006/relationships/hyperlink" Target="https://www.unb.ca/fredericton/science/depts/physics/graduate/funding.html" TargetMode="External"/><Relationship Id="rId149" Type="http://schemas.openxmlformats.org/officeDocument/2006/relationships/hyperlink" Target="https://brocku.ca/safa/2024-graduate-tuition-and-fees/" TargetMode="External"/><Relationship Id="rId95" Type="http://schemas.openxmlformats.org/officeDocument/2006/relationships/hyperlink" Target="https://biology.queensu.ca/" TargetMode="External"/><Relationship Id="rId160" Type="http://schemas.openxmlformats.org/officeDocument/2006/relationships/hyperlink" Target="https://planningandbudget.utoronto.ca/tuition-fee-lookup-tool/" TargetMode="External"/><Relationship Id="rId216" Type="http://schemas.openxmlformats.org/officeDocument/2006/relationships/hyperlink" Target="https://www.mcgill.ca/biology/graduate-studies/current-graduate-students-0/graduate-funding-0" TargetMode="External"/><Relationship Id="rId258" Type="http://schemas.openxmlformats.org/officeDocument/2006/relationships/hyperlink" Target="https://www.usherbrooke.ca/admission/couts-et-aide-financiere/frais-scolarite" TargetMode="External"/><Relationship Id="rId22" Type="http://schemas.openxmlformats.org/officeDocument/2006/relationships/hyperlink" Target="https://www2.unbc.ca/finance/accounts-receivable/fees-unbc" TargetMode="External"/><Relationship Id="rId64" Type="http://schemas.openxmlformats.org/officeDocument/2006/relationships/hyperlink" Target="https://www.dal.ca/faculty/science/biology/graduate.html" TargetMode="External"/><Relationship Id="rId118" Type="http://schemas.openxmlformats.org/officeDocument/2006/relationships/hyperlink" Target="https://www2.acadiau.ca/student-services/student-accounts/tuition-fees/full-time-student-fees.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R141"/>
  <sheetViews>
    <sheetView tabSelected="1" workbookViewId="0">
      <pane xSplit="1" ySplit="1" topLeftCell="B2" activePane="bottomRight" state="frozen"/>
      <selection pane="topRight" activeCell="B1" sqref="B1"/>
      <selection pane="bottomLeft" activeCell="A3" sqref="A3"/>
      <selection pane="bottomRight" activeCell="Q6" sqref="Q6"/>
    </sheetView>
  </sheetViews>
  <sheetFormatPr defaultColWidth="12.5703125" defaultRowHeight="11.25" customHeight="1"/>
  <cols>
    <col min="1" max="1" width="20.140625" customWidth="1"/>
    <col min="2" max="2" width="16.42578125" customWidth="1"/>
    <col min="3" max="3" width="14.42578125" customWidth="1"/>
    <col min="4" max="4" width="6.85546875" customWidth="1"/>
    <col min="5" max="5" width="11.7109375" customWidth="1"/>
    <col min="6" max="6" width="18.42578125" customWidth="1"/>
    <col min="7" max="7" width="28.85546875" customWidth="1"/>
    <col min="8" max="8" width="6.85546875" customWidth="1"/>
    <col min="10" max="10" width="12.140625" customWidth="1"/>
    <col min="11" max="11" width="10.7109375" customWidth="1"/>
    <col min="12" max="12" width="10.85546875" customWidth="1"/>
    <col min="13" max="13" width="14.140625" customWidth="1"/>
    <col min="14" max="14" width="12.42578125" customWidth="1"/>
    <col min="15" max="15" width="11.140625" customWidth="1"/>
    <col min="16" max="16" width="9.5703125" customWidth="1"/>
    <col min="17" max="17" width="14.5703125" customWidth="1"/>
    <col min="18" max="18" width="12.85546875" customWidth="1"/>
    <col min="21" max="21" width="19.28515625" customWidth="1"/>
    <col min="22" max="22" width="11.5703125" customWidth="1"/>
    <col min="31" max="31" width="45.28515625" customWidth="1"/>
    <col min="36" max="36" width="16.42578125" customWidth="1"/>
  </cols>
  <sheetData>
    <row r="1" spans="1:44" ht="11.25" customHeight="1">
      <c r="A1" s="180" t="s">
        <v>0</v>
      </c>
      <c r="B1" s="181" t="s">
        <v>1</v>
      </c>
      <c r="C1" s="181" t="s">
        <v>2</v>
      </c>
      <c r="D1" s="180" t="s">
        <v>3</v>
      </c>
      <c r="E1" s="180" t="s">
        <v>4</v>
      </c>
      <c r="F1" s="180" t="s">
        <v>5</v>
      </c>
      <c r="G1" s="181" t="s">
        <v>6</v>
      </c>
      <c r="H1" s="180" t="s">
        <v>7</v>
      </c>
      <c r="I1" s="181" t="s">
        <v>8</v>
      </c>
      <c r="J1" s="182" t="s">
        <v>9</v>
      </c>
      <c r="K1" s="182" t="s">
        <v>10</v>
      </c>
      <c r="L1" s="183" t="s">
        <v>11</v>
      </c>
      <c r="M1" s="182" t="s">
        <v>12</v>
      </c>
      <c r="N1" s="182" t="s">
        <v>13</v>
      </c>
      <c r="O1" s="183" t="s">
        <v>14</v>
      </c>
      <c r="P1" s="181" t="s">
        <v>15</v>
      </c>
      <c r="Q1" s="181" t="s">
        <v>16</v>
      </c>
      <c r="R1" s="181" t="s">
        <v>17</v>
      </c>
      <c r="S1" s="181" t="s">
        <v>18</v>
      </c>
      <c r="T1" s="184" t="s">
        <v>19</v>
      </c>
      <c r="U1" s="181" t="s">
        <v>20</v>
      </c>
      <c r="V1" s="184" t="s">
        <v>21</v>
      </c>
      <c r="W1" s="181" t="s">
        <v>22</v>
      </c>
      <c r="X1" s="181" t="s">
        <v>23</v>
      </c>
      <c r="Y1" s="181" t="s">
        <v>24</v>
      </c>
      <c r="Z1" s="181" t="s">
        <v>25</v>
      </c>
      <c r="AA1" s="2" t="s">
        <v>40</v>
      </c>
      <c r="AB1" s="1" t="s">
        <v>41</v>
      </c>
      <c r="AC1" s="1" t="s">
        <v>42</v>
      </c>
      <c r="AD1" s="1" t="s">
        <v>43</v>
      </c>
      <c r="AE1" s="181" t="s">
        <v>26</v>
      </c>
      <c r="AF1" s="181" t="s">
        <v>27</v>
      </c>
      <c r="AG1" s="181" t="s">
        <v>28</v>
      </c>
      <c r="AH1" s="185" t="s">
        <v>29</v>
      </c>
      <c r="AI1" s="186" t="s">
        <v>30</v>
      </c>
      <c r="AJ1" s="183" t="s">
        <v>31</v>
      </c>
      <c r="AK1" s="186" t="s">
        <v>32</v>
      </c>
      <c r="AL1" s="186" t="s">
        <v>33</v>
      </c>
      <c r="AM1" s="187" t="s">
        <v>34</v>
      </c>
      <c r="AN1" s="187" t="s">
        <v>35</v>
      </c>
      <c r="AO1" s="187" t="s">
        <v>36</v>
      </c>
      <c r="AP1" s="187" t="s">
        <v>37</v>
      </c>
      <c r="AQ1" s="187" t="s">
        <v>38</v>
      </c>
      <c r="AR1" s="187" t="s">
        <v>39</v>
      </c>
    </row>
    <row r="2" spans="1:44" ht="11.25" customHeight="1">
      <c r="A2" s="149" t="s">
        <v>44</v>
      </c>
      <c r="B2" s="189">
        <v>873</v>
      </c>
      <c r="C2" s="189">
        <v>486</v>
      </c>
      <c r="D2" s="149" t="s">
        <v>45</v>
      </c>
      <c r="E2" s="149" t="s">
        <v>46</v>
      </c>
      <c r="F2" s="190" t="s">
        <v>47</v>
      </c>
      <c r="G2" s="191" t="s">
        <v>48</v>
      </c>
      <c r="H2" s="130" t="s">
        <v>49</v>
      </c>
      <c r="I2" s="192" t="s">
        <v>50</v>
      </c>
      <c r="J2" s="118">
        <f t="shared" ref="J2:J3" si="0">2066.11*3</f>
        <v>6198.33</v>
      </c>
      <c r="K2" s="118">
        <f>(77.68+138.65+184)*3+210+140+70+290+193.33+96.67</f>
        <v>2200.9900000000002</v>
      </c>
      <c r="L2" s="119">
        <f t="shared" ref="L2:L5" si="1">J2+K2</f>
        <v>8399.32</v>
      </c>
      <c r="M2" s="118">
        <f t="shared" ref="M2:M3" si="2">2066.11*3</f>
        <v>6198.33</v>
      </c>
      <c r="N2" s="118">
        <f>2200.99+281*3</f>
        <v>3043.99</v>
      </c>
      <c r="O2" s="119">
        <f t="shared" ref="O2:O5" si="3">M2+N2</f>
        <v>9242.32</v>
      </c>
      <c r="P2" s="132"/>
      <c r="Q2" s="132" t="s">
        <v>51</v>
      </c>
      <c r="R2" s="132">
        <v>2</v>
      </c>
      <c r="S2" s="132">
        <v>28000</v>
      </c>
      <c r="T2" s="119">
        <f t="shared" ref="T2:T5" si="4">S2-L2</f>
        <v>19600.68</v>
      </c>
      <c r="U2" s="132">
        <v>28000</v>
      </c>
      <c r="V2" s="119">
        <f t="shared" ref="V2:V5" si="5">U2-O2</f>
        <v>18757.68</v>
      </c>
      <c r="W2" s="132" t="s">
        <v>52</v>
      </c>
      <c r="X2" s="132">
        <v>0</v>
      </c>
      <c r="Y2" s="10">
        <v>45350</v>
      </c>
      <c r="Z2" s="134" t="s">
        <v>53</v>
      </c>
      <c r="AA2" s="132">
        <v>2</v>
      </c>
      <c r="AB2" s="132">
        <v>1.5</v>
      </c>
      <c r="AC2" s="132">
        <v>3</v>
      </c>
      <c r="AD2" s="132">
        <v>3</v>
      </c>
      <c r="AE2" s="193" t="s">
        <v>54</v>
      </c>
      <c r="AF2" s="194" t="s">
        <v>55</v>
      </c>
      <c r="AG2" s="194" t="s">
        <v>56</v>
      </c>
      <c r="AH2" s="195">
        <v>25285</v>
      </c>
      <c r="AI2" s="196" t="s">
        <v>57</v>
      </c>
      <c r="AJ2" s="197">
        <f>1.1458*AH2</f>
        <v>28971.553</v>
      </c>
      <c r="AK2" s="198">
        <v>2555</v>
      </c>
      <c r="AL2" s="198">
        <f>AK2*12</f>
        <v>30660</v>
      </c>
      <c r="AM2" s="118">
        <f t="shared" ref="AM2:AM5" si="6">T2-$AJ$2</f>
        <v>-9370.8729999999996</v>
      </c>
      <c r="AN2" s="118">
        <f t="shared" ref="AN2:AN5" si="7">T2-$AL$2</f>
        <v>-11059.32</v>
      </c>
      <c r="AO2" s="118">
        <f t="shared" ref="AO2:AO5" si="8">AN2-12000</f>
        <v>-23059.32</v>
      </c>
      <c r="AP2" s="118">
        <f t="shared" ref="AP2:AP5" si="9">V2-$AJ$2</f>
        <v>-10213.873</v>
      </c>
      <c r="AQ2" s="118">
        <f t="shared" ref="AQ2:AQ5" si="10">V2-$AL$2</f>
        <v>-11902.32</v>
      </c>
      <c r="AR2" s="118">
        <f t="shared" ref="AR2:AR5" si="11">AQ2-12000</f>
        <v>-23902.32</v>
      </c>
    </row>
    <row r="3" spans="1:44" ht="11.25" customHeight="1">
      <c r="A3" s="149" t="s">
        <v>44</v>
      </c>
      <c r="B3" s="189">
        <v>873</v>
      </c>
      <c r="C3" s="189">
        <v>486</v>
      </c>
      <c r="D3" s="149" t="s">
        <v>45</v>
      </c>
      <c r="E3" s="149" t="s">
        <v>46</v>
      </c>
      <c r="F3" s="190" t="s">
        <v>47</v>
      </c>
      <c r="G3" s="191" t="s">
        <v>48</v>
      </c>
      <c r="H3" s="130" t="s">
        <v>58</v>
      </c>
      <c r="J3" s="118">
        <f t="shared" si="0"/>
        <v>6198.33</v>
      </c>
      <c r="K3" s="118">
        <v>2200.9899999999998</v>
      </c>
      <c r="L3" s="119">
        <f t="shared" si="1"/>
        <v>8399.32</v>
      </c>
      <c r="M3" s="118">
        <f t="shared" si="2"/>
        <v>6198.33</v>
      </c>
      <c r="N3" s="118">
        <v>3043.99</v>
      </c>
      <c r="O3" s="119">
        <f t="shared" si="3"/>
        <v>9242.32</v>
      </c>
      <c r="P3" s="132"/>
      <c r="Q3" s="132" t="s">
        <v>51</v>
      </c>
      <c r="R3" s="132">
        <v>4</v>
      </c>
      <c r="S3" s="132">
        <v>28000</v>
      </c>
      <c r="T3" s="119">
        <f t="shared" si="4"/>
        <v>19600.68</v>
      </c>
      <c r="U3" s="132">
        <v>28000</v>
      </c>
      <c r="V3" s="119">
        <f t="shared" si="5"/>
        <v>18757.68</v>
      </c>
      <c r="W3" s="132" t="s">
        <v>52</v>
      </c>
      <c r="X3" s="132">
        <v>0</v>
      </c>
      <c r="Y3" s="10">
        <v>45350</v>
      </c>
      <c r="Z3" s="134" t="s">
        <v>53</v>
      </c>
      <c r="AA3" s="132">
        <v>2</v>
      </c>
      <c r="AB3" s="132">
        <v>1.5</v>
      </c>
      <c r="AC3" s="132">
        <v>3</v>
      </c>
      <c r="AD3" s="132">
        <v>3</v>
      </c>
      <c r="AH3" s="195">
        <v>25285</v>
      </c>
      <c r="AI3" s="196" t="s">
        <v>57</v>
      </c>
      <c r="AJ3" s="197">
        <f t="shared" ref="AJ3:AJ5" si="12">1.1458*AH3</f>
        <v>28971.553</v>
      </c>
      <c r="AK3" s="198">
        <v>2555</v>
      </c>
      <c r="AL3" s="198">
        <f t="shared" ref="AL3:AL5" si="13">AK3*12</f>
        <v>30660</v>
      </c>
      <c r="AM3" s="118">
        <f t="shared" si="6"/>
        <v>-9370.8729999999996</v>
      </c>
      <c r="AN3" s="118">
        <f t="shared" si="7"/>
        <v>-11059.32</v>
      </c>
      <c r="AO3" s="118">
        <f t="shared" si="8"/>
        <v>-23059.32</v>
      </c>
      <c r="AP3" s="118">
        <f t="shared" si="9"/>
        <v>-10213.873</v>
      </c>
      <c r="AQ3" s="118">
        <f t="shared" si="10"/>
        <v>-11902.32</v>
      </c>
      <c r="AR3" s="118">
        <f t="shared" si="11"/>
        <v>-23902.32</v>
      </c>
    </row>
    <row r="4" spans="1:44" ht="11.25" customHeight="1">
      <c r="A4" s="149" t="s">
        <v>44</v>
      </c>
      <c r="B4" s="189">
        <v>873</v>
      </c>
      <c r="C4" s="189">
        <v>486</v>
      </c>
      <c r="D4" s="149" t="s">
        <v>45</v>
      </c>
      <c r="E4" s="149" t="s">
        <v>46</v>
      </c>
      <c r="F4" s="149" t="s">
        <v>59</v>
      </c>
      <c r="G4" s="191" t="s">
        <v>59</v>
      </c>
      <c r="H4" s="130" t="s">
        <v>49</v>
      </c>
      <c r="I4" s="199" t="s">
        <v>60</v>
      </c>
      <c r="J4" s="118">
        <v>6198.33</v>
      </c>
      <c r="K4" s="118">
        <v>2200.9899999999998</v>
      </c>
      <c r="L4" s="119">
        <f t="shared" si="1"/>
        <v>8399.32</v>
      </c>
      <c r="M4" s="118">
        <v>6198.33</v>
      </c>
      <c r="N4" s="118">
        <v>3043.99</v>
      </c>
      <c r="O4" s="119">
        <f t="shared" si="3"/>
        <v>9242.32</v>
      </c>
      <c r="P4" s="132"/>
      <c r="Q4" s="132" t="s">
        <v>51</v>
      </c>
      <c r="R4" s="18">
        <v>2</v>
      </c>
      <c r="S4" s="18">
        <v>27000</v>
      </c>
      <c r="T4" s="119">
        <f t="shared" si="4"/>
        <v>18600.68</v>
      </c>
      <c r="U4" s="18">
        <v>27000</v>
      </c>
      <c r="V4" s="19">
        <f t="shared" si="5"/>
        <v>17757.68</v>
      </c>
      <c r="W4" s="132" t="s">
        <v>61</v>
      </c>
      <c r="X4" s="132">
        <v>0</v>
      </c>
      <c r="Y4" s="10">
        <v>45350</v>
      </c>
      <c r="Z4" s="134" t="s">
        <v>53</v>
      </c>
      <c r="AA4" s="132">
        <v>2</v>
      </c>
      <c r="AB4" s="132">
        <v>2</v>
      </c>
      <c r="AC4" s="132">
        <v>3</v>
      </c>
      <c r="AD4" s="132">
        <v>3</v>
      </c>
      <c r="AE4" s="200" t="s">
        <v>62</v>
      </c>
      <c r="AF4" s="194" t="s">
        <v>63</v>
      </c>
      <c r="AG4" s="194" t="s">
        <v>64</v>
      </c>
      <c r="AH4" s="195">
        <v>25285</v>
      </c>
      <c r="AI4" s="196" t="s">
        <v>57</v>
      </c>
      <c r="AJ4" s="197">
        <f t="shared" si="12"/>
        <v>28971.553</v>
      </c>
      <c r="AK4" s="198">
        <v>2555</v>
      </c>
      <c r="AL4" s="198">
        <f t="shared" si="13"/>
        <v>30660</v>
      </c>
      <c r="AM4" s="118">
        <f t="shared" si="6"/>
        <v>-10370.873</v>
      </c>
      <c r="AN4" s="118">
        <f t="shared" si="7"/>
        <v>-12059.32</v>
      </c>
      <c r="AO4" s="118">
        <f t="shared" si="8"/>
        <v>-24059.32</v>
      </c>
      <c r="AP4" s="118">
        <f t="shared" si="9"/>
        <v>-11213.873</v>
      </c>
      <c r="AQ4" s="118">
        <f t="shared" si="10"/>
        <v>-12902.32</v>
      </c>
      <c r="AR4" s="118">
        <f t="shared" si="11"/>
        <v>-24902.32</v>
      </c>
    </row>
    <row r="5" spans="1:44" ht="11.25" customHeight="1">
      <c r="A5" s="149" t="s">
        <v>44</v>
      </c>
      <c r="B5" s="189">
        <v>873</v>
      </c>
      <c r="C5" s="189">
        <v>486</v>
      </c>
      <c r="D5" s="149" t="s">
        <v>45</v>
      </c>
      <c r="E5" s="149" t="s">
        <v>46</v>
      </c>
      <c r="F5" s="149" t="s">
        <v>59</v>
      </c>
      <c r="G5" s="191" t="s">
        <v>59</v>
      </c>
      <c r="H5" s="130" t="s">
        <v>58</v>
      </c>
      <c r="J5" s="118">
        <v>6198.33</v>
      </c>
      <c r="K5" s="118">
        <v>2200.9899999999998</v>
      </c>
      <c r="L5" s="119">
        <f t="shared" si="1"/>
        <v>8399.32</v>
      </c>
      <c r="M5" s="118">
        <v>6198.33</v>
      </c>
      <c r="N5" s="118">
        <v>3043.99</v>
      </c>
      <c r="O5" s="119">
        <f t="shared" si="3"/>
        <v>9242.32</v>
      </c>
      <c r="P5" s="132"/>
      <c r="Q5" s="132" t="s">
        <v>51</v>
      </c>
      <c r="R5" s="18">
        <v>4</v>
      </c>
      <c r="S5" s="18">
        <v>29500</v>
      </c>
      <c r="T5" s="119">
        <f t="shared" si="4"/>
        <v>21100.68</v>
      </c>
      <c r="U5" s="18">
        <v>29500</v>
      </c>
      <c r="V5" s="19">
        <f t="shared" si="5"/>
        <v>20257.68</v>
      </c>
      <c r="W5" s="132" t="s">
        <v>65</v>
      </c>
      <c r="X5" s="132">
        <v>0</v>
      </c>
      <c r="Y5" s="10">
        <v>45350</v>
      </c>
      <c r="Z5" s="134" t="s">
        <v>53</v>
      </c>
      <c r="AA5" s="132">
        <v>2</v>
      </c>
      <c r="AB5" s="132">
        <v>2</v>
      </c>
      <c r="AC5" s="132">
        <v>3</v>
      </c>
      <c r="AD5" s="132">
        <v>3</v>
      </c>
      <c r="AH5" s="195">
        <v>25285</v>
      </c>
      <c r="AI5" s="196" t="s">
        <v>57</v>
      </c>
      <c r="AJ5" s="197">
        <f t="shared" si="12"/>
        <v>28971.553</v>
      </c>
      <c r="AK5" s="198">
        <v>2555</v>
      </c>
      <c r="AL5" s="198">
        <f t="shared" si="13"/>
        <v>30660</v>
      </c>
      <c r="AM5" s="118">
        <f t="shared" si="6"/>
        <v>-7870.8729999999996</v>
      </c>
      <c r="AN5" s="118">
        <f t="shared" si="7"/>
        <v>-9559.32</v>
      </c>
      <c r="AO5" s="118">
        <f t="shared" si="8"/>
        <v>-21559.32</v>
      </c>
      <c r="AP5" s="118">
        <f t="shared" si="9"/>
        <v>-8713.8729999999996</v>
      </c>
      <c r="AQ5" s="118">
        <f t="shared" si="10"/>
        <v>-10402.32</v>
      </c>
      <c r="AR5" s="118">
        <f t="shared" si="11"/>
        <v>-22402.32</v>
      </c>
    </row>
    <row r="6" spans="1:44" ht="11.25" customHeight="1">
      <c r="A6" s="149" t="s">
        <v>66</v>
      </c>
      <c r="B6" s="189">
        <v>1509</v>
      </c>
      <c r="C6" s="189">
        <v>1176</v>
      </c>
      <c r="D6" s="149" t="s">
        <v>67</v>
      </c>
      <c r="E6" s="149" t="s">
        <v>66</v>
      </c>
      <c r="F6" s="190" t="s">
        <v>47</v>
      </c>
      <c r="G6" s="191" t="s">
        <v>48</v>
      </c>
      <c r="H6" s="130" t="s">
        <v>49</v>
      </c>
      <c r="I6" s="21" t="s">
        <v>68</v>
      </c>
      <c r="J6" s="118">
        <f t="shared" ref="J6:J7" si="14">1201.32*3</f>
        <v>3603.96</v>
      </c>
      <c r="K6" s="118">
        <f t="shared" ref="K6:K9" si="15">11+176.84+343+308+(46.17+30.98+197.73+5)*2+165+170+23.09+98.87+170</f>
        <v>2025.56</v>
      </c>
      <c r="L6" s="119">
        <f t="shared" ref="L6:L9" si="16">J6+K6</f>
        <v>5629.52</v>
      </c>
      <c r="M6" s="118">
        <f>2802.51*3</f>
        <v>8407.5300000000007</v>
      </c>
      <c r="N6" s="118">
        <f t="shared" ref="N6:N9" si="17">11+176.84+343+308+(46.17+30.98+197.73+5)*2+165+170+23.09+98.87+170</f>
        <v>2025.56</v>
      </c>
      <c r="O6" s="119">
        <f t="shared" ref="O6:O9" si="18">M6+N6</f>
        <v>10433.09</v>
      </c>
      <c r="P6" s="132"/>
      <c r="Q6" s="201" t="s">
        <v>69</v>
      </c>
      <c r="W6" s="132"/>
      <c r="X6" s="132"/>
      <c r="Y6" s="134"/>
      <c r="Z6" s="134"/>
      <c r="AA6" s="132">
        <v>0</v>
      </c>
      <c r="AB6" s="132">
        <v>1.5</v>
      </c>
      <c r="AC6" s="132">
        <v>0</v>
      </c>
      <c r="AD6" s="132">
        <v>0</v>
      </c>
      <c r="AE6" s="56"/>
      <c r="AF6" s="12" t="s">
        <v>70</v>
      </c>
      <c r="AG6" s="12"/>
      <c r="AH6" s="195">
        <v>25112</v>
      </c>
      <c r="AI6" s="196" t="s">
        <v>66</v>
      </c>
      <c r="AJ6" s="197">
        <f>1.1458*AH6</f>
        <v>28773.329599999997</v>
      </c>
      <c r="AK6" s="198">
        <v>1728</v>
      </c>
      <c r="AL6" s="198">
        <f>AK6*12</f>
        <v>20736</v>
      </c>
      <c r="AM6" s="202"/>
    </row>
    <row r="7" spans="1:44" ht="11.25" customHeight="1">
      <c r="A7" s="149" t="s">
        <v>66</v>
      </c>
      <c r="B7" s="189">
        <v>1509</v>
      </c>
      <c r="C7" s="189">
        <v>1176</v>
      </c>
      <c r="D7" s="149" t="s">
        <v>67</v>
      </c>
      <c r="E7" s="149" t="s">
        <v>66</v>
      </c>
      <c r="F7" s="190" t="s">
        <v>47</v>
      </c>
      <c r="G7" s="191" t="s">
        <v>48</v>
      </c>
      <c r="H7" s="130" t="s">
        <v>58</v>
      </c>
      <c r="I7" s="6" t="s">
        <v>71</v>
      </c>
      <c r="J7" s="118">
        <f t="shared" si="14"/>
        <v>3603.96</v>
      </c>
      <c r="K7" s="118">
        <f t="shared" si="15"/>
        <v>2025.56</v>
      </c>
      <c r="L7" s="119">
        <f t="shared" si="16"/>
        <v>5629.52</v>
      </c>
      <c r="M7" s="118">
        <f>2801.51*3</f>
        <v>8404.5300000000007</v>
      </c>
      <c r="N7" s="118">
        <f t="shared" si="17"/>
        <v>2025.56</v>
      </c>
      <c r="O7" s="119">
        <f t="shared" si="18"/>
        <v>10430.09</v>
      </c>
      <c r="P7" s="132"/>
      <c r="W7" s="132"/>
      <c r="X7" s="132"/>
      <c r="Y7" s="134"/>
      <c r="Z7" s="134"/>
      <c r="AA7" s="132">
        <v>0</v>
      </c>
      <c r="AB7" s="132">
        <v>1.5</v>
      </c>
      <c r="AC7" s="132">
        <v>0</v>
      </c>
      <c r="AD7" s="132">
        <v>0</v>
      </c>
      <c r="AE7" s="56"/>
      <c r="AF7" s="12" t="s">
        <v>70</v>
      </c>
      <c r="AG7" s="12"/>
      <c r="AH7" s="195">
        <v>25112</v>
      </c>
      <c r="AI7" s="196" t="s">
        <v>66</v>
      </c>
      <c r="AJ7" s="197">
        <f t="shared" ref="AJ7:AJ9" si="19">1.1458*AH7</f>
        <v>28773.329599999997</v>
      </c>
      <c r="AK7" s="198">
        <v>1728</v>
      </c>
      <c r="AL7" s="198">
        <f t="shared" ref="AL7:AL9" si="20">AK7*12</f>
        <v>20736</v>
      </c>
    </row>
    <row r="8" spans="1:44" ht="11.25" customHeight="1">
      <c r="A8" s="149" t="s">
        <v>66</v>
      </c>
      <c r="B8" s="189">
        <v>1509</v>
      </c>
      <c r="C8" s="189">
        <v>1176</v>
      </c>
      <c r="D8" s="149" t="s">
        <v>67</v>
      </c>
      <c r="E8" s="149" t="s">
        <v>66</v>
      </c>
      <c r="F8" s="149" t="s">
        <v>59</v>
      </c>
      <c r="G8" s="191" t="s">
        <v>72</v>
      </c>
      <c r="H8" s="130" t="s">
        <v>49</v>
      </c>
      <c r="I8" s="17"/>
      <c r="J8" s="118">
        <f t="shared" ref="J8:J9" si="21">3*1201.32</f>
        <v>3603.96</v>
      </c>
      <c r="K8" s="118">
        <f t="shared" si="15"/>
        <v>2025.56</v>
      </c>
      <c r="L8" s="119">
        <f t="shared" si="16"/>
        <v>5629.52</v>
      </c>
      <c r="M8" s="118">
        <f t="shared" ref="M8:M9" si="22">2802.51*3</f>
        <v>8407.5300000000007</v>
      </c>
      <c r="N8" s="118">
        <f t="shared" si="17"/>
        <v>2025.56</v>
      </c>
      <c r="O8" s="119">
        <f t="shared" si="18"/>
        <v>10433.09</v>
      </c>
      <c r="P8" s="132"/>
      <c r="W8" s="132"/>
      <c r="X8" s="132"/>
      <c r="Y8" s="134"/>
      <c r="Z8" s="134"/>
      <c r="AA8" s="132">
        <v>0</v>
      </c>
      <c r="AB8" s="132">
        <v>1.5</v>
      </c>
      <c r="AC8" s="132">
        <v>0</v>
      </c>
      <c r="AD8" s="132">
        <v>0</v>
      </c>
      <c r="AE8" s="20"/>
      <c r="AF8" s="12" t="s">
        <v>70</v>
      </c>
      <c r="AG8" s="12"/>
      <c r="AH8" s="195">
        <v>25112</v>
      </c>
      <c r="AI8" s="196" t="s">
        <v>66</v>
      </c>
      <c r="AJ8" s="197">
        <f t="shared" si="19"/>
        <v>28773.329599999997</v>
      </c>
      <c r="AK8" s="198">
        <v>1728</v>
      </c>
      <c r="AL8" s="198">
        <f t="shared" si="20"/>
        <v>20736</v>
      </c>
    </row>
    <row r="9" spans="1:44" ht="11.25" customHeight="1">
      <c r="A9" s="149" t="s">
        <v>66</v>
      </c>
      <c r="B9" s="189">
        <v>1509</v>
      </c>
      <c r="C9" s="189">
        <v>1176</v>
      </c>
      <c r="D9" s="149" t="s">
        <v>67</v>
      </c>
      <c r="E9" s="149" t="s">
        <v>66</v>
      </c>
      <c r="F9" s="149" t="s">
        <v>59</v>
      </c>
      <c r="G9" s="191" t="s">
        <v>72</v>
      </c>
      <c r="H9" s="130" t="s">
        <v>58</v>
      </c>
      <c r="I9" s="132"/>
      <c r="J9" s="118">
        <f t="shared" si="21"/>
        <v>3603.96</v>
      </c>
      <c r="K9" s="118">
        <f t="shared" si="15"/>
        <v>2025.56</v>
      </c>
      <c r="L9" s="119">
        <f t="shared" si="16"/>
        <v>5629.52</v>
      </c>
      <c r="M9" s="118">
        <f t="shared" si="22"/>
        <v>8407.5300000000007</v>
      </c>
      <c r="N9" s="118">
        <f t="shared" si="17"/>
        <v>2025.56</v>
      </c>
      <c r="O9" s="119">
        <f t="shared" si="18"/>
        <v>10433.09</v>
      </c>
      <c r="P9" s="132"/>
      <c r="W9" s="132"/>
      <c r="X9" s="132"/>
      <c r="Y9" s="134"/>
      <c r="Z9" s="134"/>
      <c r="AA9" s="132">
        <v>0</v>
      </c>
      <c r="AB9" s="132">
        <v>1.5</v>
      </c>
      <c r="AC9" s="132">
        <v>0</v>
      </c>
      <c r="AD9" s="132">
        <v>0</v>
      </c>
      <c r="AE9" s="56"/>
      <c r="AF9" s="12" t="s">
        <v>70</v>
      </c>
      <c r="AG9" s="12"/>
      <c r="AH9" s="195">
        <v>25112</v>
      </c>
      <c r="AI9" s="196" t="s">
        <v>66</v>
      </c>
      <c r="AJ9" s="197">
        <f t="shared" si="19"/>
        <v>28773.329599999997</v>
      </c>
      <c r="AK9" s="198">
        <v>1728</v>
      </c>
      <c r="AL9" s="198">
        <f t="shared" si="20"/>
        <v>20736</v>
      </c>
    </row>
    <row r="10" spans="1:44" ht="11.25" customHeight="1">
      <c r="A10" s="149" t="s">
        <v>73</v>
      </c>
      <c r="B10" s="189">
        <v>1878</v>
      </c>
      <c r="C10" s="189">
        <v>1728</v>
      </c>
      <c r="D10" s="149" t="s">
        <v>67</v>
      </c>
      <c r="E10" s="149" t="s">
        <v>74</v>
      </c>
      <c r="F10" s="190" t="s">
        <v>47</v>
      </c>
      <c r="G10" s="191" t="s">
        <v>48</v>
      </c>
      <c r="H10" s="130" t="s">
        <v>49</v>
      </c>
      <c r="I10" s="203" t="s">
        <v>75</v>
      </c>
      <c r="J10" s="118">
        <v>4732.8</v>
      </c>
      <c r="K10" s="118">
        <v>2697.09</v>
      </c>
      <c r="L10" s="119">
        <f t="shared" ref="L10:L13" si="23">J10+K10</f>
        <v>7429.89</v>
      </c>
      <c r="M10" s="118">
        <v>9406</v>
      </c>
      <c r="N10" s="118">
        <v>2697.09</v>
      </c>
      <c r="O10" s="119">
        <f t="shared" ref="O10:O13" si="24">M10+N10</f>
        <v>12103.09</v>
      </c>
      <c r="P10" s="132"/>
      <c r="Q10" s="132" t="s">
        <v>51</v>
      </c>
      <c r="R10" s="132">
        <v>2.2999999999999998</v>
      </c>
      <c r="S10" s="132">
        <v>25197</v>
      </c>
      <c r="T10" s="119">
        <f t="shared" ref="T10:T13" si="25">S10-L10</f>
        <v>17767.11</v>
      </c>
      <c r="U10" s="204" t="s">
        <v>76</v>
      </c>
      <c r="W10" s="205" t="s">
        <v>77</v>
      </c>
      <c r="X10" s="132"/>
      <c r="Y10" s="10">
        <v>45351</v>
      </c>
      <c r="Z10" s="134"/>
      <c r="AA10" s="132">
        <v>1</v>
      </c>
      <c r="AB10" s="132">
        <v>2</v>
      </c>
      <c r="AC10" s="132">
        <v>3</v>
      </c>
      <c r="AD10" s="132">
        <v>0</v>
      </c>
      <c r="AE10" s="56" t="s">
        <v>78</v>
      </c>
      <c r="AF10" s="194" t="s">
        <v>79</v>
      </c>
      <c r="AG10" s="194" t="s">
        <v>80</v>
      </c>
      <c r="AH10" s="195">
        <v>24862</v>
      </c>
      <c r="AI10" s="196" t="s">
        <v>74</v>
      </c>
      <c r="AJ10" s="197">
        <f>1.1458*AH10</f>
        <v>28486.879599999997</v>
      </c>
      <c r="AK10" s="198">
        <v>1279</v>
      </c>
      <c r="AL10" s="198">
        <f>AK10*12</f>
        <v>15348</v>
      </c>
      <c r="AM10" s="118">
        <f t="shared" ref="AM10:AM13" si="26">T10-$AJ$10</f>
        <v>-10719.769599999996</v>
      </c>
      <c r="AN10" s="118">
        <f t="shared" ref="AN10:AN13" si="27">T10-$AL$10</f>
        <v>2419.1100000000006</v>
      </c>
      <c r="AO10" s="118">
        <f t="shared" ref="AO10:AO13" si="28">AN10-12000</f>
        <v>-9580.89</v>
      </c>
      <c r="AP10" s="15">
        <f t="shared" ref="AP10:AP13" si="29">S10-O10-$AJ$10</f>
        <v>-15392.969599999997</v>
      </c>
      <c r="AQ10" s="15">
        <f t="shared" ref="AQ10:AQ13" si="30">S10-O10-$AL$10</f>
        <v>-2254.09</v>
      </c>
      <c r="AR10" s="15">
        <f t="shared" ref="AR10:AR13" si="31">AQ10-12000</f>
        <v>-14254.09</v>
      </c>
    </row>
    <row r="11" spans="1:44" ht="11.25" customHeight="1">
      <c r="A11" s="149" t="s">
        <v>73</v>
      </c>
      <c r="B11" s="189">
        <v>1878</v>
      </c>
      <c r="C11" s="189">
        <v>1728</v>
      </c>
      <c r="D11" s="149" t="s">
        <v>67</v>
      </c>
      <c r="E11" s="149" t="s">
        <v>74</v>
      </c>
      <c r="F11" s="190" t="s">
        <v>47</v>
      </c>
      <c r="G11" s="191" t="s">
        <v>48</v>
      </c>
      <c r="H11" s="130" t="s">
        <v>58</v>
      </c>
      <c r="J11" s="118">
        <v>4732.8</v>
      </c>
      <c r="K11" s="118">
        <v>2697.09</v>
      </c>
      <c r="L11" s="119">
        <f t="shared" si="23"/>
        <v>7429.89</v>
      </c>
      <c r="M11" s="118">
        <v>9406</v>
      </c>
      <c r="N11" s="118">
        <v>2697.09</v>
      </c>
      <c r="O11" s="119">
        <f t="shared" si="24"/>
        <v>12103.09</v>
      </c>
      <c r="P11" s="132"/>
      <c r="Q11" s="132" t="s">
        <v>51</v>
      </c>
      <c r="R11" s="132">
        <v>5</v>
      </c>
      <c r="S11" s="132">
        <v>25917</v>
      </c>
      <c r="T11" s="119">
        <f t="shared" si="25"/>
        <v>18487.11</v>
      </c>
      <c r="X11" s="132"/>
      <c r="Y11" s="10">
        <v>45351</v>
      </c>
      <c r="Z11" s="134"/>
      <c r="AA11" s="132">
        <v>1</v>
      </c>
      <c r="AB11" s="132">
        <v>2</v>
      </c>
      <c r="AC11" s="132">
        <v>3</v>
      </c>
      <c r="AD11" s="132">
        <v>0</v>
      </c>
      <c r="AE11" s="56"/>
      <c r="AH11" s="195">
        <v>24862</v>
      </c>
      <c r="AI11" s="196" t="s">
        <v>74</v>
      </c>
      <c r="AJ11" s="197">
        <f t="shared" ref="AJ11:AJ13" si="32">1.1458*AH11</f>
        <v>28486.879599999997</v>
      </c>
      <c r="AK11" s="198">
        <v>1279</v>
      </c>
      <c r="AL11" s="198">
        <f t="shared" ref="AL11:AL13" si="33">AK11*12</f>
        <v>15348</v>
      </c>
      <c r="AM11" s="118">
        <f t="shared" si="26"/>
        <v>-9999.769599999996</v>
      </c>
      <c r="AN11" s="118">
        <f t="shared" si="27"/>
        <v>3139.1100000000006</v>
      </c>
      <c r="AO11" s="118">
        <f t="shared" si="28"/>
        <v>-8860.89</v>
      </c>
      <c r="AP11" s="15">
        <f t="shared" si="29"/>
        <v>-14672.969599999997</v>
      </c>
      <c r="AQ11" s="15">
        <f t="shared" si="30"/>
        <v>-1534.0900000000001</v>
      </c>
      <c r="AR11" s="15">
        <f t="shared" si="31"/>
        <v>-13534.09</v>
      </c>
    </row>
    <row r="12" spans="1:44" ht="11.25" customHeight="1">
      <c r="A12" s="149" t="s">
        <v>73</v>
      </c>
      <c r="B12" s="189">
        <v>1878</v>
      </c>
      <c r="C12" s="189">
        <v>1728</v>
      </c>
      <c r="D12" s="149" t="s">
        <v>67</v>
      </c>
      <c r="E12" s="149" t="s">
        <v>74</v>
      </c>
      <c r="F12" s="149" t="s">
        <v>59</v>
      </c>
      <c r="G12" s="191" t="s">
        <v>81</v>
      </c>
      <c r="H12" s="130" t="s">
        <v>49</v>
      </c>
      <c r="I12" s="199" t="s">
        <v>82</v>
      </c>
      <c r="J12" s="118">
        <v>4732.8</v>
      </c>
      <c r="K12" s="118">
        <v>2697.09</v>
      </c>
      <c r="L12" s="119">
        <f t="shared" si="23"/>
        <v>7429.89</v>
      </c>
      <c r="M12" s="118">
        <f>9406</f>
        <v>9406</v>
      </c>
      <c r="N12" s="118">
        <v>2697.09</v>
      </c>
      <c r="O12" s="119">
        <f t="shared" si="24"/>
        <v>12103.09</v>
      </c>
      <c r="P12" s="132"/>
      <c r="Q12" s="132" t="s">
        <v>51</v>
      </c>
      <c r="R12" s="18">
        <v>2</v>
      </c>
      <c r="S12" s="18">
        <v>29010</v>
      </c>
      <c r="T12" s="19">
        <f t="shared" si="25"/>
        <v>21580.11</v>
      </c>
      <c r="W12" s="132" t="s">
        <v>83</v>
      </c>
      <c r="X12" s="132"/>
      <c r="Y12" s="10">
        <v>45351</v>
      </c>
      <c r="Z12" s="134"/>
      <c r="AA12" s="132">
        <v>1</v>
      </c>
      <c r="AB12" s="132">
        <v>2</v>
      </c>
      <c r="AC12" s="132">
        <v>3</v>
      </c>
      <c r="AD12" s="132">
        <v>1</v>
      </c>
      <c r="AE12" s="20"/>
      <c r="AG12" s="23" t="s">
        <v>84</v>
      </c>
      <c r="AH12" s="195">
        <v>24862</v>
      </c>
      <c r="AI12" s="196" t="s">
        <v>74</v>
      </c>
      <c r="AJ12" s="197">
        <f t="shared" si="32"/>
        <v>28486.879599999997</v>
      </c>
      <c r="AK12" s="198">
        <v>1279</v>
      </c>
      <c r="AL12" s="198">
        <f t="shared" si="33"/>
        <v>15348</v>
      </c>
      <c r="AM12" s="118">
        <f t="shared" si="26"/>
        <v>-6906.769599999996</v>
      </c>
      <c r="AN12" s="118">
        <f t="shared" si="27"/>
        <v>6232.1100000000006</v>
      </c>
      <c r="AO12" s="118">
        <f t="shared" si="28"/>
        <v>-5767.8899999999994</v>
      </c>
      <c r="AP12" s="15">
        <f t="shared" si="29"/>
        <v>-11579.969599999997</v>
      </c>
      <c r="AQ12" s="15">
        <f t="shared" si="30"/>
        <v>1558.9099999999999</v>
      </c>
      <c r="AR12" s="15">
        <f t="shared" si="31"/>
        <v>-10441.09</v>
      </c>
    </row>
    <row r="13" spans="1:44" ht="11.25" customHeight="1">
      <c r="A13" s="149" t="s">
        <v>73</v>
      </c>
      <c r="B13" s="189">
        <v>1878</v>
      </c>
      <c r="C13" s="189">
        <v>1728</v>
      </c>
      <c r="D13" s="149" t="s">
        <v>67</v>
      </c>
      <c r="E13" s="149" t="s">
        <v>74</v>
      </c>
      <c r="F13" s="149" t="s">
        <v>59</v>
      </c>
      <c r="G13" s="191" t="s">
        <v>81</v>
      </c>
      <c r="H13" s="130" t="s">
        <v>58</v>
      </c>
      <c r="J13" s="118">
        <v>4732.8</v>
      </c>
      <c r="K13" s="118">
        <v>2697.09</v>
      </c>
      <c r="L13" s="119">
        <f t="shared" si="23"/>
        <v>7429.89</v>
      </c>
      <c r="M13" s="118">
        <v>9406</v>
      </c>
      <c r="N13" s="118">
        <v>2697.09</v>
      </c>
      <c r="O13" s="119">
        <f t="shared" si="24"/>
        <v>12103.09</v>
      </c>
      <c r="P13" s="132"/>
      <c r="Q13" s="132" t="s">
        <v>51</v>
      </c>
      <c r="R13" s="24">
        <v>45416</v>
      </c>
      <c r="S13" s="18">
        <v>30720</v>
      </c>
      <c r="T13" s="19">
        <f t="shared" si="25"/>
        <v>23290.11</v>
      </c>
      <c r="W13" s="132" t="s">
        <v>83</v>
      </c>
      <c r="X13" s="132"/>
      <c r="Y13" s="10">
        <v>45351</v>
      </c>
      <c r="Z13" s="134"/>
      <c r="AA13" s="132">
        <v>1</v>
      </c>
      <c r="AB13" s="132">
        <v>2</v>
      </c>
      <c r="AC13" s="132">
        <v>3</v>
      </c>
      <c r="AD13" s="132">
        <v>1</v>
      </c>
      <c r="AE13" s="56"/>
      <c r="AG13" s="12" t="s">
        <v>85</v>
      </c>
      <c r="AH13" s="195">
        <v>24862</v>
      </c>
      <c r="AI13" s="196" t="s">
        <v>74</v>
      </c>
      <c r="AJ13" s="197">
        <f t="shared" si="32"/>
        <v>28486.879599999997</v>
      </c>
      <c r="AK13" s="198">
        <v>1279</v>
      </c>
      <c r="AL13" s="198">
        <f t="shared" si="33"/>
        <v>15348</v>
      </c>
      <c r="AM13" s="118">
        <f t="shared" si="26"/>
        <v>-5196.769599999996</v>
      </c>
      <c r="AN13" s="118">
        <f t="shared" si="27"/>
        <v>7942.1100000000006</v>
      </c>
      <c r="AO13" s="118">
        <f t="shared" si="28"/>
        <v>-4057.8899999999994</v>
      </c>
      <c r="AP13" s="15">
        <f t="shared" si="29"/>
        <v>-9869.9695999999967</v>
      </c>
      <c r="AQ13" s="15">
        <f t="shared" si="30"/>
        <v>3268.91</v>
      </c>
      <c r="AR13" s="15">
        <f t="shared" si="31"/>
        <v>-8731.09</v>
      </c>
    </row>
    <row r="14" spans="1:44" ht="11.25" customHeight="1">
      <c r="A14" s="149" t="s">
        <v>86</v>
      </c>
      <c r="B14" s="189">
        <v>209</v>
      </c>
      <c r="C14" s="189">
        <v>95</v>
      </c>
      <c r="D14" s="149" t="s">
        <v>67</v>
      </c>
      <c r="E14" s="149" t="s">
        <v>86</v>
      </c>
      <c r="F14" s="190" t="s">
        <v>47</v>
      </c>
      <c r="G14" s="191" t="s">
        <v>87</v>
      </c>
      <c r="H14" s="130" t="s">
        <v>49</v>
      </c>
      <c r="I14" s="203" t="s">
        <v>88</v>
      </c>
      <c r="J14" s="118">
        <v>6270.33</v>
      </c>
      <c r="K14" s="118">
        <v>2415.17</v>
      </c>
      <c r="L14" s="119">
        <f t="shared" ref="L14:L17" si="34">J14+K14</f>
        <v>8685.5</v>
      </c>
      <c r="M14" s="118">
        <v>14208.24</v>
      </c>
      <c r="N14" s="118">
        <v>2415.17</v>
      </c>
      <c r="O14" s="119">
        <f t="shared" ref="O14:O17" si="35">M14+N14</f>
        <v>16623.41</v>
      </c>
      <c r="P14" s="132"/>
      <c r="Q14" s="201" t="s">
        <v>69</v>
      </c>
      <c r="W14" s="132"/>
      <c r="X14" s="132"/>
      <c r="Y14" s="134"/>
      <c r="Z14" s="134"/>
      <c r="AA14" s="132"/>
      <c r="AB14" s="132"/>
      <c r="AC14" s="132"/>
      <c r="AD14" s="132"/>
      <c r="AE14" s="56"/>
      <c r="AF14" s="12"/>
      <c r="AG14" s="12"/>
      <c r="AH14" s="195">
        <v>23640</v>
      </c>
      <c r="AI14" s="196" t="s">
        <v>89</v>
      </c>
      <c r="AJ14" s="197">
        <f>1.1458*AH14</f>
        <v>27086.712</v>
      </c>
      <c r="AK14" s="206">
        <v>1181</v>
      </c>
      <c r="AL14" s="198">
        <f>AK14*12</f>
        <v>14172</v>
      </c>
      <c r="AM14" s="202"/>
    </row>
    <row r="15" spans="1:44" ht="11.25" customHeight="1">
      <c r="A15" s="149" t="s">
        <v>86</v>
      </c>
      <c r="B15" s="189">
        <v>209</v>
      </c>
      <c r="C15" s="189">
        <v>95</v>
      </c>
      <c r="D15" s="149" t="s">
        <v>67</v>
      </c>
      <c r="E15" s="149" t="s">
        <v>86</v>
      </c>
      <c r="F15" s="190" t="s">
        <v>47</v>
      </c>
      <c r="G15" s="191" t="s">
        <v>87</v>
      </c>
      <c r="H15" s="130" t="s">
        <v>58</v>
      </c>
      <c r="J15" s="118">
        <v>6129.36</v>
      </c>
      <c r="K15" s="118">
        <v>2415.17</v>
      </c>
      <c r="L15" s="119">
        <f t="shared" si="34"/>
        <v>8544.5299999999988</v>
      </c>
      <c r="M15" s="118">
        <v>14208.24</v>
      </c>
      <c r="N15" s="118">
        <v>2415.17</v>
      </c>
      <c r="O15" s="119">
        <f t="shared" si="35"/>
        <v>16623.41</v>
      </c>
      <c r="P15" s="132"/>
      <c r="W15" s="132"/>
      <c r="X15" s="132"/>
      <c r="Y15" s="134"/>
      <c r="Z15" s="134"/>
      <c r="AA15" s="132"/>
      <c r="AB15" s="132"/>
      <c r="AC15" s="132"/>
      <c r="AD15" s="132"/>
      <c r="AE15" s="56"/>
      <c r="AF15" s="12"/>
      <c r="AG15" s="12"/>
      <c r="AH15" s="195">
        <v>23640</v>
      </c>
      <c r="AI15" s="196" t="s">
        <v>89</v>
      </c>
      <c r="AJ15" s="197">
        <f t="shared" ref="AJ15:AJ17" si="36">1.1458*AH15</f>
        <v>27086.712</v>
      </c>
      <c r="AK15" s="206">
        <v>1181</v>
      </c>
      <c r="AL15" s="198">
        <f t="shared" ref="AL15:AL17" si="37">AK15*12</f>
        <v>14172</v>
      </c>
    </row>
    <row r="16" spans="1:44" ht="11.25" customHeight="1">
      <c r="A16" s="149" t="s">
        <v>86</v>
      </c>
      <c r="B16" s="189">
        <v>209</v>
      </c>
      <c r="C16" s="189">
        <v>95</v>
      </c>
      <c r="D16" s="149" t="s">
        <v>67</v>
      </c>
      <c r="E16" s="149" t="s">
        <v>86</v>
      </c>
      <c r="F16" s="149" t="s">
        <v>59</v>
      </c>
      <c r="G16" s="191" t="s">
        <v>90</v>
      </c>
      <c r="H16" s="130" t="s">
        <v>49</v>
      </c>
      <c r="I16" s="207" t="s">
        <v>91</v>
      </c>
      <c r="J16" s="118">
        <v>6270.33</v>
      </c>
      <c r="K16" s="118">
        <v>2415.17</v>
      </c>
      <c r="L16" s="119">
        <f t="shared" si="34"/>
        <v>8685.5</v>
      </c>
      <c r="M16" s="118">
        <v>14208.24</v>
      </c>
      <c r="N16" s="118">
        <v>2415.17</v>
      </c>
      <c r="O16" s="119">
        <f t="shared" si="35"/>
        <v>16623.41</v>
      </c>
      <c r="P16" s="132"/>
      <c r="W16" s="132"/>
      <c r="X16" s="132"/>
      <c r="Y16" s="134"/>
      <c r="Z16" s="134"/>
      <c r="AA16" s="132"/>
      <c r="AB16" s="132"/>
      <c r="AC16" s="132"/>
      <c r="AD16" s="132"/>
      <c r="AE16" s="20"/>
      <c r="AF16" s="12"/>
      <c r="AG16" s="12"/>
      <c r="AH16" s="195">
        <v>23640</v>
      </c>
      <c r="AI16" s="196" t="s">
        <v>89</v>
      </c>
      <c r="AJ16" s="197">
        <f t="shared" si="36"/>
        <v>27086.712</v>
      </c>
      <c r="AK16" s="206">
        <v>1181</v>
      </c>
      <c r="AL16" s="198">
        <f t="shared" si="37"/>
        <v>14172</v>
      </c>
    </row>
    <row r="17" spans="1:44" ht="11.25" customHeight="1">
      <c r="A17" s="149" t="s">
        <v>86</v>
      </c>
      <c r="B17" s="189">
        <v>209</v>
      </c>
      <c r="C17" s="189">
        <v>95</v>
      </c>
      <c r="D17" s="149" t="s">
        <v>67</v>
      </c>
      <c r="E17" s="149" t="s">
        <v>86</v>
      </c>
      <c r="F17" s="149" t="s">
        <v>59</v>
      </c>
      <c r="G17" s="191" t="s">
        <v>90</v>
      </c>
      <c r="H17" s="130" t="s">
        <v>58</v>
      </c>
      <c r="J17" s="118">
        <v>6129.36</v>
      </c>
      <c r="K17" s="118">
        <v>2415.17</v>
      </c>
      <c r="L17" s="119">
        <f t="shared" si="34"/>
        <v>8544.5299999999988</v>
      </c>
      <c r="M17" s="118">
        <v>14208.24</v>
      </c>
      <c r="N17" s="118">
        <v>2415.17</v>
      </c>
      <c r="O17" s="119">
        <f t="shared" si="35"/>
        <v>16623.41</v>
      </c>
      <c r="P17" s="132"/>
      <c r="W17" s="132"/>
      <c r="X17" s="132"/>
      <c r="Y17" s="134"/>
      <c r="Z17" s="134"/>
      <c r="AA17" s="132"/>
      <c r="AB17" s="132"/>
      <c r="AC17" s="132"/>
      <c r="AD17" s="132"/>
      <c r="AE17" s="56"/>
      <c r="AF17" s="12"/>
      <c r="AG17" s="12"/>
      <c r="AH17" s="195">
        <v>23640</v>
      </c>
      <c r="AI17" s="196" t="s">
        <v>89</v>
      </c>
      <c r="AJ17" s="197">
        <f t="shared" si="36"/>
        <v>27086.712</v>
      </c>
      <c r="AK17" s="206">
        <v>1181</v>
      </c>
      <c r="AL17" s="198">
        <f t="shared" si="37"/>
        <v>14172</v>
      </c>
    </row>
    <row r="18" spans="1:44" ht="11.25" customHeight="1">
      <c r="A18" s="188" t="s">
        <v>92</v>
      </c>
      <c r="B18" s="189">
        <v>132</v>
      </c>
      <c r="C18" s="189">
        <v>72</v>
      </c>
      <c r="D18" s="149" t="s">
        <v>45</v>
      </c>
      <c r="E18" s="149" t="s">
        <v>93</v>
      </c>
      <c r="F18" s="190" t="s">
        <v>47</v>
      </c>
      <c r="G18" s="191" t="s">
        <v>94</v>
      </c>
      <c r="H18" s="130" t="s">
        <v>49</v>
      </c>
      <c r="I18" s="21" t="s">
        <v>95</v>
      </c>
      <c r="J18" s="118">
        <f>1820.14*3</f>
        <v>5460.42</v>
      </c>
      <c r="K18" s="118">
        <f t="shared" ref="K18:K20" si="38">(2.28+45.95+78.65+5.23+10.99+65.47+60)*3+383.69</f>
        <v>1189.4000000000001</v>
      </c>
      <c r="L18" s="119">
        <f t="shared" ref="L18:L20" si="39">J18+K18</f>
        <v>6649.82</v>
      </c>
      <c r="M18" s="118">
        <f>2548.2*3</f>
        <v>7644.5999999999995</v>
      </c>
      <c r="N18" s="118">
        <f t="shared" ref="N18:N20" si="40">(2.28+45.95+78.65+5.23+10.99+65.47+60)*3+383.69+190</f>
        <v>1379.4</v>
      </c>
      <c r="O18" s="119">
        <f t="shared" ref="O18:O20" si="41">M18+N18</f>
        <v>9024</v>
      </c>
      <c r="P18" s="132"/>
      <c r="Q18" s="132" t="s">
        <v>96</v>
      </c>
      <c r="R18" s="132"/>
      <c r="S18" s="208"/>
      <c r="W18" s="132"/>
      <c r="X18" s="132"/>
      <c r="Y18" s="10">
        <v>45411</v>
      </c>
      <c r="Z18" s="134"/>
      <c r="AA18" s="132">
        <v>1</v>
      </c>
      <c r="AB18" s="132">
        <v>1</v>
      </c>
      <c r="AC18" s="132"/>
      <c r="AD18" s="132"/>
      <c r="AE18" s="56" t="s">
        <v>97</v>
      </c>
      <c r="AF18" s="12" t="s">
        <v>98</v>
      </c>
      <c r="AG18" s="12"/>
      <c r="AH18" s="195">
        <v>22255</v>
      </c>
      <c r="AI18" s="196" t="s">
        <v>99</v>
      </c>
      <c r="AJ18" s="197">
        <f>1.1458*AH18</f>
        <v>25499.778999999999</v>
      </c>
      <c r="AK18" s="202"/>
    </row>
    <row r="19" spans="1:44" ht="11.25" customHeight="1">
      <c r="A19" s="188" t="s">
        <v>92</v>
      </c>
      <c r="B19" s="189">
        <v>132</v>
      </c>
      <c r="C19" s="189">
        <v>72</v>
      </c>
      <c r="D19" s="149" t="s">
        <v>45</v>
      </c>
      <c r="E19" s="149" t="s">
        <v>93</v>
      </c>
      <c r="F19" s="190" t="s">
        <v>47</v>
      </c>
      <c r="G19" s="191" t="s">
        <v>94</v>
      </c>
      <c r="H19" s="130" t="s">
        <v>58</v>
      </c>
      <c r="I19" s="21" t="s">
        <v>95</v>
      </c>
      <c r="J19" s="118">
        <v>5460.42</v>
      </c>
      <c r="K19" s="118">
        <f t="shared" si="38"/>
        <v>1189.4000000000001</v>
      </c>
      <c r="L19" s="119">
        <f t="shared" si="39"/>
        <v>6649.82</v>
      </c>
      <c r="M19" s="118">
        <v>7644.6</v>
      </c>
      <c r="N19" s="118">
        <f t="shared" si="40"/>
        <v>1379.4</v>
      </c>
      <c r="O19" s="119">
        <f t="shared" si="41"/>
        <v>9024</v>
      </c>
      <c r="P19" s="132"/>
      <c r="Q19" s="132" t="s">
        <v>96</v>
      </c>
      <c r="R19" s="132"/>
      <c r="W19" s="132"/>
      <c r="X19" s="132"/>
      <c r="Y19" s="134"/>
      <c r="Z19" s="134"/>
      <c r="AA19" s="132"/>
      <c r="AB19" s="132"/>
      <c r="AC19" s="132"/>
      <c r="AD19" s="132"/>
      <c r="AE19" s="56" t="s">
        <v>100</v>
      </c>
      <c r="AF19" s="12"/>
      <c r="AG19" s="12"/>
      <c r="AH19" s="195">
        <v>22255</v>
      </c>
      <c r="AI19" s="196" t="s">
        <v>99</v>
      </c>
      <c r="AJ19" s="197">
        <f t="shared" ref="AJ19:AJ20" si="42">1.1458*AH19</f>
        <v>25499.778999999999</v>
      </c>
    </row>
    <row r="20" spans="1:44" ht="11.25" customHeight="1">
      <c r="A20" s="188" t="s">
        <v>92</v>
      </c>
      <c r="B20" s="189">
        <v>132</v>
      </c>
      <c r="C20" s="189">
        <v>72</v>
      </c>
      <c r="D20" s="149" t="s">
        <v>45</v>
      </c>
      <c r="E20" s="149" t="s">
        <v>93</v>
      </c>
      <c r="F20" s="114" t="s">
        <v>59</v>
      </c>
      <c r="G20" s="27" t="s">
        <v>101</v>
      </c>
      <c r="H20" s="130" t="s">
        <v>49</v>
      </c>
      <c r="I20" s="17" t="s">
        <v>102</v>
      </c>
      <c r="J20" s="118">
        <f>1820.14*3</f>
        <v>5460.42</v>
      </c>
      <c r="K20" s="118">
        <f t="shared" si="38"/>
        <v>1189.4000000000001</v>
      </c>
      <c r="L20" s="119">
        <f t="shared" si="39"/>
        <v>6649.82</v>
      </c>
      <c r="M20" s="118">
        <f>2548.2*3</f>
        <v>7644.5999999999995</v>
      </c>
      <c r="N20" s="118">
        <f t="shared" si="40"/>
        <v>1379.4</v>
      </c>
      <c r="O20" s="119">
        <f t="shared" si="41"/>
        <v>9024</v>
      </c>
      <c r="P20" s="132"/>
      <c r="Q20" s="132"/>
      <c r="R20" s="18"/>
      <c r="W20" s="132"/>
      <c r="X20" s="132"/>
      <c r="Y20" s="10">
        <v>45379</v>
      </c>
      <c r="Z20" s="134"/>
      <c r="AA20" s="132">
        <v>0</v>
      </c>
      <c r="AB20" s="132">
        <v>1</v>
      </c>
      <c r="AC20" s="132">
        <v>0</v>
      </c>
      <c r="AD20" s="132">
        <v>0</v>
      </c>
      <c r="AE20" s="20" t="s">
        <v>103</v>
      </c>
      <c r="AF20" s="12" t="s">
        <v>104</v>
      </c>
      <c r="AG20" s="12"/>
      <c r="AH20" s="195">
        <v>22255</v>
      </c>
      <c r="AI20" s="196" t="s">
        <v>99</v>
      </c>
      <c r="AJ20" s="197">
        <f t="shared" si="42"/>
        <v>25499.778999999999</v>
      </c>
    </row>
    <row r="21" spans="1:44" ht="11.25" customHeight="1">
      <c r="A21" s="149" t="s">
        <v>105</v>
      </c>
      <c r="B21" s="189">
        <v>3281</v>
      </c>
      <c r="C21" s="189">
        <v>2800</v>
      </c>
      <c r="D21" s="149" t="s">
        <v>45</v>
      </c>
      <c r="E21" s="149" t="s">
        <v>106</v>
      </c>
      <c r="F21" s="190" t="s">
        <v>47</v>
      </c>
      <c r="G21" s="191" t="s">
        <v>107</v>
      </c>
      <c r="H21" s="130" t="s">
        <v>49</v>
      </c>
      <c r="I21" s="203" t="s">
        <v>108</v>
      </c>
      <c r="J21" s="118">
        <f t="shared" ref="J21:J24" si="43">1838.57*3</f>
        <v>5515.71</v>
      </c>
      <c r="K21" s="118">
        <f t="shared" ref="K21:K24" si="44">249.84 +10.76 + 50.01 + 367.41+12+21+0.34+1.31+17.73+0.83+0.45+1+6.64+9.69+100+1.66+184+1.13+15+1.13+2.05+4.32+6.79+3.46+8.15</f>
        <v>1076.7000000000003</v>
      </c>
      <c r="L21" s="119">
        <f t="shared" ref="L21:L24" si="45">J21+K21</f>
        <v>6592.41</v>
      </c>
      <c r="M21" s="118">
        <f t="shared" ref="M21:M24" si="46">3230.06*3</f>
        <v>9690.18</v>
      </c>
      <c r="N21" s="118">
        <f t="shared" ref="N21:N24" si="47">249.84 + 237 + 10.76 + 50.01 + 367.41+12+21+0.34+1.31+17.73+0.83+0.45+1+6.64+9.69+100+1.66+184+1.13+15+1.13+2.05+4.32+6.79+3.46+8.15</f>
        <v>1313.7000000000005</v>
      </c>
      <c r="O21" s="119">
        <f t="shared" ref="O21:O24" si="48">M21+N21</f>
        <v>11003.880000000001</v>
      </c>
      <c r="P21" s="132"/>
      <c r="Q21" s="118" t="s">
        <v>51</v>
      </c>
      <c r="R21" s="132" t="s">
        <v>109</v>
      </c>
      <c r="S21" s="118">
        <v>30000</v>
      </c>
      <c r="T21" s="119">
        <f t="shared" ref="T21:T24" si="49">S21-L21</f>
        <v>23407.59</v>
      </c>
      <c r="U21" s="118">
        <v>30000</v>
      </c>
      <c r="V21" s="119">
        <f t="shared" ref="V21:V22" si="50">U21-N21</f>
        <v>28686.3</v>
      </c>
      <c r="W21" s="132"/>
      <c r="X21" s="132"/>
      <c r="Y21" s="10">
        <v>45411</v>
      </c>
      <c r="Z21" s="134" t="s">
        <v>110</v>
      </c>
      <c r="AA21" s="132"/>
      <c r="AB21" s="132"/>
      <c r="AC21" s="132">
        <v>3</v>
      </c>
      <c r="AD21" s="132"/>
      <c r="AE21" s="191" t="s">
        <v>111</v>
      </c>
      <c r="AF21" s="28"/>
      <c r="AG21" s="57" t="s">
        <v>112</v>
      </c>
      <c r="AH21" s="195">
        <v>25285</v>
      </c>
      <c r="AI21" s="196" t="s">
        <v>106</v>
      </c>
      <c r="AJ21" s="197">
        <f>1.1458*AH21</f>
        <v>28971.553</v>
      </c>
      <c r="AK21" s="198">
        <v>2988</v>
      </c>
      <c r="AL21" s="198">
        <f>AK21*12</f>
        <v>35856</v>
      </c>
      <c r="AM21" s="118">
        <f t="shared" ref="AM21:AM24" si="51">T21-$AJ$21</f>
        <v>-5563.9629999999997</v>
      </c>
      <c r="AN21" s="118">
        <f t="shared" ref="AN21:AN24" si="52">T21-$AL$21</f>
        <v>-12448.41</v>
      </c>
      <c r="AO21" s="118">
        <f t="shared" ref="AO21:AO24" si="53">AN21-12000</f>
        <v>-24448.41</v>
      </c>
      <c r="AP21" s="118">
        <f t="shared" ref="AP21:AP24" si="54">V21-$AJ$21</f>
        <v>-285.25300000000061</v>
      </c>
      <c r="AQ21" s="118">
        <f t="shared" ref="AQ21:AQ24" si="55">V21-$AL$21</f>
        <v>-7169.7000000000007</v>
      </c>
      <c r="AR21" s="118">
        <f t="shared" ref="AR21:AR24" si="56">AQ21-12000</f>
        <v>-19169.7</v>
      </c>
    </row>
    <row r="22" spans="1:44" ht="11.25" customHeight="1">
      <c r="A22" s="149" t="s">
        <v>105</v>
      </c>
      <c r="B22" s="189">
        <v>3281</v>
      </c>
      <c r="C22" s="189">
        <v>2800</v>
      </c>
      <c r="D22" s="149" t="s">
        <v>45</v>
      </c>
      <c r="E22" s="149" t="s">
        <v>106</v>
      </c>
      <c r="F22" s="190" t="s">
        <v>47</v>
      </c>
      <c r="G22" s="191" t="s">
        <v>107</v>
      </c>
      <c r="H22" s="130" t="s">
        <v>58</v>
      </c>
      <c r="J22" s="118">
        <f t="shared" si="43"/>
        <v>5515.71</v>
      </c>
      <c r="K22" s="118">
        <f t="shared" si="44"/>
        <v>1076.7000000000003</v>
      </c>
      <c r="L22" s="119">
        <f t="shared" si="45"/>
        <v>6592.41</v>
      </c>
      <c r="M22" s="118">
        <f t="shared" si="46"/>
        <v>9690.18</v>
      </c>
      <c r="N22" s="118">
        <f t="shared" si="47"/>
        <v>1313.7000000000005</v>
      </c>
      <c r="O22" s="119">
        <f t="shared" si="48"/>
        <v>11003.880000000001</v>
      </c>
      <c r="P22" s="132"/>
      <c r="Q22" s="118" t="s">
        <v>51</v>
      </c>
      <c r="R22" s="132" t="s">
        <v>109</v>
      </c>
      <c r="S22" s="118">
        <v>30000</v>
      </c>
      <c r="T22" s="119">
        <f t="shared" si="49"/>
        <v>23407.59</v>
      </c>
      <c r="U22" s="118">
        <v>30000</v>
      </c>
      <c r="V22" s="119">
        <f t="shared" si="50"/>
        <v>28686.3</v>
      </c>
      <c r="W22" s="132"/>
      <c r="X22" s="132"/>
      <c r="Y22" s="10">
        <v>45411</v>
      </c>
      <c r="Z22" s="134" t="s">
        <v>110</v>
      </c>
      <c r="AA22" s="132"/>
      <c r="AB22" s="132"/>
      <c r="AC22" s="132">
        <v>3</v>
      </c>
      <c r="AD22" s="132"/>
      <c r="AF22" s="12"/>
      <c r="AG22" s="57" t="s">
        <v>112</v>
      </c>
      <c r="AH22" s="195">
        <v>25285</v>
      </c>
      <c r="AI22" s="196" t="s">
        <v>106</v>
      </c>
      <c r="AJ22" s="197">
        <f t="shared" ref="AJ22:AJ24" si="57">1.1458*AH22</f>
        <v>28971.553</v>
      </c>
      <c r="AK22" s="198">
        <v>2988</v>
      </c>
      <c r="AL22" s="198">
        <f t="shared" ref="AL22:AL24" si="58">AK22*12</f>
        <v>35856</v>
      </c>
      <c r="AM22" s="118">
        <f t="shared" si="51"/>
        <v>-5563.9629999999997</v>
      </c>
      <c r="AN22" s="118">
        <f t="shared" si="52"/>
        <v>-12448.41</v>
      </c>
      <c r="AO22" s="118">
        <f t="shared" si="53"/>
        <v>-24448.41</v>
      </c>
      <c r="AP22" s="118">
        <f t="shared" si="54"/>
        <v>-285.25300000000061</v>
      </c>
      <c r="AQ22" s="118">
        <f t="shared" si="55"/>
        <v>-7169.7000000000007</v>
      </c>
      <c r="AR22" s="118">
        <f t="shared" si="56"/>
        <v>-19169.7</v>
      </c>
    </row>
    <row r="23" spans="1:44" ht="11.25" customHeight="1">
      <c r="A23" s="149" t="s">
        <v>105</v>
      </c>
      <c r="B23" s="189">
        <v>3281</v>
      </c>
      <c r="C23" s="189">
        <v>2800</v>
      </c>
      <c r="D23" s="149" t="s">
        <v>45</v>
      </c>
      <c r="E23" s="149" t="s">
        <v>106</v>
      </c>
      <c r="F23" s="149" t="s">
        <v>59</v>
      </c>
      <c r="G23" s="191" t="s">
        <v>90</v>
      </c>
      <c r="H23" s="130" t="s">
        <v>49</v>
      </c>
      <c r="I23" s="199" t="s">
        <v>113</v>
      </c>
      <c r="J23" s="118">
        <f t="shared" si="43"/>
        <v>5515.71</v>
      </c>
      <c r="K23" s="118">
        <f t="shared" si="44"/>
        <v>1076.7000000000003</v>
      </c>
      <c r="L23" s="119">
        <f t="shared" si="45"/>
        <v>6592.41</v>
      </c>
      <c r="M23" s="118">
        <f t="shared" si="46"/>
        <v>9690.18</v>
      </c>
      <c r="N23" s="118">
        <f t="shared" si="47"/>
        <v>1313.7000000000005</v>
      </c>
      <c r="O23" s="119">
        <f t="shared" si="48"/>
        <v>11003.880000000001</v>
      </c>
      <c r="P23" s="132">
        <v>3200</v>
      </c>
      <c r="Q23" s="132" t="s">
        <v>51</v>
      </c>
      <c r="R23" s="18">
        <v>2</v>
      </c>
      <c r="S23" s="29">
        <v>28278</v>
      </c>
      <c r="T23" s="19">
        <f t="shared" si="49"/>
        <v>21685.59</v>
      </c>
      <c r="U23" s="18">
        <v>28278</v>
      </c>
      <c r="V23" s="19">
        <f t="shared" ref="V23:V24" si="59">U23+P23-O23</f>
        <v>20474.12</v>
      </c>
      <c r="W23" s="132">
        <f t="shared" ref="W23:W24" si="60">72*4</f>
        <v>288</v>
      </c>
      <c r="X23" s="132"/>
      <c r="Y23" s="10">
        <v>45379</v>
      </c>
      <c r="Z23" s="134" t="s">
        <v>110</v>
      </c>
      <c r="AA23" s="132">
        <v>2</v>
      </c>
      <c r="AB23" s="132">
        <v>2</v>
      </c>
      <c r="AC23" s="132">
        <v>3</v>
      </c>
      <c r="AD23" s="132">
        <v>3</v>
      </c>
      <c r="AF23" s="12" t="s">
        <v>114</v>
      </c>
      <c r="AG23" s="12" t="s">
        <v>114</v>
      </c>
      <c r="AH23" s="195">
        <v>25285</v>
      </c>
      <c r="AI23" s="196" t="s">
        <v>106</v>
      </c>
      <c r="AJ23" s="197">
        <f t="shared" si="57"/>
        <v>28971.553</v>
      </c>
      <c r="AK23" s="198">
        <v>2988</v>
      </c>
      <c r="AL23" s="198">
        <f t="shared" si="58"/>
        <v>35856</v>
      </c>
      <c r="AM23" s="118">
        <f t="shared" si="51"/>
        <v>-7285.9629999999997</v>
      </c>
      <c r="AN23" s="118">
        <f t="shared" si="52"/>
        <v>-14170.41</v>
      </c>
      <c r="AO23" s="118">
        <f t="shared" si="53"/>
        <v>-26170.41</v>
      </c>
      <c r="AP23" s="118">
        <f t="shared" si="54"/>
        <v>-8497.4330000000009</v>
      </c>
      <c r="AQ23" s="118">
        <f t="shared" si="55"/>
        <v>-15381.880000000001</v>
      </c>
      <c r="AR23" s="118">
        <f t="shared" si="56"/>
        <v>-27381.88</v>
      </c>
    </row>
    <row r="24" spans="1:44" ht="11.25" customHeight="1">
      <c r="A24" s="149" t="s">
        <v>105</v>
      </c>
      <c r="B24" s="189">
        <v>3281</v>
      </c>
      <c r="C24" s="189">
        <v>2800</v>
      </c>
      <c r="D24" s="149" t="s">
        <v>45</v>
      </c>
      <c r="E24" s="149" t="s">
        <v>106</v>
      </c>
      <c r="F24" s="149" t="s">
        <v>59</v>
      </c>
      <c r="G24" s="191" t="s">
        <v>90</v>
      </c>
      <c r="H24" s="130" t="s">
        <v>58</v>
      </c>
      <c r="J24" s="118">
        <f t="shared" si="43"/>
        <v>5515.71</v>
      </c>
      <c r="K24" s="118">
        <f t="shared" si="44"/>
        <v>1076.7000000000003</v>
      </c>
      <c r="L24" s="119">
        <f t="shared" si="45"/>
        <v>6592.41</v>
      </c>
      <c r="M24" s="118">
        <f t="shared" si="46"/>
        <v>9690.18</v>
      </c>
      <c r="N24" s="118">
        <f t="shared" si="47"/>
        <v>1313.7000000000005</v>
      </c>
      <c r="O24" s="119">
        <f t="shared" si="48"/>
        <v>11003.880000000001</v>
      </c>
      <c r="P24" s="132">
        <v>3200</v>
      </c>
      <c r="Q24" s="132" t="s">
        <v>51</v>
      </c>
      <c r="R24" s="18">
        <v>4</v>
      </c>
      <c r="S24" s="29">
        <v>33878</v>
      </c>
      <c r="T24" s="19">
        <f t="shared" si="49"/>
        <v>27285.59</v>
      </c>
      <c r="U24" s="18">
        <v>33878</v>
      </c>
      <c r="V24" s="19">
        <f t="shared" si="59"/>
        <v>26074.12</v>
      </c>
      <c r="W24" s="132">
        <f t="shared" si="60"/>
        <v>288</v>
      </c>
      <c r="X24" s="132"/>
      <c r="Y24" s="10">
        <v>45379</v>
      </c>
      <c r="Z24" s="134" t="s">
        <v>110</v>
      </c>
      <c r="AA24" s="132">
        <v>2</v>
      </c>
      <c r="AB24" s="132">
        <v>2</v>
      </c>
      <c r="AC24" s="132">
        <v>3</v>
      </c>
      <c r="AD24" s="132">
        <v>3</v>
      </c>
      <c r="AF24" s="12"/>
      <c r="AG24" s="12"/>
      <c r="AH24" s="195">
        <v>25285</v>
      </c>
      <c r="AI24" s="196" t="s">
        <v>106</v>
      </c>
      <c r="AJ24" s="197">
        <f t="shared" si="57"/>
        <v>28971.553</v>
      </c>
      <c r="AK24" s="198">
        <v>2988</v>
      </c>
      <c r="AL24" s="198">
        <f t="shared" si="58"/>
        <v>35856</v>
      </c>
      <c r="AM24" s="118">
        <f t="shared" si="51"/>
        <v>-1685.9629999999997</v>
      </c>
      <c r="AN24" s="118">
        <f t="shared" si="52"/>
        <v>-8570.41</v>
      </c>
      <c r="AO24" s="118">
        <f t="shared" si="53"/>
        <v>-20570.41</v>
      </c>
      <c r="AP24" s="118">
        <f t="shared" si="54"/>
        <v>-2897.4330000000009</v>
      </c>
      <c r="AQ24" s="118">
        <f t="shared" si="55"/>
        <v>-9781.880000000001</v>
      </c>
      <c r="AR24" s="118">
        <f t="shared" si="56"/>
        <v>-21781.88</v>
      </c>
    </row>
    <row r="25" spans="1:44" ht="11.25" customHeight="1">
      <c r="A25" s="149" t="s">
        <v>115</v>
      </c>
      <c r="B25" s="189">
        <v>691</v>
      </c>
      <c r="C25" s="189">
        <v>523</v>
      </c>
      <c r="D25" s="149" t="s">
        <v>45</v>
      </c>
      <c r="E25" s="149" t="s">
        <v>115</v>
      </c>
      <c r="F25" s="190" t="s">
        <v>47</v>
      </c>
      <c r="G25" s="191" t="s">
        <v>116</v>
      </c>
      <c r="H25" s="130" t="s">
        <v>49</v>
      </c>
      <c r="I25" s="203" t="s">
        <v>117</v>
      </c>
      <c r="J25" s="118">
        <f t="shared" ref="J25:J28" si="61">2134.54*3</f>
        <v>6403.62</v>
      </c>
      <c r="K25" s="118">
        <f t="shared" ref="K25:K28" si="62">96.2*3+97.91*3+409+284.55+81</f>
        <v>1356.88</v>
      </c>
      <c r="L25" s="119">
        <f t="shared" ref="L25:L28" si="63">J25+K25</f>
        <v>7760.5</v>
      </c>
      <c r="M25" s="118">
        <f t="shared" ref="M25:M28" si="64">2692.3*3</f>
        <v>8076.9000000000005</v>
      </c>
      <c r="N25" s="118">
        <f t="shared" ref="N25:N28" si="65">96.2*3+97.91*3+409+284.55+81</f>
        <v>1356.88</v>
      </c>
      <c r="O25" s="119">
        <f t="shared" ref="O25:O28" si="66">M25+N25</f>
        <v>9433.7800000000007</v>
      </c>
      <c r="P25" s="132"/>
      <c r="Q25" s="132" t="s">
        <v>51</v>
      </c>
      <c r="R25" s="132">
        <v>2</v>
      </c>
      <c r="S25" s="132">
        <v>22000</v>
      </c>
      <c r="T25" s="119">
        <f t="shared" ref="T25:T28" si="67">S25-L25</f>
        <v>14239.5</v>
      </c>
      <c r="U25" s="132">
        <v>22000</v>
      </c>
      <c r="V25" s="119">
        <f t="shared" ref="V25:V28" si="68">U25-O25</f>
        <v>12566.22</v>
      </c>
      <c r="W25" s="132"/>
      <c r="X25" s="132"/>
      <c r="Y25" s="10">
        <v>45411</v>
      </c>
      <c r="Z25" s="134" t="s">
        <v>110</v>
      </c>
      <c r="AA25" s="132">
        <v>0</v>
      </c>
      <c r="AB25" s="132">
        <v>1</v>
      </c>
      <c r="AC25" s="132">
        <v>3</v>
      </c>
      <c r="AD25" s="132">
        <v>2</v>
      </c>
      <c r="AE25" s="56"/>
      <c r="AF25" s="12"/>
      <c r="AG25" s="189" t="s">
        <v>118</v>
      </c>
      <c r="AH25" s="195">
        <v>22255</v>
      </c>
      <c r="AI25" s="196" t="s">
        <v>119</v>
      </c>
      <c r="AJ25" s="197">
        <f>1.1458*AH25</f>
        <v>25499.778999999999</v>
      </c>
      <c r="AK25" s="198">
        <v>2080</v>
      </c>
      <c r="AL25" s="198">
        <f>AK25*12</f>
        <v>24960</v>
      </c>
      <c r="AM25" s="118">
        <f t="shared" ref="AM25:AM28" si="69">T25-26338.64</f>
        <v>-12099.14</v>
      </c>
      <c r="AN25" s="118">
        <f t="shared" ref="AN25:AN28" si="70">T25-$AL$25</f>
        <v>-10720.5</v>
      </c>
      <c r="AO25" s="118">
        <f t="shared" ref="AO25:AO28" si="71">AN25-12000</f>
        <v>-22720.5</v>
      </c>
      <c r="AP25" s="118">
        <f t="shared" ref="AP25:AP28" si="72">V25-26338.64</f>
        <v>-13772.42</v>
      </c>
      <c r="AQ25" s="118">
        <f t="shared" ref="AQ25:AQ28" si="73">V25-$AL$25</f>
        <v>-12393.78</v>
      </c>
      <c r="AR25" s="118">
        <f t="shared" ref="AR25:AR28" si="74">AQ25-12000</f>
        <v>-24393.78</v>
      </c>
    </row>
    <row r="26" spans="1:44" ht="11.25" customHeight="1">
      <c r="A26" s="149" t="s">
        <v>115</v>
      </c>
      <c r="B26" s="189">
        <v>691</v>
      </c>
      <c r="C26" s="189">
        <v>523</v>
      </c>
      <c r="D26" s="149" t="s">
        <v>45</v>
      </c>
      <c r="E26" s="149" t="s">
        <v>115</v>
      </c>
      <c r="F26" s="190" t="s">
        <v>47</v>
      </c>
      <c r="G26" s="191" t="s">
        <v>116</v>
      </c>
      <c r="H26" s="130" t="s">
        <v>58</v>
      </c>
      <c r="J26" s="118">
        <f t="shared" si="61"/>
        <v>6403.62</v>
      </c>
      <c r="K26" s="118">
        <f t="shared" si="62"/>
        <v>1356.88</v>
      </c>
      <c r="L26" s="119">
        <f t="shared" si="63"/>
        <v>7760.5</v>
      </c>
      <c r="M26" s="118">
        <f t="shared" si="64"/>
        <v>8076.9000000000005</v>
      </c>
      <c r="N26" s="118">
        <f t="shared" si="65"/>
        <v>1356.88</v>
      </c>
      <c r="O26" s="119">
        <f t="shared" si="66"/>
        <v>9433.7800000000007</v>
      </c>
      <c r="P26" s="132"/>
      <c r="Q26" s="132" t="s">
        <v>51</v>
      </c>
      <c r="R26" s="132">
        <v>4</v>
      </c>
      <c r="S26" s="132">
        <v>22000</v>
      </c>
      <c r="T26" s="119">
        <f t="shared" si="67"/>
        <v>14239.5</v>
      </c>
      <c r="U26" s="132">
        <v>22000</v>
      </c>
      <c r="V26" s="119">
        <f t="shared" si="68"/>
        <v>12566.22</v>
      </c>
      <c r="W26" s="132"/>
      <c r="X26" s="132"/>
      <c r="Y26" s="10">
        <v>45411</v>
      </c>
      <c r="Z26" s="134" t="s">
        <v>110</v>
      </c>
      <c r="AA26" s="132">
        <v>0</v>
      </c>
      <c r="AB26" s="132">
        <v>1</v>
      </c>
      <c r="AC26" s="132">
        <v>3</v>
      </c>
      <c r="AD26" s="132">
        <v>2</v>
      </c>
      <c r="AE26" s="56"/>
      <c r="AF26" s="12"/>
      <c r="AH26" s="195">
        <v>22255</v>
      </c>
      <c r="AI26" s="196" t="s">
        <v>119</v>
      </c>
      <c r="AJ26" s="197">
        <f t="shared" ref="AJ26:AJ28" si="75">1.1458*AH26</f>
        <v>25499.778999999999</v>
      </c>
      <c r="AK26" s="198">
        <v>2080</v>
      </c>
      <c r="AL26" s="198">
        <f t="shared" ref="AL26:AL28" si="76">AK26*12</f>
        <v>24960</v>
      </c>
      <c r="AM26" s="118">
        <f t="shared" si="69"/>
        <v>-12099.14</v>
      </c>
      <c r="AN26" s="118">
        <f t="shared" si="70"/>
        <v>-10720.5</v>
      </c>
      <c r="AO26" s="118">
        <f t="shared" si="71"/>
        <v>-22720.5</v>
      </c>
      <c r="AP26" s="118">
        <f t="shared" si="72"/>
        <v>-13772.42</v>
      </c>
      <c r="AQ26" s="118">
        <f t="shared" si="73"/>
        <v>-12393.78</v>
      </c>
      <c r="AR26" s="118">
        <f t="shared" si="74"/>
        <v>-24393.78</v>
      </c>
    </row>
    <row r="27" spans="1:44" ht="11.25" customHeight="1">
      <c r="A27" s="149" t="s">
        <v>115</v>
      </c>
      <c r="B27" s="189">
        <v>691</v>
      </c>
      <c r="C27" s="189">
        <v>523</v>
      </c>
      <c r="D27" s="149" t="s">
        <v>45</v>
      </c>
      <c r="E27" s="149" t="s">
        <v>115</v>
      </c>
      <c r="F27" s="149" t="s">
        <v>59</v>
      </c>
      <c r="G27" s="191" t="s">
        <v>90</v>
      </c>
      <c r="H27" s="130" t="s">
        <v>49</v>
      </c>
      <c r="I27" s="199" t="s">
        <v>120</v>
      </c>
      <c r="J27" s="118">
        <f t="shared" si="61"/>
        <v>6403.62</v>
      </c>
      <c r="K27" s="118">
        <f t="shared" si="62"/>
        <v>1356.88</v>
      </c>
      <c r="L27" s="119">
        <f t="shared" si="63"/>
        <v>7760.5</v>
      </c>
      <c r="M27" s="118">
        <f t="shared" si="64"/>
        <v>8076.9000000000005</v>
      </c>
      <c r="N27" s="118">
        <f t="shared" si="65"/>
        <v>1356.88</v>
      </c>
      <c r="O27" s="119">
        <f t="shared" si="66"/>
        <v>9433.7800000000007</v>
      </c>
      <c r="P27" s="132"/>
      <c r="Q27" s="132" t="s">
        <v>51</v>
      </c>
      <c r="R27" s="18" t="s">
        <v>121</v>
      </c>
      <c r="S27" s="18">
        <v>24967</v>
      </c>
      <c r="T27" s="19">
        <f t="shared" si="67"/>
        <v>17206.5</v>
      </c>
      <c r="U27" s="18">
        <f>1500+24967</f>
        <v>26467</v>
      </c>
      <c r="V27" s="19">
        <f t="shared" si="68"/>
        <v>17033.22</v>
      </c>
      <c r="W27" s="132">
        <v>100</v>
      </c>
      <c r="X27" s="132"/>
      <c r="Y27" s="134" t="s">
        <v>122</v>
      </c>
      <c r="Z27" s="134" t="s">
        <v>110</v>
      </c>
      <c r="AA27" s="132">
        <v>0</v>
      </c>
      <c r="AB27" s="132">
        <v>0.5</v>
      </c>
      <c r="AC27" s="132">
        <v>1</v>
      </c>
      <c r="AD27" s="132">
        <v>2</v>
      </c>
      <c r="AE27" s="30" t="s">
        <v>123</v>
      </c>
      <c r="AF27" s="12"/>
      <c r="AG27" s="12" t="s">
        <v>124</v>
      </c>
      <c r="AH27" s="195">
        <v>22255</v>
      </c>
      <c r="AI27" s="196" t="s">
        <v>119</v>
      </c>
      <c r="AJ27" s="197">
        <f t="shared" si="75"/>
        <v>25499.778999999999</v>
      </c>
      <c r="AK27" s="198">
        <v>2080</v>
      </c>
      <c r="AL27" s="198">
        <f t="shared" si="76"/>
        <v>24960</v>
      </c>
      <c r="AM27" s="118">
        <f t="shared" si="69"/>
        <v>-9132.14</v>
      </c>
      <c r="AN27" s="118">
        <f t="shared" si="70"/>
        <v>-7753.5</v>
      </c>
      <c r="AO27" s="118">
        <f t="shared" si="71"/>
        <v>-19753.5</v>
      </c>
      <c r="AP27" s="118">
        <f t="shared" si="72"/>
        <v>-9305.4199999999983</v>
      </c>
      <c r="AQ27" s="118">
        <f t="shared" si="73"/>
        <v>-7926.7799999999988</v>
      </c>
      <c r="AR27" s="118">
        <f t="shared" si="74"/>
        <v>-19926.78</v>
      </c>
    </row>
    <row r="28" spans="1:44" ht="11.25" customHeight="1">
      <c r="A28" s="149" t="s">
        <v>115</v>
      </c>
      <c r="B28" s="189">
        <v>691</v>
      </c>
      <c r="C28" s="189">
        <v>523</v>
      </c>
      <c r="D28" s="149" t="s">
        <v>45</v>
      </c>
      <c r="E28" s="149" t="s">
        <v>115</v>
      </c>
      <c r="F28" s="149" t="s">
        <v>59</v>
      </c>
      <c r="G28" s="191" t="s">
        <v>90</v>
      </c>
      <c r="H28" s="130" t="s">
        <v>58</v>
      </c>
      <c r="J28" s="118">
        <f t="shared" si="61"/>
        <v>6403.62</v>
      </c>
      <c r="K28" s="118">
        <f t="shared" si="62"/>
        <v>1356.88</v>
      </c>
      <c r="L28" s="119">
        <f t="shared" si="63"/>
        <v>7760.5</v>
      </c>
      <c r="M28" s="118">
        <f t="shared" si="64"/>
        <v>8076.9000000000005</v>
      </c>
      <c r="N28" s="118">
        <f t="shared" si="65"/>
        <v>1356.88</v>
      </c>
      <c r="O28" s="119">
        <f t="shared" si="66"/>
        <v>9433.7800000000007</v>
      </c>
      <c r="P28" s="132"/>
      <c r="Q28" s="132" t="s">
        <v>51</v>
      </c>
      <c r="R28" s="18" t="s">
        <v>125</v>
      </c>
      <c r="S28" s="18">
        <v>26867</v>
      </c>
      <c r="T28" s="19">
        <f t="shared" si="67"/>
        <v>19106.5</v>
      </c>
      <c r="U28" s="18">
        <f>1500+26867</f>
        <v>28367</v>
      </c>
      <c r="V28" s="19">
        <f t="shared" si="68"/>
        <v>18933.22</v>
      </c>
      <c r="W28" s="132">
        <v>100</v>
      </c>
      <c r="X28" s="132"/>
      <c r="Y28" s="134" t="s">
        <v>122</v>
      </c>
      <c r="Z28" s="134" t="s">
        <v>110</v>
      </c>
      <c r="AA28" s="132">
        <v>0</v>
      </c>
      <c r="AB28" s="132">
        <v>0.5</v>
      </c>
      <c r="AC28" s="132">
        <v>1</v>
      </c>
      <c r="AD28" s="132">
        <v>2</v>
      </c>
      <c r="AF28" s="12"/>
      <c r="AG28" s="12" t="s">
        <v>126</v>
      </c>
      <c r="AH28" s="195">
        <v>22255</v>
      </c>
      <c r="AI28" s="196" t="s">
        <v>119</v>
      </c>
      <c r="AJ28" s="197">
        <f t="shared" si="75"/>
        <v>25499.778999999999</v>
      </c>
      <c r="AK28" s="198">
        <v>2080</v>
      </c>
      <c r="AL28" s="198">
        <f t="shared" si="76"/>
        <v>24960</v>
      </c>
      <c r="AM28" s="118">
        <f t="shared" si="69"/>
        <v>-7232.1399999999994</v>
      </c>
      <c r="AN28" s="118">
        <f t="shared" si="70"/>
        <v>-5853.5</v>
      </c>
      <c r="AO28" s="118">
        <f t="shared" si="71"/>
        <v>-17853.5</v>
      </c>
      <c r="AP28" s="118">
        <f t="shared" si="72"/>
        <v>-7405.4199999999983</v>
      </c>
      <c r="AQ28" s="118">
        <f t="shared" si="73"/>
        <v>-6026.7799999999988</v>
      </c>
      <c r="AR28" s="118">
        <f t="shared" si="74"/>
        <v>-18026.78</v>
      </c>
    </row>
    <row r="29" spans="1:44" ht="11.25" customHeight="1">
      <c r="A29" s="149" t="s">
        <v>127</v>
      </c>
      <c r="B29" s="189">
        <v>959</v>
      </c>
      <c r="C29" s="189">
        <v>936</v>
      </c>
      <c r="D29" s="149" t="s">
        <v>128</v>
      </c>
      <c r="E29" s="149" t="s">
        <v>129</v>
      </c>
      <c r="F29" s="190" t="s">
        <v>47</v>
      </c>
      <c r="G29" s="191" t="s">
        <v>87</v>
      </c>
      <c r="H29" s="130" t="s">
        <v>49</v>
      </c>
      <c r="I29" s="21" t="s">
        <v>130</v>
      </c>
      <c r="J29" s="118">
        <f t="shared" ref="J29:J32" si="77">2953.44*2+553</f>
        <v>6459.88</v>
      </c>
      <c r="K29" s="118">
        <f t="shared" ref="K29:K32" si="78">99.16*2+5.85+111.6*2+26.19*2+13.09+26.19*2+13.09+99.42*2+74.55+26.19*2+13.09+ 345+ 215.6*2</f>
        <v>1673.3700000000001</v>
      </c>
      <c r="L29" s="119">
        <f t="shared" ref="L29:L32" si="79">J29+K29</f>
        <v>8133.25</v>
      </c>
      <c r="M29" s="118">
        <f>6497.62*2+553</f>
        <v>13548.24</v>
      </c>
      <c r="N29" s="118">
        <f t="shared" ref="N29:N32" si="80">99.16*2+5.85+111.6*2+26.19*2+13.09+26.19*2+13.09+99.42*2+74.55+26.19*2+13.09+ 345+ 215.6*2+344+688+344</f>
        <v>3049.37</v>
      </c>
      <c r="O29" s="119">
        <f t="shared" ref="O29:O32" si="81">M29+N29</f>
        <v>16597.61</v>
      </c>
      <c r="P29" s="132"/>
      <c r="Q29" s="132" t="s">
        <v>51</v>
      </c>
      <c r="R29" s="132">
        <v>2</v>
      </c>
      <c r="S29" s="132">
        <v>17000</v>
      </c>
      <c r="T29" s="19">
        <f t="shared" ref="T29:T32" si="82">S29-L29</f>
        <v>8866.75</v>
      </c>
      <c r="U29" s="132">
        <v>17000</v>
      </c>
      <c r="V29" s="19">
        <f t="shared" ref="V29:V32" si="83">U29-O29</f>
        <v>402.38999999999942</v>
      </c>
      <c r="W29" s="132">
        <v>0</v>
      </c>
      <c r="X29" s="132"/>
      <c r="Y29" s="10">
        <v>45489</v>
      </c>
      <c r="Z29" s="134"/>
      <c r="AA29" s="209" t="s">
        <v>131</v>
      </c>
      <c r="AE29" s="56"/>
      <c r="AF29" s="12"/>
      <c r="AG29" s="12"/>
      <c r="AH29" s="195">
        <v>22714</v>
      </c>
      <c r="AI29" s="196" t="s">
        <v>129</v>
      </c>
      <c r="AJ29" s="197">
        <f>1.1458*AH29</f>
        <v>26025.7012</v>
      </c>
      <c r="AK29" s="198">
        <v>1232</v>
      </c>
      <c r="AL29" s="198">
        <f>AK29*12</f>
        <v>14784</v>
      </c>
      <c r="AM29" s="118">
        <f t="shared" ref="AM29:AM32" si="84">T29-$AJ$29</f>
        <v>-17158.9512</v>
      </c>
      <c r="AN29" s="118">
        <f t="shared" ref="AN29:AN32" si="85">T29-$AL$29</f>
        <v>-5917.25</v>
      </c>
      <c r="AO29" s="118">
        <f t="shared" ref="AO29:AO32" si="86">AN29-12000</f>
        <v>-17917.25</v>
      </c>
      <c r="AP29" s="118">
        <f t="shared" ref="AP29:AP32" si="87">V29-$AJ$29</f>
        <v>-25623.3112</v>
      </c>
      <c r="AQ29" s="118">
        <f t="shared" ref="AQ29:AQ32" si="88">V29-$AL$29</f>
        <v>-14381.61</v>
      </c>
      <c r="AR29" s="118">
        <f t="shared" ref="AR29:AR32" si="89">AQ29-12000</f>
        <v>-26381.61</v>
      </c>
    </row>
    <row r="30" spans="1:44" ht="11.25" customHeight="1">
      <c r="A30" s="149" t="s">
        <v>127</v>
      </c>
      <c r="B30" s="189">
        <v>959</v>
      </c>
      <c r="C30" s="189">
        <v>936</v>
      </c>
      <c r="D30" s="149" t="s">
        <v>128</v>
      </c>
      <c r="E30" s="149" t="s">
        <v>129</v>
      </c>
      <c r="F30" s="190" t="s">
        <v>47</v>
      </c>
      <c r="G30" s="191" t="s">
        <v>87</v>
      </c>
      <c r="H30" s="130" t="s">
        <v>58</v>
      </c>
      <c r="I30" s="21" t="s">
        <v>132</v>
      </c>
      <c r="J30" s="118">
        <f t="shared" si="77"/>
        <v>6459.88</v>
      </c>
      <c r="K30" s="118">
        <f t="shared" si="78"/>
        <v>1673.3700000000001</v>
      </c>
      <c r="L30" s="119">
        <f t="shared" si="79"/>
        <v>8133.25</v>
      </c>
      <c r="M30" s="118">
        <f>2953.44*2+553</f>
        <v>6459.88</v>
      </c>
      <c r="N30" s="118">
        <f t="shared" si="80"/>
        <v>3049.37</v>
      </c>
      <c r="O30" s="119">
        <f t="shared" si="81"/>
        <v>9509.25</v>
      </c>
      <c r="P30" s="132"/>
      <c r="Q30" s="132" t="s">
        <v>51</v>
      </c>
      <c r="R30" s="132">
        <v>4</v>
      </c>
      <c r="S30" s="132">
        <v>21000</v>
      </c>
      <c r="T30" s="19">
        <f t="shared" si="82"/>
        <v>12866.75</v>
      </c>
      <c r="U30" s="132">
        <v>21000</v>
      </c>
      <c r="V30" s="19">
        <f t="shared" si="83"/>
        <v>11490.75</v>
      </c>
      <c r="W30" s="132">
        <v>0</v>
      </c>
      <c r="X30" s="132"/>
      <c r="Y30" s="10">
        <v>45489</v>
      </c>
      <c r="Z30" s="134"/>
      <c r="AE30" s="56"/>
      <c r="AF30" s="12"/>
      <c r="AG30" s="12"/>
      <c r="AH30" s="195">
        <v>22714</v>
      </c>
      <c r="AI30" s="196" t="s">
        <v>129</v>
      </c>
      <c r="AJ30" s="197">
        <f t="shared" ref="AJ30:AJ32" si="90">1.1458*AH30</f>
        <v>26025.7012</v>
      </c>
      <c r="AK30" s="198">
        <v>1232</v>
      </c>
      <c r="AL30" s="198">
        <f t="shared" ref="AL30:AL32" si="91">AK30*12</f>
        <v>14784</v>
      </c>
      <c r="AM30" s="118">
        <f t="shared" si="84"/>
        <v>-13158.9512</v>
      </c>
      <c r="AN30" s="118">
        <f t="shared" si="85"/>
        <v>-1917.25</v>
      </c>
      <c r="AO30" s="118">
        <f t="shared" si="86"/>
        <v>-13917.25</v>
      </c>
      <c r="AP30" s="118">
        <f t="shared" si="87"/>
        <v>-14534.9512</v>
      </c>
      <c r="AQ30" s="118">
        <f t="shared" si="88"/>
        <v>-3293.25</v>
      </c>
      <c r="AR30" s="118">
        <f t="shared" si="89"/>
        <v>-15293.25</v>
      </c>
    </row>
    <row r="31" spans="1:44" ht="11.25" customHeight="1">
      <c r="A31" s="149" t="s">
        <v>127</v>
      </c>
      <c r="B31" s="189">
        <v>959</v>
      </c>
      <c r="C31" s="189">
        <v>936</v>
      </c>
      <c r="D31" s="149" t="s">
        <v>128</v>
      </c>
      <c r="E31" s="149" t="s">
        <v>129</v>
      </c>
      <c r="F31" s="149" t="s">
        <v>59</v>
      </c>
      <c r="G31" s="191" t="s">
        <v>133</v>
      </c>
      <c r="H31" s="130" t="s">
        <v>49</v>
      </c>
      <c r="I31" s="17" t="s">
        <v>134</v>
      </c>
      <c r="J31" s="118">
        <f t="shared" si="77"/>
        <v>6459.88</v>
      </c>
      <c r="K31" s="118">
        <f t="shared" si="78"/>
        <v>1673.3700000000001</v>
      </c>
      <c r="L31" s="119">
        <f t="shared" si="79"/>
        <v>8133.25</v>
      </c>
      <c r="M31" s="118">
        <f>6497.62*2+553</f>
        <v>13548.24</v>
      </c>
      <c r="N31" s="118">
        <f t="shared" si="80"/>
        <v>3049.37</v>
      </c>
      <c r="O31" s="119">
        <f t="shared" si="81"/>
        <v>16597.61</v>
      </c>
      <c r="P31" s="132"/>
      <c r="Q31" s="132" t="s">
        <v>51</v>
      </c>
      <c r="R31" s="18"/>
      <c r="S31" s="18">
        <v>22650</v>
      </c>
      <c r="T31" s="19">
        <f t="shared" si="82"/>
        <v>14516.75</v>
      </c>
      <c r="U31" s="18">
        <v>22650</v>
      </c>
      <c r="V31" s="19">
        <f t="shared" si="83"/>
        <v>6052.3899999999994</v>
      </c>
      <c r="W31" s="132">
        <v>0</v>
      </c>
      <c r="X31" s="132"/>
      <c r="Y31" s="10">
        <v>45379</v>
      </c>
      <c r="Z31" s="134" t="s">
        <v>110</v>
      </c>
      <c r="AA31" s="132">
        <v>0</v>
      </c>
      <c r="AB31" s="132">
        <v>0.5</v>
      </c>
      <c r="AC31" s="132">
        <v>1</v>
      </c>
      <c r="AD31" s="132">
        <v>1</v>
      </c>
      <c r="AE31" s="20"/>
      <c r="AF31" s="12" t="s">
        <v>135</v>
      </c>
      <c r="AG31" s="12" t="s">
        <v>136</v>
      </c>
      <c r="AH31" s="195">
        <v>22714</v>
      </c>
      <c r="AI31" s="196" t="s">
        <v>129</v>
      </c>
      <c r="AJ31" s="197">
        <f t="shared" si="90"/>
        <v>26025.7012</v>
      </c>
      <c r="AK31" s="198">
        <v>1232</v>
      </c>
      <c r="AL31" s="198">
        <f t="shared" si="91"/>
        <v>14784</v>
      </c>
      <c r="AM31" s="118">
        <f t="shared" si="84"/>
        <v>-11508.9512</v>
      </c>
      <c r="AN31" s="118">
        <f t="shared" si="85"/>
        <v>-267.25</v>
      </c>
      <c r="AO31" s="118">
        <f t="shared" si="86"/>
        <v>-12267.25</v>
      </c>
      <c r="AP31" s="118">
        <f t="shared" si="87"/>
        <v>-19973.3112</v>
      </c>
      <c r="AQ31" s="118">
        <f t="shared" si="88"/>
        <v>-8731.61</v>
      </c>
      <c r="AR31" s="118">
        <f t="shared" si="89"/>
        <v>-20731.61</v>
      </c>
    </row>
    <row r="32" spans="1:44" ht="11.25" customHeight="1">
      <c r="A32" s="149" t="s">
        <v>127</v>
      </c>
      <c r="B32" s="189">
        <v>959</v>
      </c>
      <c r="C32" s="189">
        <v>936</v>
      </c>
      <c r="D32" s="149" t="s">
        <v>128</v>
      </c>
      <c r="E32" s="149" t="s">
        <v>129</v>
      </c>
      <c r="F32" s="149" t="s">
        <v>59</v>
      </c>
      <c r="G32" s="191" t="s">
        <v>133</v>
      </c>
      <c r="H32" s="130" t="s">
        <v>58</v>
      </c>
      <c r="I32" s="21" t="s">
        <v>137</v>
      </c>
      <c r="J32" s="118">
        <f t="shared" si="77"/>
        <v>6459.88</v>
      </c>
      <c r="K32" s="118">
        <f t="shared" si="78"/>
        <v>1673.3700000000001</v>
      </c>
      <c r="L32" s="119">
        <f t="shared" si="79"/>
        <v>8133.25</v>
      </c>
      <c r="M32" s="118">
        <f>2953.44*2+553</f>
        <v>6459.88</v>
      </c>
      <c r="N32" s="118">
        <f t="shared" si="80"/>
        <v>3049.37</v>
      </c>
      <c r="O32" s="119">
        <f t="shared" si="81"/>
        <v>9509.25</v>
      </c>
      <c r="P32" s="132"/>
      <c r="Q32" s="132" t="s">
        <v>51</v>
      </c>
      <c r="R32" s="18"/>
      <c r="S32" s="18">
        <v>24000</v>
      </c>
      <c r="T32" s="19">
        <f t="shared" si="82"/>
        <v>15866.75</v>
      </c>
      <c r="U32" s="18">
        <v>24000</v>
      </c>
      <c r="V32" s="19">
        <f t="shared" si="83"/>
        <v>14490.75</v>
      </c>
      <c r="W32" s="132">
        <v>0</v>
      </c>
      <c r="X32" s="132"/>
      <c r="Y32" s="10">
        <v>45379</v>
      </c>
      <c r="Z32" s="134" t="s">
        <v>110</v>
      </c>
      <c r="AA32" s="132">
        <v>0</v>
      </c>
      <c r="AB32" s="132">
        <v>0.5</v>
      </c>
      <c r="AC32" s="132">
        <v>1</v>
      </c>
      <c r="AD32" s="132">
        <v>1</v>
      </c>
      <c r="AE32" s="56"/>
      <c r="AF32" s="12" t="s">
        <v>135</v>
      </c>
      <c r="AG32" s="12" t="s">
        <v>136</v>
      </c>
      <c r="AH32" s="195">
        <v>22714</v>
      </c>
      <c r="AI32" s="196" t="s">
        <v>129</v>
      </c>
      <c r="AJ32" s="197">
        <f t="shared" si="90"/>
        <v>26025.7012</v>
      </c>
      <c r="AK32" s="198">
        <v>1232</v>
      </c>
      <c r="AL32" s="198">
        <f t="shared" si="91"/>
        <v>14784</v>
      </c>
      <c r="AM32" s="118">
        <f t="shared" si="84"/>
        <v>-10158.9512</v>
      </c>
      <c r="AN32" s="118">
        <f t="shared" si="85"/>
        <v>1082.75</v>
      </c>
      <c r="AO32" s="118">
        <f t="shared" si="86"/>
        <v>-10917.25</v>
      </c>
      <c r="AP32" s="118">
        <f t="shared" si="87"/>
        <v>-11534.9512</v>
      </c>
      <c r="AQ32" s="118">
        <f t="shared" si="88"/>
        <v>-293.25</v>
      </c>
      <c r="AR32" s="118">
        <f t="shared" si="89"/>
        <v>-12293.25</v>
      </c>
    </row>
    <row r="33" spans="1:44" ht="11.25" customHeight="1">
      <c r="A33" s="149" t="s">
        <v>138</v>
      </c>
      <c r="B33" s="189">
        <v>354</v>
      </c>
      <c r="C33" s="189">
        <v>238</v>
      </c>
      <c r="D33" s="149" t="s">
        <v>139</v>
      </c>
      <c r="E33" s="149" t="s">
        <v>140</v>
      </c>
      <c r="F33" s="190" t="s">
        <v>47</v>
      </c>
      <c r="G33" s="191" t="s">
        <v>116</v>
      </c>
      <c r="H33" s="130" t="s">
        <v>49</v>
      </c>
      <c r="I33" s="21" t="s">
        <v>141</v>
      </c>
      <c r="J33" s="118">
        <v>8001</v>
      </c>
      <c r="K33" s="118">
        <f t="shared" ref="K33:K36" si="92">542.5+204+660+162</f>
        <v>1568.5</v>
      </c>
      <c r="L33" s="119">
        <f t="shared" ref="L33:L36" si="93">J33+K33</f>
        <v>9569.5</v>
      </c>
      <c r="M33" s="118">
        <v>14325</v>
      </c>
      <c r="N33" s="118">
        <f t="shared" ref="N33:N36" si="94">542.5+204+660+162+600+64.6</f>
        <v>2233.1</v>
      </c>
      <c r="O33" s="119">
        <f t="shared" ref="O33:O36" si="95">M33+N33</f>
        <v>16558.099999999999</v>
      </c>
      <c r="P33" s="132"/>
      <c r="Q33" s="132" t="s">
        <v>51</v>
      </c>
      <c r="R33" s="132">
        <v>2</v>
      </c>
      <c r="S33" s="31">
        <f t="shared" ref="S33:S34" si="96">13500 + L33</f>
        <v>23069.5</v>
      </c>
      <c r="T33" s="18">
        <f t="shared" ref="T33:T36" si="97">S33-L33</f>
        <v>13500</v>
      </c>
      <c r="U33" s="204"/>
      <c r="W33" s="132" t="s">
        <v>142</v>
      </c>
      <c r="X33" s="132"/>
      <c r="Y33" s="10">
        <v>45411</v>
      </c>
      <c r="Z33" s="134" t="s">
        <v>143</v>
      </c>
      <c r="AA33" s="132">
        <v>1</v>
      </c>
      <c r="AB33" s="132">
        <v>1.5</v>
      </c>
      <c r="AC33" s="132">
        <v>3</v>
      </c>
      <c r="AD33" s="132">
        <v>0</v>
      </c>
      <c r="AE33" s="193" t="s">
        <v>144</v>
      </c>
      <c r="AF33" s="12" t="s">
        <v>145</v>
      </c>
      <c r="AG33" s="12" t="s">
        <v>141</v>
      </c>
      <c r="AH33" s="195">
        <v>22606</v>
      </c>
      <c r="AI33" s="196" t="s">
        <v>146</v>
      </c>
      <c r="AJ33" s="197">
        <f>1.1458*AH33</f>
        <v>25901.9548</v>
      </c>
      <c r="AK33" s="202"/>
      <c r="AM33" s="118">
        <f t="shared" ref="AM33:AM36" si="98">T33-$AJ$33</f>
        <v>-12401.9548</v>
      </c>
      <c r="AN33" s="202"/>
      <c r="AP33" s="15">
        <f t="shared" ref="AP33:AP36" si="99">S33-O33-$AJ$33</f>
        <v>-19390.554799999998</v>
      </c>
      <c r="AQ33" s="202"/>
    </row>
    <row r="34" spans="1:44" ht="11.25" customHeight="1">
      <c r="A34" s="149" t="s">
        <v>138</v>
      </c>
      <c r="B34" s="189">
        <v>354</v>
      </c>
      <c r="C34" s="189">
        <v>238</v>
      </c>
      <c r="D34" s="149" t="s">
        <v>139</v>
      </c>
      <c r="E34" s="149" t="s">
        <v>140</v>
      </c>
      <c r="F34" s="190" t="s">
        <v>47</v>
      </c>
      <c r="G34" s="191" t="s">
        <v>116</v>
      </c>
      <c r="H34" s="130" t="s">
        <v>58</v>
      </c>
      <c r="I34" s="21" t="s">
        <v>141</v>
      </c>
      <c r="J34" s="118">
        <v>8001</v>
      </c>
      <c r="K34" s="118">
        <f t="shared" si="92"/>
        <v>1568.5</v>
      </c>
      <c r="L34" s="119">
        <f t="shared" si="93"/>
        <v>9569.5</v>
      </c>
      <c r="M34" s="118">
        <v>14325</v>
      </c>
      <c r="N34" s="118">
        <f t="shared" si="94"/>
        <v>2233.1</v>
      </c>
      <c r="O34" s="119">
        <f t="shared" si="95"/>
        <v>16558.099999999999</v>
      </c>
      <c r="P34" s="132"/>
      <c r="Q34" s="132" t="s">
        <v>51</v>
      </c>
      <c r="R34" s="132">
        <v>4</v>
      </c>
      <c r="S34" s="31">
        <f t="shared" si="96"/>
        <v>23069.5</v>
      </c>
      <c r="T34" s="18">
        <f t="shared" si="97"/>
        <v>13500</v>
      </c>
      <c r="W34" s="132" t="s">
        <v>142</v>
      </c>
      <c r="X34" s="132"/>
      <c r="Y34" s="10">
        <v>45411</v>
      </c>
      <c r="Z34" s="134" t="s">
        <v>147</v>
      </c>
      <c r="AA34" s="132">
        <v>1</v>
      </c>
      <c r="AB34" s="132">
        <v>1.5</v>
      </c>
      <c r="AC34" s="132">
        <v>3</v>
      </c>
      <c r="AD34" s="132">
        <v>0</v>
      </c>
      <c r="AF34" s="12" t="s">
        <v>145</v>
      </c>
      <c r="AG34" s="12" t="s">
        <v>141</v>
      </c>
      <c r="AH34" s="195">
        <v>22606</v>
      </c>
      <c r="AI34" s="196" t="s">
        <v>146</v>
      </c>
      <c r="AJ34" s="197">
        <f t="shared" ref="AJ34:AJ36" si="100">1.1458*AH34</f>
        <v>25901.9548</v>
      </c>
      <c r="AM34" s="118">
        <f t="shared" si="98"/>
        <v>-12401.9548</v>
      </c>
      <c r="AP34" s="15">
        <f t="shared" si="99"/>
        <v>-19390.554799999998</v>
      </c>
    </row>
    <row r="35" spans="1:44" ht="11.25" customHeight="1">
      <c r="A35" s="149" t="s">
        <v>138</v>
      </c>
      <c r="B35" s="189">
        <v>354</v>
      </c>
      <c r="C35" s="189">
        <v>238</v>
      </c>
      <c r="D35" s="149" t="s">
        <v>139</v>
      </c>
      <c r="E35" s="149" t="s">
        <v>140</v>
      </c>
      <c r="F35" s="149" t="s">
        <v>59</v>
      </c>
      <c r="G35" s="191" t="s">
        <v>101</v>
      </c>
      <c r="H35" s="130" t="s">
        <v>49</v>
      </c>
      <c r="I35" s="17"/>
      <c r="J35" s="118">
        <v>8001</v>
      </c>
      <c r="K35" s="118">
        <f t="shared" si="92"/>
        <v>1568.5</v>
      </c>
      <c r="L35" s="119">
        <f t="shared" si="93"/>
        <v>9569.5</v>
      </c>
      <c r="M35" s="118">
        <v>14325</v>
      </c>
      <c r="N35" s="118">
        <f t="shared" si="94"/>
        <v>2233.1</v>
      </c>
      <c r="O35" s="119">
        <f t="shared" si="95"/>
        <v>16558.099999999999</v>
      </c>
      <c r="P35" s="132"/>
      <c r="Q35" s="132" t="s">
        <v>51</v>
      </c>
      <c r="R35" s="18">
        <v>2</v>
      </c>
      <c r="S35" s="18">
        <v>16000</v>
      </c>
      <c r="T35" s="19">
        <f t="shared" si="97"/>
        <v>6430.5</v>
      </c>
      <c r="W35" s="132"/>
      <c r="X35" s="132"/>
      <c r="Y35" s="10">
        <v>45379</v>
      </c>
      <c r="Z35" s="134" t="s">
        <v>148</v>
      </c>
      <c r="AA35" s="132">
        <v>1</v>
      </c>
      <c r="AB35" s="132">
        <v>1.5</v>
      </c>
      <c r="AC35" s="132">
        <v>3</v>
      </c>
      <c r="AD35" s="132">
        <v>0</v>
      </c>
      <c r="AE35" s="20"/>
      <c r="AF35" s="12" t="s">
        <v>149</v>
      </c>
      <c r="AG35" s="12" t="s">
        <v>150</v>
      </c>
      <c r="AH35" s="195">
        <v>22606</v>
      </c>
      <c r="AI35" s="196" t="s">
        <v>146</v>
      </c>
      <c r="AJ35" s="197">
        <f t="shared" si="100"/>
        <v>25901.9548</v>
      </c>
      <c r="AM35" s="118">
        <f t="shared" si="98"/>
        <v>-19471.4548</v>
      </c>
      <c r="AP35" s="15">
        <f t="shared" si="99"/>
        <v>-26460.054799999998</v>
      </c>
    </row>
    <row r="36" spans="1:44" ht="11.25" customHeight="1">
      <c r="A36" s="149" t="s">
        <v>138</v>
      </c>
      <c r="B36" s="189">
        <v>354</v>
      </c>
      <c r="C36" s="189">
        <v>238</v>
      </c>
      <c r="D36" s="149" t="s">
        <v>139</v>
      </c>
      <c r="E36" s="149" t="s">
        <v>140</v>
      </c>
      <c r="F36" s="149" t="s">
        <v>59</v>
      </c>
      <c r="G36" s="191" t="s">
        <v>101</v>
      </c>
      <c r="H36" s="130" t="s">
        <v>58</v>
      </c>
      <c r="I36" s="132"/>
      <c r="J36" s="118">
        <v>8001</v>
      </c>
      <c r="K36" s="118">
        <f t="shared" si="92"/>
        <v>1568.5</v>
      </c>
      <c r="L36" s="119">
        <f t="shared" si="93"/>
        <v>9569.5</v>
      </c>
      <c r="M36" s="118">
        <v>14325</v>
      </c>
      <c r="N36" s="118">
        <f t="shared" si="94"/>
        <v>2233.1</v>
      </c>
      <c r="O36" s="119">
        <f t="shared" si="95"/>
        <v>16558.099999999999</v>
      </c>
      <c r="P36" s="132"/>
      <c r="Q36" s="132" t="s">
        <v>51</v>
      </c>
      <c r="R36" s="18">
        <v>4</v>
      </c>
      <c r="S36" s="18">
        <v>17000</v>
      </c>
      <c r="T36" s="19">
        <f t="shared" si="97"/>
        <v>7430.5</v>
      </c>
      <c r="W36" s="132"/>
      <c r="X36" s="132"/>
      <c r="Y36" s="10">
        <v>45379</v>
      </c>
      <c r="Z36" s="134" t="s">
        <v>148</v>
      </c>
      <c r="AA36" s="132">
        <v>1</v>
      </c>
      <c r="AB36" s="132">
        <v>1.5</v>
      </c>
      <c r="AC36" s="132">
        <v>3</v>
      </c>
      <c r="AD36" s="132">
        <v>0</v>
      </c>
      <c r="AE36" s="56"/>
      <c r="AF36" s="12" t="s">
        <v>149</v>
      </c>
      <c r="AG36" s="12" t="s">
        <v>150</v>
      </c>
      <c r="AH36" s="195">
        <v>22606</v>
      </c>
      <c r="AI36" s="196" t="s">
        <v>146</v>
      </c>
      <c r="AJ36" s="197">
        <f t="shared" si="100"/>
        <v>25901.9548</v>
      </c>
      <c r="AM36" s="118">
        <f t="shared" si="98"/>
        <v>-18471.4548</v>
      </c>
      <c r="AP36" s="15">
        <f t="shared" si="99"/>
        <v>-25460.054799999998</v>
      </c>
    </row>
    <row r="37" spans="1:44" ht="11.25" customHeight="1">
      <c r="A37" s="149" t="s">
        <v>151</v>
      </c>
      <c r="B37" s="189">
        <v>661</v>
      </c>
      <c r="C37" s="189">
        <v>159</v>
      </c>
      <c r="D37" s="149" t="s">
        <v>152</v>
      </c>
      <c r="E37" s="149" t="s">
        <v>153</v>
      </c>
      <c r="F37" s="190" t="s">
        <v>47</v>
      </c>
      <c r="G37" s="191" t="s">
        <v>116</v>
      </c>
      <c r="H37" s="130" t="s">
        <v>49</v>
      </c>
      <c r="I37" s="25" t="s">
        <v>154</v>
      </c>
      <c r="J37" s="118">
        <f>953*3</f>
        <v>2859</v>
      </c>
      <c r="K37" s="118">
        <f t="shared" ref="K37:K40" si="101">92.55+22+214.32+150+500+368.88+559.56</f>
        <v>1907.31</v>
      </c>
      <c r="L37" s="119">
        <f t="shared" ref="L37:L40" si="102">J37+K37</f>
        <v>4766.3099999999995</v>
      </c>
      <c r="M37" s="118">
        <f>1611*3</f>
        <v>4833</v>
      </c>
      <c r="N37" s="118">
        <f>K37+261.59</f>
        <v>2168.9</v>
      </c>
      <c r="O37" s="119">
        <f t="shared" ref="O37:O40" si="103">M37+N37</f>
        <v>7001.9</v>
      </c>
      <c r="P37" s="132"/>
      <c r="Q37" s="132" t="s">
        <v>51</v>
      </c>
      <c r="R37" s="132">
        <v>2</v>
      </c>
      <c r="S37" s="132">
        <v>17500</v>
      </c>
      <c r="T37" s="19">
        <f t="shared" ref="T37:T40" si="104">S37-L37</f>
        <v>12733.69</v>
      </c>
      <c r="U37" s="132">
        <v>17500</v>
      </c>
      <c r="V37" s="212">
        <f>U37-O37</f>
        <v>10498.1</v>
      </c>
      <c r="W37" s="132"/>
      <c r="X37" s="132"/>
      <c r="Y37" s="10">
        <v>45448</v>
      </c>
      <c r="Z37" s="134" t="s">
        <v>110</v>
      </c>
      <c r="AA37" s="132">
        <v>1</v>
      </c>
      <c r="AB37" s="132">
        <v>1</v>
      </c>
      <c r="AC37" s="132">
        <v>1</v>
      </c>
      <c r="AD37" s="132">
        <v>1</v>
      </c>
      <c r="AE37" s="56"/>
      <c r="AF37" s="23" t="s">
        <v>154</v>
      </c>
      <c r="AG37" s="12"/>
      <c r="AH37" s="195">
        <v>21477</v>
      </c>
      <c r="AI37" s="196" t="s">
        <v>155</v>
      </c>
      <c r="AJ37" s="197">
        <f>1.1458*AH37</f>
        <v>24608.346599999997</v>
      </c>
      <c r="AK37" s="202"/>
      <c r="AM37" s="118">
        <f t="shared" ref="AM37:AM40" si="105">T37-$AJ$37</f>
        <v>-11874.656599999997</v>
      </c>
      <c r="AN37" s="202"/>
      <c r="AP37" s="118">
        <f t="shared" ref="AP37:AP40" si="106">V37-$AJ$37</f>
        <v>-14110.246599999997</v>
      </c>
      <c r="AQ37" s="202"/>
    </row>
    <row r="38" spans="1:44" ht="11.25" customHeight="1">
      <c r="A38" s="149" t="s">
        <v>151</v>
      </c>
      <c r="B38" s="189">
        <v>661</v>
      </c>
      <c r="C38" s="189">
        <v>159</v>
      </c>
      <c r="D38" s="149" t="s">
        <v>152</v>
      </c>
      <c r="E38" s="149" t="s">
        <v>153</v>
      </c>
      <c r="F38" s="190" t="s">
        <v>47</v>
      </c>
      <c r="G38" s="191" t="s">
        <v>116</v>
      </c>
      <c r="H38" s="130" t="s">
        <v>58</v>
      </c>
      <c r="I38" s="25" t="s">
        <v>154</v>
      </c>
      <c r="J38" s="118">
        <f>888*3</f>
        <v>2664</v>
      </c>
      <c r="K38" s="118">
        <f t="shared" si="101"/>
        <v>1907.31</v>
      </c>
      <c r="L38" s="119">
        <f t="shared" si="102"/>
        <v>4571.3099999999995</v>
      </c>
      <c r="M38" s="118">
        <f>1499*3</f>
        <v>4497</v>
      </c>
      <c r="N38" s="118">
        <f t="shared" ref="N38:N40" si="107">K38+261.59</f>
        <v>2168.9</v>
      </c>
      <c r="O38" s="119">
        <f t="shared" si="103"/>
        <v>6665.9</v>
      </c>
      <c r="P38" s="132"/>
      <c r="Q38" s="132" t="s">
        <v>51</v>
      </c>
      <c r="R38" s="132">
        <v>4</v>
      </c>
      <c r="S38" s="132">
        <v>19000</v>
      </c>
      <c r="T38" s="19">
        <f t="shared" si="104"/>
        <v>14428.69</v>
      </c>
      <c r="U38" s="132">
        <v>19000</v>
      </c>
      <c r="V38" s="130">
        <f t="shared" ref="V38:V40" si="108">U38-O38</f>
        <v>12334.1</v>
      </c>
      <c r="W38" s="132"/>
      <c r="X38" s="132"/>
      <c r="Y38" s="32">
        <v>45448</v>
      </c>
      <c r="Z38" s="134" t="s">
        <v>110</v>
      </c>
      <c r="AA38" s="132">
        <v>1</v>
      </c>
      <c r="AB38" s="132">
        <v>1</v>
      </c>
      <c r="AC38" s="132">
        <v>1</v>
      </c>
      <c r="AD38" s="132">
        <v>1</v>
      </c>
      <c r="AE38" s="56"/>
      <c r="AF38" s="23" t="s">
        <v>154</v>
      </c>
      <c r="AG38" s="12"/>
      <c r="AH38" s="195">
        <v>21477</v>
      </c>
      <c r="AI38" s="196" t="s">
        <v>155</v>
      </c>
      <c r="AJ38" s="197">
        <f t="shared" ref="AJ38:AJ40" si="109">1.1458*AH38</f>
        <v>24608.346599999997</v>
      </c>
      <c r="AM38" s="118">
        <f t="shared" si="105"/>
        <v>-10179.656599999997</v>
      </c>
      <c r="AP38" s="118">
        <f t="shared" si="106"/>
        <v>-12274.246599999997</v>
      </c>
    </row>
    <row r="39" spans="1:44" ht="11.25" customHeight="1">
      <c r="A39" s="149" t="s">
        <v>151</v>
      </c>
      <c r="B39" s="189">
        <v>661</v>
      </c>
      <c r="C39" s="189">
        <v>159</v>
      </c>
      <c r="D39" s="149" t="s">
        <v>152</v>
      </c>
      <c r="E39" s="149" t="s">
        <v>153</v>
      </c>
      <c r="F39" s="149" t="s">
        <v>59</v>
      </c>
      <c r="G39" s="191" t="s">
        <v>156</v>
      </c>
      <c r="H39" s="130" t="s">
        <v>49</v>
      </c>
      <c r="I39" s="17" t="s">
        <v>157</v>
      </c>
      <c r="J39" s="118">
        <f>5718/2</f>
        <v>2859</v>
      </c>
      <c r="K39" s="118">
        <f t="shared" si="101"/>
        <v>1907.31</v>
      </c>
      <c r="L39" s="119">
        <f t="shared" si="102"/>
        <v>4766.3099999999995</v>
      </c>
      <c r="M39" s="118">
        <f>9666/2</f>
        <v>4833</v>
      </c>
      <c r="N39" s="118">
        <f t="shared" si="107"/>
        <v>2168.9</v>
      </c>
      <c r="O39" s="119">
        <f t="shared" si="103"/>
        <v>7001.9</v>
      </c>
      <c r="P39" s="132"/>
      <c r="Q39" s="132" t="s">
        <v>51</v>
      </c>
      <c r="R39" s="18">
        <v>2</v>
      </c>
      <c r="S39" s="18">
        <v>20466</v>
      </c>
      <c r="T39" s="19">
        <f t="shared" si="104"/>
        <v>15699.69</v>
      </c>
      <c r="U39" s="18">
        <v>20866</v>
      </c>
      <c r="V39" s="19">
        <f t="shared" si="108"/>
        <v>13864.1</v>
      </c>
      <c r="W39" s="132" t="s">
        <v>158</v>
      </c>
      <c r="X39" s="132"/>
      <c r="Y39" s="10">
        <v>45379</v>
      </c>
      <c r="Z39" s="134" t="s">
        <v>110</v>
      </c>
      <c r="AA39" s="132">
        <v>1</v>
      </c>
      <c r="AB39" s="132">
        <v>1</v>
      </c>
      <c r="AC39" s="132">
        <v>3</v>
      </c>
      <c r="AD39" s="132">
        <v>1</v>
      </c>
      <c r="AE39" s="20"/>
      <c r="AF39" s="12" t="s">
        <v>159</v>
      </c>
      <c r="AG39" s="12" t="s">
        <v>160</v>
      </c>
      <c r="AH39" s="195">
        <v>21477</v>
      </c>
      <c r="AI39" s="196" t="s">
        <v>155</v>
      </c>
      <c r="AJ39" s="197">
        <f t="shared" si="109"/>
        <v>24608.346599999997</v>
      </c>
      <c r="AM39" s="118">
        <f t="shared" si="105"/>
        <v>-8908.6565999999966</v>
      </c>
      <c r="AP39" s="118">
        <f t="shared" si="106"/>
        <v>-10744.246599999997</v>
      </c>
    </row>
    <row r="40" spans="1:44" ht="11.25" customHeight="1">
      <c r="A40" s="149" t="s">
        <v>151</v>
      </c>
      <c r="B40" s="189">
        <v>661</v>
      </c>
      <c r="C40" s="189">
        <v>159</v>
      </c>
      <c r="D40" s="149" t="s">
        <v>152</v>
      </c>
      <c r="E40" s="149" t="s">
        <v>153</v>
      </c>
      <c r="F40" s="149" t="s">
        <v>59</v>
      </c>
      <c r="G40" s="191" t="s">
        <v>156</v>
      </c>
      <c r="H40" s="130" t="s">
        <v>58</v>
      </c>
      <c r="I40" s="21" t="s">
        <v>157</v>
      </c>
      <c r="J40" s="118">
        <f>888*3</f>
        <v>2664</v>
      </c>
      <c r="K40" s="118">
        <f t="shared" si="101"/>
        <v>1907.31</v>
      </c>
      <c r="L40" s="119">
        <f t="shared" si="102"/>
        <v>4571.3099999999995</v>
      </c>
      <c r="M40" s="118">
        <f>1499*3</f>
        <v>4497</v>
      </c>
      <c r="N40" s="118">
        <f t="shared" si="107"/>
        <v>2168.9</v>
      </c>
      <c r="O40" s="119">
        <f t="shared" si="103"/>
        <v>6665.9</v>
      </c>
      <c r="P40" s="132"/>
      <c r="Q40" s="132" t="s">
        <v>51</v>
      </c>
      <c r="R40" s="18">
        <v>4</v>
      </c>
      <c r="S40" s="18">
        <v>22066</v>
      </c>
      <c r="T40" s="19">
        <f t="shared" si="104"/>
        <v>17494.690000000002</v>
      </c>
      <c r="U40" s="18">
        <v>22066</v>
      </c>
      <c r="V40" s="19">
        <f t="shared" si="108"/>
        <v>15400.1</v>
      </c>
      <c r="W40" s="132" t="s">
        <v>158</v>
      </c>
      <c r="X40" s="132"/>
      <c r="Y40" s="10">
        <v>45379</v>
      </c>
      <c r="Z40" s="134" t="s">
        <v>110</v>
      </c>
      <c r="AA40" s="132">
        <v>1</v>
      </c>
      <c r="AB40" s="132">
        <v>1</v>
      </c>
      <c r="AC40" s="132">
        <v>3</v>
      </c>
      <c r="AD40" s="132">
        <v>1</v>
      </c>
      <c r="AE40" s="56"/>
      <c r="AF40" s="12" t="s">
        <v>161</v>
      </c>
      <c r="AG40" s="12" t="s">
        <v>160</v>
      </c>
      <c r="AH40" s="195">
        <v>21477</v>
      </c>
      <c r="AI40" s="196" t="s">
        <v>155</v>
      </c>
      <c r="AJ40" s="197">
        <f t="shared" si="109"/>
        <v>24608.346599999997</v>
      </c>
      <c r="AM40" s="118">
        <f t="shared" si="105"/>
        <v>-7113.6565999999948</v>
      </c>
      <c r="AP40" s="118">
        <f t="shared" si="106"/>
        <v>-9208.2465999999968</v>
      </c>
    </row>
    <row r="41" spans="1:44" ht="11.25" customHeight="1">
      <c r="A41" s="149" t="s">
        <v>162</v>
      </c>
      <c r="B41" s="189">
        <v>825</v>
      </c>
      <c r="C41" s="189">
        <v>681</v>
      </c>
      <c r="D41" s="149" t="s">
        <v>163</v>
      </c>
      <c r="E41" s="149" t="s">
        <v>164</v>
      </c>
      <c r="F41" s="190" t="s">
        <v>47</v>
      </c>
      <c r="G41" s="191" t="s">
        <v>165</v>
      </c>
      <c r="H41" s="130" t="s">
        <v>49</v>
      </c>
      <c r="I41" s="203" t="s">
        <v>166</v>
      </c>
      <c r="J41" s="118">
        <v>10651</v>
      </c>
      <c r="K41" s="33">
        <f t="shared" ref="K41:K44" si="110">1603.29+498.39</f>
        <v>2101.6799999999998</v>
      </c>
      <c r="L41" s="119">
        <f t="shared" ref="L41:L44" si="111">J41+K41</f>
        <v>12752.68</v>
      </c>
      <c r="M41" s="118">
        <f>J41+7613.8</f>
        <v>18264.8</v>
      </c>
      <c r="N41" s="34">
        <f t="shared" ref="N41:N44" si="112">1603.29+498.39+740.74+5*3</f>
        <v>2857.42</v>
      </c>
      <c r="O41" s="119">
        <f t="shared" ref="O41:O44" si="113">M41+N41</f>
        <v>21122.22</v>
      </c>
      <c r="P41" s="132"/>
      <c r="Q41" s="132" t="s">
        <v>51</v>
      </c>
      <c r="R41" s="132">
        <v>2.33</v>
      </c>
      <c r="S41" s="35">
        <f t="shared" ref="S41:S42" si="114">T41+L41</f>
        <v>33552.68</v>
      </c>
      <c r="T41" s="132">
        <f t="shared" ref="T41:T42" si="115">20800</f>
        <v>20800</v>
      </c>
      <c r="U41" s="35">
        <f>V41+M41+K41</f>
        <v>41166.480000000003</v>
      </c>
      <c r="V41" s="130">
        <v>20800</v>
      </c>
      <c r="W41" s="132">
        <v>0</v>
      </c>
      <c r="X41" s="132"/>
      <c r="Y41" s="10">
        <v>45490</v>
      </c>
      <c r="Z41" s="134" t="s">
        <v>110</v>
      </c>
      <c r="AA41" s="132">
        <v>0</v>
      </c>
      <c r="AB41" s="132">
        <v>0</v>
      </c>
      <c r="AC41" s="132">
        <v>0</v>
      </c>
      <c r="AD41" s="132">
        <v>0</v>
      </c>
      <c r="AE41" s="56" t="s">
        <v>167</v>
      </c>
      <c r="AF41" s="12" t="s">
        <v>168</v>
      </c>
      <c r="AG41" s="36" t="s">
        <v>169</v>
      </c>
      <c r="AH41" s="195">
        <v>23264</v>
      </c>
      <c r="AI41" s="196" t="s">
        <v>170</v>
      </c>
      <c r="AJ41" s="197">
        <f>1.1458*AH41</f>
        <v>26655.891199999998</v>
      </c>
      <c r="AK41" s="198">
        <v>1909</v>
      </c>
      <c r="AL41" s="198">
        <f>AK41*12</f>
        <v>22908</v>
      </c>
      <c r="AM41" s="118">
        <f t="shared" ref="AM41:AM42" si="116">T41-$AJ$41</f>
        <v>-5855.8911999999982</v>
      </c>
      <c r="AN41" s="118">
        <f>T41-AL41</f>
        <v>-2108</v>
      </c>
      <c r="AO41" s="118">
        <f t="shared" ref="AO41:AO42" si="117">AN41-12000</f>
        <v>-14108</v>
      </c>
      <c r="AP41" s="118">
        <f t="shared" ref="AP41:AP42" si="118">V41-$AJ$41</f>
        <v>-5855.8911999999982</v>
      </c>
      <c r="AQ41" s="118">
        <f>V41-AL41</f>
        <v>-2108</v>
      </c>
      <c r="AR41" s="118">
        <f t="shared" ref="AR41:AR42" si="119">AQ41-12000</f>
        <v>-14108</v>
      </c>
    </row>
    <row r="42" spans="1:44" ht="11.25" customHeight="1">
      <c r="A42" s="149" t="s">
        <v>162</v>
      </c>
      <c r="B42" s="189">
        <v>825</v>
      </c>
      <c r="C42" s="189">
        <v>681</v>
      </c>
      <c r="D42" s="149" t="s">
        <v>163</v>
      </c>
      <c r="E42" s="149" t="s">
        <v>164</v>
      </c>
      <c r="F42" s="190" t="s">
        <v>47</v>
      </c>
      <c r="G42" s="191" t="s">
        <v>165</v>
      </c>
      <c r="H42" s="130" t="s">
        <v>58</v>
      </c>
      <c r="J42" s="118">
        <v>7053</v>
      </c>
      <c r="K42" s="33">
        <f t="shared" si="110"/>
        <v>2101.6799999999998</v>
      </c>
      <c r="L42" s="119">
        <f t="shared" si="111"/>
        <v>9154.68</v>
      </c>
      <c r="M42" s="118">
        <f>J42</f>
        <v>7053</v>
      </c>
      <c r="N42" s="34">
        <f t="shared" si="112"/>
        <v>2857.42</v>
      </c>
      <c r="O42" s="119">
        <f t="shared" si="113"/>
        <v>9910.42</v>
      </c>
      <c r="P42" s="132"/>
      <c r="Q42" s="132" t="s">
        <v>51</v>
      </c>
      <c r="R42" s="132">
        <v>4.5</v>
      </c>
      <c r="S42" s="35">
        <f t="shared" si="114"/>
        <v>29954.68</v>
      </c>
      <c r="T42" s="132">
        <f t="shared" si="115"/>
        <v>20800</v>
      </c>
      <c r="U42" s="35">
        <f>S42</f>
        <v>29954.68</v>
      </c>
      <c r="V42" s="132">
        <f>20800</f>
        <v>20800</v>
      </c>
      <c r="W42" s="132">
        <v>0</v>
      </c>
      <c r="X42" s="132"/>
      <c r="Y42" s="10">
        <v>45490</v>
      </c>
      <c r="Z42" s="134" t="s">
        <v>110</v>
      </c>
      <c r="AA42" s="132">
        <v>0</v>
      </c>
      <c r="AB42" s="132">
        <v>0</v>
      </c>
      <c r="AC42" s="132">
        <v>0</v>
      </c>
      <c r="AD42" s="132">
        <v>0</v>
      </c>
      <c r="AE42" s="56" t="s">
        <v>171</v>
      </c>
      <c r="AF42" s="12" t="s">
        <v>168</v>
      </c>
      <c r="AG42" s="36" t="s">
        <v>169</v>
      </c>
      <c r="AH42" s="195">
        <v>23264</v>
      </c>
      <c r="AI42" s="196" t="s">
        <v>170</v>
      </c>
      <c r="AJ42" s="197">
        <f t="shared" ref="AJ42:AJ44" si="120">1.1458*AH42</f>
        <v>26655.891199999998</v>
      </c>
      <c r="AK42" s="198">
        <v>1909</v>
      </c>
      <c r="AL42" s="198">
        <f t="shared" ref="AL42:AL44" si="121">AK42*12</f>
        <v>22908</v>
      </c>
      <c r="AM42" s="118">
        <f t="shared" si="116"/>
        <v>-5855.8911999999982</v>
      </c>
      <c r="AN42" s="118">
        <f>T42-AL41</f>
        <v>-2108</v>
      </c>
      <c r="AO42" s="118">
        <f t="shared" si="117"/>
        <v>-14108</v>
      </c>
      <c r="AP42" s="118">
        <f t="shared" si="118"/>
        <v>-5855.8911999999982</v>
      </c>
      <c r="AQ42" s="118">
        <f>V42-AL41</f>
        <v>-2108</v>
      </c>
      <c r="AR42" s="118">
        <f t="shared" si="119"/>
        <v>-14108</v>
      </c>
    </row>
    <row r="43" spans="1:44" ht="11.25" customHeight="1">
      <c r="A43" s="149" t="s">
        <v>162</v>
      </c>
      <c r="B43" s="189">
        <v>825</v>
      </c>
      <c r="C43" s="189">
        <v>681</v>
      </c>
      <c r="D43" s="149" t="s">
        <v>163</v>
      </c>
      <c r="E43" s="149" t="s">
        <v>164</v>
      </c>
      <c r="F43" s="149" t="s">
        <v>59</v>
      </c>
      <c r="G43" s="191" t="s">
        <v>172</v>
      </c>
      <c r="H43" s="130" t="s">
        <v>49</v>
      </c>
      <c r="I43" s="199" t="s">
        <v>173</v>
      </c>
      <c r="J43" s="118">
        <v>10651</v>
      </c>
      <c r="K43" s="33">
        <f t="shared" si="110"/>
        <v>2101.6799999999998</v>
      </c>
      <c r="L43" s="119">
        <f t="shared" si="111"/>
        <v>12752.68</v>
      </c>
      <c r="M43" s="118">
        <f>J43+7613.8</f>
        <v>18264.8</v>
      </c>
      <c r="N43" s="34">
        <f t="shared" si="112"/>
        <v>2857.42</v>
      </c>
      <c r="O43" s="119">
        <f t="shared" si="113"/>
        <v>21122.22</v>
      </c>
      <c r="P43" s="132"/>
      <c r="Q43" s="132" t="s">
        <v>96</v>
      </c>
      <c r="R43" s="18">
        <v>2</v>
      </c>
      <c r="S43" s="208"/>
      <c r="W43" s="132"/>
      <c r="X43" s="132"/>
      <c r="Y43" s="10">
        <v>45394</v>
      </c>
      <c r="Z43" s="134"/>
      <c r="AA43" s="132">
        <v>0</v>
      </c>
      <c r="AB43" s="132">
        <v>0</v>
      </c>
      <c r="AC43" s="132">
        <v>2</v>
      </c>
      <c r="AD43" s="132">
        <v>0</v>
      </c>
      <c r="AE43" s="20" t="s">
        <v>174</v>
      </c>
      <c r="AF43" s="12" t="s">
        <v>168</v>
      </c>
      <c r="AG43" s="12" t="s">
        <v>175</v>
      </c>
      <c r="AH43" s="195">
        <v>23264</v>
      </c>
      <c r="AI43" s="196" t="s">
        <v>170</v>
      </c>
      <c r="AJ43" s="197">
        <f t="shared" si="120"/>
        <v>26655.891199999998</v>
      </c>
      <c r="AK43" s="198">
        <v>1909</v>
      </c>
      <c r="AL43" s="198">
        <f t="shared" si="121"/>
        <v>22908</v>
      </c>
      <c r="AM43" s="118"/>
      <c r="AN43" s="118"/>
      <c r="AO43" s="132"/>
      <c r="AP43" s="118"/>
      <c r="AQ43" s="118"/>
      <c r="AR43" s="118"/>
    </row>
    <row r="44" spans="1:44" ht="11.25" customHeight="1">
      <c r="A44" s="149" t="s">
        <v>162</v>
      </c>
      <c r="B44" s="189">
        <v>825</v>
      </c>
      <c r="C44" s="189">
        <v>681</v>
      </c>
      <c r="D44" s="149" t="s">
        <v>163</v>
      </c>
      <c r="E44" s="149" t="s">
        <v>164</v>
      </c>
      <c r="F44" s="149" t="s">
        <v>59</v>
      </c>
      <c r="G44" s="191" t="s">
        <v>172</v>
      </c>
      <c r="H44" s="130" t="s">
        <v>58</v>
      </c>
      <c r="J44" s="118">
        <v>7053</v>
      </c>
      <c r="K44" s="33">
        <f t="shared" si="110"/>
        <v>2101.6799999999998</v>
      </c>
      <c r="L44" s="119">
        <f t="shared" si="111"/>
        <v>9154.68</v>
      </c>
      <c r="M44" s="118">
        <f>J44</f>
        <v>7053</v>
      </c>
      <c r="N44" s="34">
        <f t="shared" si="112"/>
        <v>2857.42</v>
      </c>
      <c r="O44" s="119">
        <f t="shared" si="113"/>
        <v>9910.42</v>
      </c>
      <c r="P44" s="132"/>
      <c r="Q44" s="132" t="s">
        <v>96</v>
      </c>
      <c r="R44" s="18">
        <v>4</v>
      </c>
      <c r="W44" s="132"/>
      <c r="X44" s="132"/>
      <c r="Y44" s="10">
        <v>45394</v>
      </c>
      <c r="Z44" s="134"/>
      <c r="AA44" s="132">
        <v>0</v>
      </c>
      <c r="AB44" s="132">
        <v>0</v>
      </c>
      <c r="AC44" s="132">
        <v>2</v>
      </c>
      <c r="AD44" s="132">
        <v>0</v>
      </c>
      <c r="AE44" s="56" t="s">
        <v>176</v>
      </c>
      <c r="AF44" s="12" t="s">
        <v>168</v>
      </c>
      <c r="AG44" s="12" t="s">
        <v>175</v>
      </c>
      <c r="AH44" s="195">
        <v>23264</v>
      </c>
      <c r="AI44" s="196" t="s">
        <v>170</v>
      </c>
      <c r="AJ44" s="197">
        <f t="shared" si="120"/>
        <v>26655.891199999998</v>
      </c>
      <c r="AK44" s="198">
        <v>1909</v>
      </c>
      <c r="AL44" s="198">
        <f t="shared" si="121"/>
        <v>22908</v>
      </c>
      <c r="AM44" s="118"/>
      <c r="AN44" s="118"/>
      <c r="AO44" s="132"/>
      <c r="AP44" s="118"/>
      <c r="AQ44" s="118"/>
      <c r="AR44" s="118"/>
    </row>
    <row r="45" spans="1:44" ht="11.25" customHeight="1">
      <c r="A45" s="149" t="s">
        <v>177</v>
      </c>
      <c r="B45" s="189">
        <v>912</v>
      </c>
      <c r="C45" s="189">
        <v>445</v>
      </c>
      <c r="D45" s="149" t="s">
        <v>178</v>
      </c>
      <c r="E45" s="149" t="s">
        <v>177</v>
      </c>
      <c r="F45" s="190" t="s">
        <v>47</v>
      </c>
      <c r="G45" s="191" t="s">
        <v>179</v>
      </c>
      <c r="H45" s="130" t="s">
        <v>49</v>
      </c>
      <c r="I45" s="21" t="s">
        <v>180</v>
      </c>
      <c r="J45" s="118">
        <f>2377.53+2377.53+2377.53</f>
        <v>7132.59</v>
      </c>
      <c r="K45" s="118">
        <f t="shared" ref="K45:K48" si="122">354.08+543.54+354.08+232.54+351.58+224.98</f>
        <v>2060.7999999999997</v>
      </c>
      <c r="L45" s="119">
        <f t="shared" ref="L45:L48" si="123">J45+K45</f>
        <v>9193.39</v>
      </c>
      <c r="M45" s="118">
        <f>6837.54*3</f>
        <v>20512.62</v>
      </c>
      <c r="N45" s="118">
        <f t="shared" ref="N45:N48" si="124">354.08+543.54+756+354.08+232.54+351.58+224.98</f>
        <v>2816.7999999999997</v>
      </c>
      <c r="O45" s="119">
        <f t="shared" ref="O45:O48" si="125">M45+N45</f>
        <v>23329.42</v>
      </c>
      <c r="P45" s="132"/>
      <c r="Q45" s="132" t="s">
        <v>51</v>
      </c>
      <c r="R45" s="132">
        <v>2</v>
      </c>
      <c r="S45" s="132">
        <v>21460</v>
      </c>
      <c r="T45" s="119">
        <f t="shared" ref="T45:T48" si="126">S45-L45</f>
        <v>12266.61</v>
      </c>
      <c r="U45" s="132">
        <v>21460</v>
      </c>
      <c r="V45" s="119">
        <f t="shared" ref="V45:V48" si="127">U45-O45</f>
        <v>-1869.4199999999983</v>
      </c>
      <c r="W45" s="132">
        <v>140</v>
      </c>
      <c r="X45" s="132"/>
      <c r="Y45" s="10">
        <v>45338</v>
      </c>
      <c r="Z45" s="134">
        <v>2022</v>
      </c>
      <c r="AA45" s="132">
        <v>2</v>
      </c>
      <c r="AB45" s="132">
        <v>1.5</v>
      </c>
      <c r="AC45" s="132">
        <v>2</v>
      </c>
      <c r="AD45" s="132">
        <v>2</v>
      </c>
      <c r="AE45" s="56"/>
      <c r="AF45" s="23" t="s">
        <v>181</v>
      </c>
      <c r="AG45" s="12" t="s">
        <v>182</v>
      </c>
      <c r="AH45" s="195">
        <v>22170</v>
      </c>
      <c r="AI45" s="196" t="s">
        <v>183</v>
      </c>
      <c r="AJ45" s="197">
        <f>1.1458*AH45</f>
        <v>25402.385999999999</v>
      </c>
      <c r="AK45" s="198">
        <v>2036</v>
      </c>
      <c r="AL45" s="198">
        <f>AK45*12</f>
        <v>24432</v>
      </c>
      <c r="AM45" s="118">
        <f t="shared" ref="AM45:AM48" si="128">T45-$AJ$45</f>
        <v>-13135.775999999998</v>
      </c>
      <c r="AN45" s="118">
        <f t="shared" ref="AN45:AN48" si="129">T45-$AL$45</f>
        <v>-12165.39</v>
      </c>
      <c r="AO45" s="118">
        <f t="shared" ref="AO45:AO48" si="130">AN45-12000</f>
        <v>-24165.39</v>
      </c>
      <c r="AP45" s="118">
        <f t="shared" ref="AP45:AP48" si="131">V45-$AJ$45</f>
        <v>-27271.805999999997</v>
      </c>
      <c r="AQ45" s="118">
        <f t="shared" ref="AQ45:AQ48" si="132">V45-$AL$45</f>
        <v>-26301.42</v>
      </c>
      <c r="AR45" s="118">
        <f t="shared" ref="AR45:AR48" si="133">AQ45-12000</f>
        <v>-38301.42</v>
      </c>
    </row>
    <row r="46" spans="1:44" ht="11.25" customHeight="1">
      <c r="A46" s="149" t="s">
        <v>177</v>
      </c>
      <c r="B46" s="189">
        <v>912</v>
      </c>
      <c r="C46" s="189">
        <v>445</v>
      </c>
      <c r="D46" s="149" t="s">
        <v>178</v>
      </c>
      <c r="E46" s="149" t="s">
        <v>177</v>
      </c>
      <c r="F46" s="190" t="s">
        <v>47</v>
      </c>
      <c r="G46" s="191" t="s">
        <v>179</v>
      </c>
      <c r="H46" s="130" t="s">
        <v>58</v>
      </c>
      <c r="I46" s="21" t="s">
        <v>180</v>
      </c>
      <c r="J46" s="118">
        <f>2330.69+2330.69+2330.69</f>
        <v>6992.07</v>
      </c>
      <c r="K46" s="118">
        <f t="shared" si="122"/>
        <v>2060.7999999999997</v>
      </c>
      <c r="L46" s="119">
        <f t="shared" si="123"/>
        <v>9052.869999999999</v>
      </c>
      <c r="M46" s="118">
        <f>6560.27*3</f>
        <v>19680.810000000001</v>
      </c>
      <c r="N46" s="118">
        <f t="shared" si="124"/>
        <v>2816.7999999999997</v>
      </c>
      <c r="O46" s="119">
        <f t="shared" si="125"/>
        <v>22497.61</v>
      </c>
      <c r="P46" s="132"/>
      <c r="Q46" s="132" t="s">
        <v>51</v>
      </c>
      <c r="R46" s="132">
        <v>4</v>
      </c>
      <c r="S46" s="132">
        <v>25460</v>
      </c>
      <c r="T46" s="119">
        <f t="shared" si="126"/>
        <v>16407.13</v>
      </c>
      <c r="U46" s="132">
        <f>25460+12500</f>
        <v>37960</v>
      </c>
      <c r="V46" s="119">
        <f t="shared" si="127"/>
        <v>15462.39</v>
      </c>
      <c r="W46" s="132">
        <v>140</v>
      </c>
      <c r="X46" s="132"/>
      <c r="Y46" s="10">
        <v>45338</v>
      </c>
      <c r="Z46" s="134">
        <v>2022</v>
      </c>
      <c r="AA46" s="132">
        <v>2</v>
      </c>
      <c r="AB46" s="132">
        <v>1.5</v>
      </c>
      <c r="AC46" s="132">
        <v>2</v>
      </c>
      <c r="AD46" s="132">
        <v>2</v>
      </c>
      <c r="AE46" s="56"/>
      <c r="AF46" s="12" t="s">
        <v>181</v>
      </c>
      <c r="AG46" s="12" t="s">
        <v>182</v>
      </c>
      <c r="AH46" s="195">
        <v>22170</v>
      </c>
      <c r="AI46" s="196" t="s">
        <v>183</v>
      </c>
      <c r="AJ46" s="197">
        <f t="shared" ref="AJ46:AJ48" si="134">1.1458*AH46</f>
        <v>25402.385999999999</v>
      </c>
      <c r="AK46" s="198">
        <v>2036</v>
      </c>
      <c r="AL46" s="198">
        <f t="shared" ref="AL46:AL48" si="135">AK46*12</f>
        <v>24432</v>
      </c>
      <c r="AM46" s="118">
        <f t="shared" si="128"/>
        <v>-8995.2559999999976</v>
      </c>
      <c r="AN46" s="118">
        <f t="shared" si="129"/>
        <v>-8024.869999999999</v>
      </c>
      <c r="AO46" s="118">
        <f t="shared" si="130"/>
        <v>-20024.87</v>
      </c>
      <c r="AP46" s="118">
        <f t="shared" si="131"/>
        <v>-9939.9959999999992</v>
      </c>
      <c r="AQ46" s="118">
        <f t="shared" si="132"/>
        <v>-8969.61</v>
      </c>
      <c r="AR46" s="118">
        <f t="shared" si="133"/>
        <v>-20969.61</v>
      </c>
    </row>
    <row r="47" spans="1:44" ht="11.25" customHeight="1">
      <c r="A47" s="149" t="s">
        <v>177</v>
      </c>
      <c r="B47" s="189">
        <v>912</v>
      </c>
      <c r="C47" s="189">
        <v>445</v>
      </c>
      <c r="D47" s="149" t="s">
        <v>178</v>
      </c>
      <c r="E47" s="149" t="s">
        <v>177</v>
      </c>
      <c r="F47" s="149" t="s">
        <v>59</v>
      </c>
      <c r="G47" s="191" t="s">
        <v>59</v>
      </c>
      <c r="H47" s="130" t="s">
        <v>49</v>
      </c>
      <c r="I47" s="17" t="s">
        <v>184</v>
      </c>
      <c r="J47" s="118">
        <f>2377.53*3</f>
        <v>7132.59</v>
      </c>
      <c r="K47" s="118">
        <f t="shared" si="122"/>
        <v>2060.7999999999997</v>
      </c>
      <c r="L47" s="119">
        <f t="shared" si="123"/>
        <v>9193.39</v>
      </c>
      <c r="M47" s="118">
        <f>6837.54*3</f>
        <v>20512.62</v>
      </c>
      <c r="N47" s="118">
        <f t="shared" si="124"/>
        <v>2816.7999999999997</v>
      </c>
      <c r="O47" s="119">
        <f t="shared" si="125"/>
        <v>23329.42</v>
      </c>
      <c r="P47" s="132"/>
      <c r="Q47" s="132" t="s">
        <v>51</v>
      </c>
      <c r="R47" s="18">
        <v>2</v>
      </c>
      <c r="S47" s="18">
        <v>28376.92</v>
      </c>
      <c r="T47" s="19">
        <f t="shared" si="126"/>
        <v>19183.53</v>
      </c>
      <c r="U47" s="18">
        <f t="shared" ref="U47:U48" si="136">S47+(M47-J47)</f>
        <v>41756.949999999997</v>
      </c>
      <c r="V47" s="19">
        <f t="shared" si="127"/>
        <v>18427.53</v>
      </c>
      <c r="W47" s="132">
        <v>140</v>
      </c>
      <c r="X47" s="132"/>
      <c r="Y47" s="134"/>
      <c r="Z47" s="134"/>
      <c r="AA47" s="132">
        <v>1</v>
      </c>
      <c r="AB47" s="132">
        <v>2</v>
      </c>
      <c r="AC47" s="209" t="s">
        <v>185</v>
      </c>
      <c r="AE47" s="20"/>
      <c r="AF47" s="12" t="s">
        <v>181</v>
      </c>
      <c r="AG47" s="12"/>
      <c r="AH47" s="195">
        <v>22170</v>
      </c>
      <c r="AI47" s="196" t="s">
        <v>183</v>
      </c>
      <c r="AJ47" s="197">
        <f t="shared" si="134"/>
        <v>25402.385999999999</v>
      </c>
      <c r="AK47" s="198">
        <v>2036</v>
      </c>
      <c r="AL47" s="198">
        <f t="shared" si="135"/>
        <v>24432</v>
      </c>
      <c r="AM47" s="118">
        <f t="shared" si="128"/>
        <v>-6218.8559999999998</v>
      </c>
      <c r="AN47" s="118">
        <f t="shared" si="129"/>
        <v>-5248.4700000000012</v>
      </c>
      <c r="AO47" s="118">
        <f t="shared" si="130"/>
        <v>-17248.47</v>
      </c>
      <c r="AP47" s="118">
        <f t="shared" si="131"/>
        <v>-6974.8559999999998</v>
      </c>
      <c r="AQ47" s="118">
        <f t="shared" si="132"/>
        <v>-6004.4700000000012</v>
      </c>
      <c r="AR47" s="118">
        <f t="shared" si="133"/>
        <v>-18004.47</v>
      </c>
    </row>
    <row r="48" spans="1:44" ht="11.25" customHeight="1">
      <c r="A48" s="149" t="s">
        <v>177</v>
      </c>
      <c r="B48" s="189">
        <v>912</v>
      </c>
      <c r="C48" s="189">
        <v>445</v>
      </c>
      <c r="D48" s="149" t="s">
        <v>178</v>
      </c>
      <c r="E48" s="149" t="s">
        <v>177</v>
      </c>
      <c r="F48" s="149" t="s">
        <v>59</v>
      </c>
      <c r="G48" s="191" t="s">
        <v>59</v>
      </c>
      <c r="H48" s="130" t="s">
        <v>58</v>
      </c>
      <c r="I48" s="17" t="s">
        <v>184</v>
      </c>
      <c r="J48" s="118">
        <f>2330.69*3</f>
        <v>6992.07</v>
      </c>
      <c r="K48" s="118">
        <f t="shared" si="122"/>
        <v>2060.7999999999997</v>
      </c>
      <c r="L48" s="119">
        <f t="shared" si="123"/>
        <v>9052.869999999999</v>
      </c>
      <c r="M48" s="118">
        <f>6560.27*3</f>
        <v>19680.810000000001</v>
      </c>
      <c r="N48" s="118">
        <f t="shared" si="124"/>
        <v>2816.7999999999997</v>
      </c>
      <c r="O48" s="119">
        <f t="shared" si="125"/>
        <v>22497.61</v>
      </c>
      <c r="P48" s="132"/>
      <c r="Q48" s="132" t="s">
        <v>51</v>
      </c>
      <c r="R48" s="18">
        <v>4</v>
      </c>
      <c r="S48" s="18">
        <v>30601.919999999998</v>
      </c>
      <c r="T48" s="19">
        <f t="shared" si="126"/>
        <v>21549.05</v>
      </c>
      <c r="U48" s="18">
        <f t="shared" si="136"/>
        <v>43290.66</v>
      </c>
      <c r="V48" s="19">
        <f t="shared" si="127"/>
        <v>20793.050000000003</v>
      </c>
      <c r="W48" s="132">
        <v>140</v>
      </c>
      <c r="X48" s="132"/>
      <c r="Y48" s="134"/>
      <c r="Z48" s="134"/>
      <c r="AA48" s="132">
        <v>1</v>
      </c>
      <c r="AB48" s="132">
        <v>2</v>
      </c>
      <c r="AE48" s="20"/>
      <c r="AF48" s="12" t="s">
        <v>181</v>
      </c>
      <c r="AG48" s="12"/>
      <c r="AH48" s="195">
        <v>22170</v>
      </c>
      <c r="AI48" s="196" t="s">
        <v>183</v>
      </c>
      <c r="AJ48" s="197">
        <f t="shared" si="134"/>
        <v>25402.385999999999</v>
      </c>
      <c r="AK48" s="198">
        <v>2036</v>
      </c>
      <c r="AL48" s="198">
        <f t="shared" si="135"/>
        <v>24432</v>
      </c>
      <c r="AM48" s="118">
        <f t="shared" si="128"/>
        <v>-3853.3359999999993</v>
      </c>
      <c r="AN48" s="118">
        <f t="shared" si="129"/>
        <v>-2882.9500000000007</v>
      </c>
      <c r="AO48" s="118">
        <f t="shared" si="130"/>
        <v>-14882.95</v>
      </c>
      <c r="AP48" s="118">
        <f t="shared" si="131"/>
        <v>-4609.3359999999957</v>
      </c>
      <c r="AQ48" s="118">
        <f t="shared" si="132"/>
        <v>-3638.9499999999971</v>
      </c>
      <c r="AR48" s="118">
        <f t="shared" si="133"/>
        <v>-15638.949999999997</v>
      </c>
    </row>
    <row r="49" spans="1:44" ht="11.25" customHeight="1">
      <c r="A49" s="149" t="s">
        <v>186</v>
      </c>
      <c r="B49" s="189">
        <v>1256</v>
      </c>
      <c r="C49" s="189">
        <v>909</v>
      </c>
      <c r="D49" s="149" t="s">
        <v>178</v>
      </c>
      <c r="E49" s="149" t="s">
        <v>187</v>
      </c>
      <c r="F49" s="190" t="s">
        <v>47</v>
      </c>
      <c r="G49" s="191" t="s">
        <v>116</v>
      </c>
      <c r="H49" s="130" t="s">
        <v>49</v>
      </c>
      <c r="I49" s="21" t="s">
        <v>188</v>
      </c>
      <c r="J49" s="118">
        <f t="shared" ref="J49:J52" si="137">2102.4*3</f>
        <v>6307.2000000000007</v>
      </c>
      <c r="K49" s="118">
        <v>1090.6600000000001</v>
      </c>
      <c r="L49" s="119">
        <f t="shared" ref="L49:L52" si="138">J49+K49</f>
        <v>7397.8600000000006</v>
      </c>
      <c r="M49" s="118">
        <f>5698.74*3</f>
        <v>17096.22</v>
      </c>
      <c r="N49" s="118">
        <f t="shared" ref="N49:N52" si="139">1090.66+756</f>
        <v>1846.66</v>
      </c>
      <c r="O49" s="119">
        <f t="shared" ref="O49:O52" si="140">M49+N49</f>
        <v>18942.88</v>
      </c>
      <c r="P49" s="132"/>
      <c r="Q49" s="132" t="s">
        <v>189</v>
      </c>
      <c r="R49" s="132">
        <v>2</v>
      </c>
      <c r="S49" s="132">
        <v>27339</v>
      </c>
      <c r="T49" s="119">
        <f t="shared" ref="T49:T52" si="141">S49-L49</f>
        <v>19941.14</v>
      </c>
      <c r="U49" s="132"/>
      <c r="V49" s="130"/>
      <c r="W49" s="132"/>
      <c r="X49" s="132"/>
      <c r="Y49" s="134"/>
      <c r="Z49" s="134"/>
      <c r="AA49" s="132">
        <v>1</v>
      </c>
      <c r="AB49" s="132">
        <v>1</v>
      </c>
      <c r="AC49" s="132">
        <v>2</v>
      </c>
      <c r="AD49" s="132">
        <v>1</v>
      </c>
      <c r="AE49" s="193" t="s">
        <v>190</v>
      </c>
      <c r="AF49" s="12" t="s">
        <v>191</v>
      </c>
      <c r="AG49" s="12" t="s">
        <v>192</v>
      </c>
      <c r="AH49" s="195">
        <v>22472</v>
      </c>
      <c r="AI49" s="196" t="s">
        <v>187</v>
      </c>
      <c r="AJ49" s="197">
        <f>1.1458*AH49</f>
        <v>25748.417599999997</v>
      </c>
      <c r="AK49" s="198">
        <v>1901</v>
      </c>
      <c r="AL49" s="198">
        <f>AK49*12</f>
        <v>22812</v>
      </c>
      <c r="AM49" s="118">
        <f t="shared" ref="AM49:AM52" si="142">T49-$AJ$49</f>
        <v>-5807.2775999999976</v>
      </c>
      <c r="AN49" s="118">
        <f t="shared" ref="AN49:AN52" si="143">T49-$AL$49</f>
        <v>-2870.8600000000006</v>
      </c>
      <c r="AO49" s="118">
        <f t="shared" ref="AO49:AO52" si="144">AN49-12000</f>
        <v>-14870.86</v>
      </c>
      <c r="AP49" s="202"/>
    </row>
    <row r="50" spans="1:44" ht="11.25" customHeight="1">
      <c r="A50" s="149" t="s">
        <v>186</v>
      </c>
      <c r="B50" s="189">
        <v>1256</v>
      </c>
      <c r="C50" s="189">
        <v>909</v>
      </c>
      <c r="D50" s="149" t="s">
        <v>178</v>
      </c>
      <c r="E50" s="149" t="s">
        <v>187</v>
      </c>
      <c r="F50" s="190" t="s">
        <v>47</v>
      </c>
      <c r="G50" s="191" t="s">
        <v>116</v>
      </c>
      <c r="H50" s="130" t="s">
        <v>58</v>
      </c>
      <c r="I50" s="21" t="s">
        <v>188</v>
      </c>
      <c r="J50" s="118">
        <f t="shared" si="137"/>
        <v>6307.2000000000007</v>
      </c>
      <c r="K50" s="118">
        <v>1090.6600000000001</v>
      </c>
      <c r="L50" s="119">
        <f t="shared" si="138"/>
        <v>7397.8600000000006</v>
      </c>
      <c r="M50" s="118">
        <f>2102.4*3</f>
        <v>6307.2000000000007</v>
      </c>
      <c r="N50" s="118">
        <f t="shared" si="139"/>
        <v>1846.66</v>
      </c>
      <c r="O50" s="119">
        <f t="shared" si="140"/>
        <v>8153.8600000000006</v>
      </c>
      <c r="P50" s="132"/>
      <c r="Q50" s="132" t="s">
        <v>189</v>
      </c>
      <c r="R50" s="132">
        <v>4</v>
      </c>
      <c r="S50" s="132">
        <v>30327</v>
      </c>
      <c r="T50" s="119">
        <f t="shared" si="141"/>
        <v>22929.14</v>
      </c>
      <c r="U50" s="132"/>
      <c r="V50" s="130"/>
      <c r="W50" s="132"/>
      <c r="X50" s="132"/>
      <c r="Y50" s="134"/>
      <c r="Z50" s="134"/>
      <c r="AA50" s="132">
        <v>1</v>
      </c>
      <c r="AB50" s="132">
        <v>1</v>
      </c>
      <c r="AC50" s="132">
        <v>2</v>
      </c>
      <c r="AD50" s="132">
        <v>1</v>
      </c>
      <c r="AF50" s="12" t="s">
        <v>191</v>
      </c>
      <c r="AG50" s="12" t="s">
        <v>192</v>
      </c>
      <c r="AH50" s="195">
        <v>22472</v>
      </c>
      <c r="AI50" s="196" t="s">
        <v>187</v>
      </c>
      <c r="AJ50" s="197">
        <f t="shared" ref="AJ50:AJ52" si="145">1.1458*AH50</f>
        <v>25748.417599999997</v>
      </c>
      <c r="AK50" s="198">
        <v>1901</v>
      </c>
      <c r="AL50" s="198">
        <f t="shared" ref="AL50:AL52" si="146">AK50*12</f>
        <v>22812</v>
      </c>
      <c r="AM50" s="118">
        <f t="shared" si="142"/>
        <v>-2819.2775999999976</v>
      </c>
      <c r="AN50" s="118">
        <f t="shared" si="143"/>
        <v>117.13999999999942</v>
      </c>
      <c r="AO50" s="118">
        <f t="shared" si="144"/>
        <v>-11882.86</v>
      </c>
    </row>
    <row r="51" spans="1:44" ht="11.25" customHeight="1">
      <c r="A51" s="149" t="s">
        <v>186</v>
      </c>
      <c r="B51" s="189">
        <v>1256</v>
      </c>
      <c r="C51" s="189">
        <v>909</v>
      </c>
      <c r="D51" s="149" t="s">
        <v>178</v>
      </c>
      <c r="E51" s="149" t="s">
        <v>187</v>
      </c>
      <c r="F51" s="149" t="s">
        <v>59</v>
      </c>
      <c r="G51" s="191" t="s">
        <v>72</v>
      </c>
      <c r="H51" s="130" t="s">
        <v>49</v>
      </c>
      <c r="I51" s="17" t="s">
        <v>193</v>
      </c>
      <c r="J51" s="118">
        <f t="shared" si="137"/>
        <v>6307.2000000000007</v>
      </c>
      <c r="K51" s="118">
        <v>1090.6600000000001</v>
      </c>
      <c r="L51" s="119">
        <f t="shared" si="138"/>
        <v>7397.8600000000006</v>
      </c>
      <c r="M51" s="118">
        <f>5698.74*3</f>
        <v>17096.22</v>
      </c>
      <c r="N51" s="118">
        <f t="shared" si="139"/>
        <v>1846.66</v>
      </c>
      <c r="O51" s="119">
        <f t="shared" si="140"/>
        <v>18942.88</v>
      </c>
      <c r="P51" s="132"/>
      <c r="Q51" s="132" t="s">
        <v>189</v>
      </c>
      <c r="R51" s="18">
        <v>2</v>
      </c>
      <c r="S51" s="18">
        <v>29172.32</v>
      </c>
      <c r="T51" s="19">
        <f t="shared" si="141"/>
        <v>21774.46</v>
      </c>
      <c r="U51" s="18"/>
      <c r="V51" s="19"/>
      <c r="W51" s="132" t="s">
        <v>194</v>
      </c>
      <c r="X51" s="132"/>
      <c r="Y51" s="10">
        <v>45489</v>
      </c>
      <c r="Z51" s="134"/>
      <c r="AA51" s="209" t="s">
        <v>185</v>
      </c>
      <c r="AE51" s="200" t="s">
        <v>195</v>
      </c>
      <c r="AF51" s="12"/>
      <c r="AG51" s="23" t="s">
        <v>196</v>
      </c>
      <c r="AH51" s="195">
        <v>22472</v>
      </c>
      <c r="AI51" s="196" t="s">
        <v>187</v>
      </c>
      <c r="AJ51" s="197">
        <f t="shared" si="145"/>
        <v>25748.417599999997</v>
      </c>
      <c r="AK51" s="198">
        <v>1901</v>
      </c>
      <c r="AL51" s="198">
        <f t="shared" si="146"/>
        <v>22812</v>
      </c>
      <c r="AM51" s="118">
        <f t="shared" si="142"/>
        <v>-3973.9575999999979</v>
      </c>
      <c r="AN51" s="118">
        <f t="shared" si="143"/>
        <v>-1037.5400000000009</v>
      </c>
      <c r="AO51" s="118">
        <f t="shared" si="144"/>
        <v>-13037.54</v>
      </c>
    </row>
    <row r="52" spans="1:44" ht="11.25" customHeight="1">
      <c r="A52" s="149" t="s">
        <v>186</v>
      </c>
      <c r="B52" s="189">
        <v>1256</v>
      </c>
      <c r="C52" s="189">
        <v>909</v>
      </c>
      <c r="D52" s="149" t="s">
        <v>178</v>
      </c>
      <c r="E52" s="149" t="s">
        <v>187</v>
      </c>
      <c r="F52" s="149" t="s">
        <v>59</v>
      </c>
      <c r="G52" s="191" t="s">
        <v>72</v>
      </c>
      <c r="H52" s="130" t="s">
        <v>58</v>
      </c>
      <c r="I52" s="21" t="s">
        <v>193</v>
      </c>
      <c r="J52" s="118">
        <f t="shared" si="137"/>
        <v>6307.2000000000007</v>
      </c>
      <c r="K52" s="118">
        <v>1090.6600000000001</v>
      </c>
      <c r="L52" s="119">
        <f t="shared" si="138"/>
        <v>7397.8600000000006</v>
      </c>
      <c r="M52" s="118">
        <f>2102.4*3</f>
        <v>6307.2000000000007</v>
      </c>
      <c r="N52" s="118">
        <f t="shared" si="139"/>
        <v>1846.66</v>
      </c>
      <c r="O52" s="119">
        <f t="shared" si="140"/>
        <v>8153.8600000000006</v>
      </c>
      <c r="P52" s="132"/>
      <c r="Q52" s="132" t="s">
        <v>189</v>
      </c>
      <c r="R52" s="18">
        <v>4</v>
      </c>
      <c r="S52" s="18">
        <v>29172.32</v>
      </c>
      <c r="T52" s="19">
        <f t="shared" si="141"/>
        <v>21774.46</v>
      </c>
      <c r="U52" s="18">
        <v>29172.32</v>
      </c>
      <c r="V52" s="19">
        <f>U52-O52</f>
        <v>21018.46</v>
      </c>
      <c r="W52" s="132" t="s">
        <v>194</v>
      </c>
      <c r="X52" s="132"/>
      <c r="Y52" s="10">
        <v>45489</v>
      </c>
      <c r="Z52" s="134"/>
      <c r="AF52" s="12"/>
      <c r="AG52" s="12" t="s">
        <v>196</v>
      </c>
      <c r="AH52" s="195">
        <v>22472</v>
      </c>
      <c r="AI52" s="196" t="s">
        <v>187</v>
      </c>
      <c r="AJ52" s="197">
        <f t="shared" si="145"/>
        <v>25748.417599999997</v>
      </c>
      <c r="AK52" s="198">
        <v>1901</v>
      </c>
      <c r="AL52" s="198">
        <f t="shared" si="146"/>
        <v>22812</v>
      </c>
      <c r="AM52" s="118">
        <f t="shared" si="142"/>
        <v>-3973.9575999999979</v>
      </c>
      <c r="AN52" s="118">
        <f t="shared" si="143"/>
        <v>-1037.5400000000009</v>
      </c>
      <c r="AO52" s="118">
        <f t="shared" si="144"/>
        <v>-13037.54</v>
      </c>
      <c r="AP52" s="118">
        <f>V52-$AJ$49</f>
        <v>-4729.9575999999979</v>
      </c>
      <c r="AQ52" s="118">
        <f>V52-AL49</f>
        <v>-1793.5400000000009</v>
      </c>
      <c r="AR52" s="118">
        <f>AQ52-12000</f>
        <v>-13793.54</v>
      </c>
    </row>
    <row r="53" spans="1:44" ht="11.25" customHeight="1">
      <c r="A53" s="149" t="s">
        <v>197</v>
      </c>
      <c r="B53" s="189">
        <v>1110</v>
      </c>
      <c r="C53" s="189">
        <v>1448</v>
      </c>
      <c r="D53" s="149" t="s">
        <v>178</v>
      </c>
      <c r="E53" s="149" t="s">
        <v>198</v>
      </c>
      <c r="F53" s="190" t="s">
        <v>47</v>
      </c>
      <c r="G53" s="191" t="s">
        <v>199</v>
      </c>
      <c r="H53" s="130" t="s">
        <v>49</v>
      </c>
      <c r="I53" s="21" t="s">
        <v>200</v>
      </c>
      <c r="J53" s="118">
        <v>5772.99</v>
      </c>
      <c r="K53" s="118">
        <f>1382.8+100</f>
        <v>1482.8</v>
      </c>
      <c r="L53" s="119">
        <f t="shared" ref="L53:L56" si="147">J53+K53</f>
        <v>7255.79</v>
      </c>
      <c r="M53" s="118">
        <v>12927.45</v>
      </c>
      <c r="N53" s="118">
        <f>100+1382.8+756</f>
        <v>2238.8000000000002</v>
      </c>
      <c r="O53" s="119">
        <f t="shared" ref="O53:O56" si="148">M53+N53</f>
        <v>15166.25</v>
      </c>
      <c r="P53" s="132"/>
      <c r="Q53" s="132" t="s">
        <v>51</v>
      </c>
      <c r="R53" s="132">
        <v>2</v>
      </c>
      <c r="S53" s="132">
        <v>24300</v>
      </c>
      <c r="T53" s="119">
        <f t="shared" ref="T53:T56" si="149">S53-L53</f>
        <v>17044.21</v>
      </c>
      <c r="U53" s="204"/>
      <c r="W53" s="132"/>
      <c r="X53" s="132"/>
      <c r="Y53" s="134"/>
      <c r="Z53" s="134" t="s">
        <v>201</v>
      </c>
      <c r="AA53" s="132">
        <v>1</v>
      </c>
      <c r="AB53" s="132">
        <v>1.5</v>
      </c>
      <c r="AC53" s="132">
        <v>2</v>
      </c>
      <c r="AD53" s="132">
        <v>2</v>
      </c>
      <c r="AE53" s="56"/>
      <c r="AF53" s="12" t="s">
        <v>202</v>
      </c>
      <c r="AG53" s="12" t="s">
        <v>203</v>
      </c>
      <c r="AH53" s="195">
        <v>22170</v>
      </c>
      <c r="AI53" s="196" t="s">
        <v>204</v>
      </c>
      <c r="AJ53" s="197">
        <f>1.1458*AH53</f>
        <v>25402.385999999999</v>
      </c>
      <c r="AK53" s="198">
        <v>1767</v>
      </c>
      <c r="AL53" s="198">
        <f>AK53*12</f>
        <v>21204</v>
      </c>
      <c r="AM53" s="37">
        <f t="shared" ref="AM53:AM56" si="150">T53-$AJ$53</f>
        <v>-8358.1759999999995</v>
      </c>
      <c r="AN53" s="37">
        <f t="shared" ref="AN53:AN56" si="151">T53-$AL$53</f>
        <v>-4159.7900000000009</v>
      </c>
      <c r="AO53" s="37">
        <f t="shared" ref="AO53:AO56" si="152">AN53-12000</f>
        <v>-16159.79</v>
      </c>
      <c r="AP53" s="38">
        <f t="shared" ref="AP53:AP56" si="153">S53-O53-$AJ$53</f>
        <v>-16268.635999999999</v>
      </c>
      <c r="AQ53" s="33">
        <f t="shared" ref="AQ53:AQ56" si="154">S53-O53-$AL$53</f>
        <v>-12070.25</v>
      </c>
      <c r="AR53" s="38">
        <f t="shared" ref="AR53:AR56" si="155">AQ53-12000</f>
        <v>-24070.25</v>
      </c>
    </row>
    <row r="54" spans="1:44" ht="11.25" customHeight="1">
      <c r="A54" s="149" t="s">
        <v>197</v>
      </c>
      <c r="B54" s="189">
        <v>1110</v>
      </c>
      <c r="C54" s="189">
        <v>1448</v>
      </c>
      <c r="D54" s="149" t="s">
        <v>178</v>
      </c>
      <c r="E54" s="149" t="s">
        <v>198</v>
      </c>
      <c r="F54" s="190" t="s">
        <v>47</v>
      </c>
      <c r="G54" s="191" t="s">
        <v>199</v>
      </c>
      <c r="H54" s="130" t="s">
        <v>58</v>
      </c>
      <c r="I54" s="21" t="s">
        <v>200</v>
      </c>
      <c r="J54" s="118">
        <v>5772.99</v>
      </c>
      <c r="K54" s="118">
        <v>1482.8</v>
      </c>
      <c r="L54" s="119">
        <f t="shared" si="147"/>
        <v>7255.79</v>
      </c>
      <c r="M54" s="118">
        <v>5772.99</v>
      </c>
      <c r="N54" s="118">
        <v>2238.8000000000002</v>
      </c>
      <c r="O54" s="119">
        <f t="shared" si="148"/>
        <v>8011.79</v>
      </c>
      <c r="P54" s="132"/>
      <c r="Q54" s="132" t="s">
        <v>51</v>
      </c>
      <c r="R54" s="132">
        <v>4</v>
      </c>
      <c r="S54" s="132">
        <v>26300</v>
      </c>
      <c r="T54" s="119">
        <f t="shared" si="149"/>
        <v>19044.21</v>
      </c>
      <c r="W54" s="132"/>
      <c r="X54" s="132"/>
      <c r="Y54" s="134"/>
      <c r="Z54" s="134" t="s">
        <v>201</v>
      </c>
      <c r="AA54" s="132">
        <v>1</v>
      </c>
      <c r="AB54" s="132">
        <v>1.5</v>
      </c>
      <c r="AC54" s="132">
        <v>2</v>
      </c>
      <c r="AD54" s="132">
        <v>2</v>
      </c>
      <c r="AE54" s="56"/>
      <c r="AF54" s="12" t="s">
        <v>202</v>
      </c>
      <c r="AG54" s="12" t="s">
        <v>203</v>
      </c>
      <c r="AH54" s="195">
        <v>22170</v>
      </c>
      <c r="AI54" s="196" t="s">
        <v>204</v>
      </c>
      <c r="AJ54" s="197">
        <f t="shared" ref="AJ54:AJ56" si="156">1.1458*AH54</f>
        <v>25402.385999999999</v>
      </c>
      <c r="AK54" s="198">
        <v>1767</v>
      </c>
      <c r="AL54" s="198">
        <f t="shared" ref="AL54:AL56" si="157">AK54*12</f>
        <v>21204</v>
      </c>
      <c r="AM54" s="37">
        <f t="shared" si="150"/>
        <v>-6358.1759999999995</v>
      </c>
      <c r="AN54" s="37">
        <f t="shared" si="151"/>
        <v>-2159.7900000000009</v>
      </c>
      <c r="AO54" s="37">
        <f t="shared" si="152"/>
        <v>-14159.79</v>
      </c>
      <c r="AP54" s="38">
        <f t="shared" si="153"/>
        <v>-7114.1759999999995</v>
      </c>
      <c r="AQ54" s="33">
        <f t="shared" si="154"/>
        <v>-2915.7900000000009</v>
      </c>
      <c r="AR54" s="38">
        <f t="shared" si="155"/>
        <v>-14915.79</v>
      </c>
    </row>
    <row r="55" spans="1:44" ht="11.25" customHeight="1">
      <c r="A55" s="149" t="s">
        <v>197</v>
      </c>
      <c r="B55" s="189">
        <v>1110</v>
      </c>
      <c r="C55" s="189">
        <v>1448</v>
      </c>
      <c r="D55" s="149" t="s">
        <v>178</v>
      </c>
      <c r="E55" s="149" t="s">
        <v>198</v>
      </c>
      <c r="F55" s="149" t="s">
        <v>59</v>
      </c>
      <c r="G55" s="191" t="s">
        <v>205</v>
      </c>
      <c r="H55" s="130" t="s">
        <v>49</v>
      </c>
      <c r="I55" s="17" t="s">
        <v>206</v>
      </c>
      <c r="J55" s="118">
        <v>5772.99</v>
      </c>
      <c r="K55" s="118">
        <v>1482.8</v>
      </c>
      <c r="L55" s="119">
        <f t="shared" si="147"/>
        <v>7255.79</v>
      </c>
      <c r="M55" s="118">
        <v>12927.45</v>
      </c>
      <c r="N55" s="118">
        <v>2238.8000000000002</v>
      </c>
      <c r="O55" s="119">
        <f t="shared" si="148"/>
        <v>15166.25</v>
      </c>
      <c r="P55" s="132"/>
      <c r="Q55" s="132" t="s">
        <v>51</v>
      </c>
      <c r="R55" s="18">
        <v>2</v>
      </c>
      <c r="S55" s="18">
        <v>26642</v>
      </c>
      <c r="T55" s="19">
        <f t="shared" si="149"/>
        <v>19386.21</v>
      </c>
      <c r="W55" s="132"/>
      <c r="X55" s="132"/>
      <c r="Y55" s="134"/>
      <c r="Z55" s="134"/>
      <c r="AA55" s="132">
        <v>1</v>
      </c>
      <c r="AB55" s="132">
        <v>1.5</v>
      </c>
      <c r="AC55" s="132">
        <v>3</v>
      </c>
      <c r="AD55" s="132">
        <v>2</v>
      </c>
      <c r="AE55" s="20"/>
      <c r="AF55" s="12" t="s">
        <v>202</v>
      </c>
      <c r="AG55" s="23" t="s">
        <v>207</v>
      </c>
      <c r="AH55" s="195">
        <v>22170</v>
      </c>
      <c r="AI55" s="196" t="s">
        <v>204</v>
      </c>
      <c r="AJ55" s="197">
        <f t="shared" si="156"/>
        <v>25402.385999999999</v>
      </c>
      <c r="AK55" s="198">
        <v>1767</v>
      </c>
      <c r="AL55" s="198">
        <f t="shared" si="157"/>
        <v>21204</v>
      </c>
      <c r="AM55" s="37">
        <f t="shared" si="150"/>
        <v>-6016.1759999999995</v>
      </c>
      <c r="AN55" s="37">
        <f t="shared" si="151"/>
        <v>-1817.7900000000009</v>
      </c>
      <c r="AO55" s="37">
        <f t="shared" si="152"/>
        <v>-13817.79</v>
      </c>
      <c r="AP55" s="38">
        <f t="shared" si="153"/>
        <v>-13926.635999999999</v>
      </c>
      <c r="AQ55" s="33">
        <f t="shared" si="154"/>
        <v>-9728.25</v>
      </c>
      <c r="AR55" s="38">
        <f t="shared" si="155"/>
        <v>-21728.25</v>
      </c>
    </row>
    <row r="56" spans="1:44" ht="11.25" customHeight="1">
      <c r="A56" s="149" t="s">
        <v>197</v>
      </c>
      <c r="B56" s="189">
        <v>1110</v>
      </c>
      <c r="C56" s="189">
        <v>1448</v>
      </c>
      <c r="D56" s="149" t="s">
        <v>178</v>
      </c>
      <c r="E56" s="149" t="s">
        <v>198</v>
      </c>
      <c r="F56" s="149" t="s">
        <v>59</v>
      </c>
      <c r="G56" s="191" t="s">
        <v>205</v>
      </c>
      <c r="H56" s="130" t="s">
        <v>58</v>
      </c>
      <c r="I56" s="21" t="s">
        <v>206</v>
      </c>
      <c r="J56" s="118">
        <v>5772.99</v>
      </c>
      <c r="K56" s="118">
        <v>1482.8</v>
      </c>
      <c r="L56" s="119">
        <f t="shared" si="147"/>
        <v>7255.79</v>
      </c>
      <c r="M56" s="118">
        <v>5772.99</v>
      </c>
      <c r="N56" s="118">
        <v>2238.8000000000002</v>
      </c>
      <c r="O56" s="119">
        <f t="shared" si="148"/>
        <v>8011.79</v>
      </c>
      <c r="P56" s="132"/>
      <c r="Q56" s="132" t="s">
        <v>51</v>
      </c>
      <c r="R56" s="18">
        <v>4</v>
      </c>
      <c r="S56" s="18">
        <v>27842</v>
      </c>
      <c r="T56" s="19">
        <f t="shared" si="149"/>
        <v>20586.21</v>
      </c>
      <c r="W56" s="132"/>
      <c r="X56" s="132"/>
      <c r="Y56" s="134"/>
      <c r="Z56" s="134"/>
      <c r="AA56" s="132">
        <v>1</v>
      </c>
      <c r="AB56" s="132">
        <v>1.5</v>
      </c>
      <c r="AC56" s="132">
        <v>3</v>
      </c>
      <c r="AD56" s="132">
        <v>2</v>
      </c>
      <c r="AE56" s="56"/>
      <c r="AF56" s="12" t="s">
        <v>202</v>
      </c>
      <c r="AG56" s="12" t="s">
        <v>208</v>
      </c>
      <c r="AH56" s="195">
        <v>22170</v>
      </c>
      <c r="AI56" s="196" t="s">
        <v>204</v>
      </c>
      <c r="AJ56" s="197">
        <f t="shared" si="156"/>
        <v>25402.385999999999</v>
      </c>
      <c r="AK56" s="198">
        <v>1767</v>
      </c>
      <c r="AL56" s="198">
        <f t="shared" si="157"/>
        <v>21204</v>
      </c>
      <c r="AM56" s="37">
        <f t="shared" si="150"/>
        <v>-4816.1759999999995</v>
      </c>
      <c r="AN56" s="37">
        <f t="shared" si="151"/>
        <v>-617.79000000000087</v>
      </c>
      <c r="AO56" s="37">
        <f t="shared" si="152"/>
        <v>-12617.79</v>
      </c>
      <c r="AP56" s="38">
        <f t="shared" si="153"/>
        <v>-5572.1759999999995</v>
      </c>
      <c r="AQ56" s="33">
        <f t="shared" si="154"/>
        <v>-1373.7900000000009</v>
      </c>
      <c r="AR56" s="38">
        <f t="shared" si="155"/>
        <v>-13373.79</v>
      </c>
    </row>
    <row r="57" spans="1:44" ht="11.25" customHeight="1">
      <c r="A57" s="149" t="s">
        <v>209</v>
      </c>
      <c r="B57" s="189">
        <v>1323</v>
      </c>
      <c r="C57" s="189">
        <v>1142</v>
      </c>
      <c r="D57" s="149" t="s">
        <v>178</v>
      </c>
      <c r="E57" s="149" t="s">
        <v>210</v>
      </c>
      <c r="F57" s="190" t="s">
        <v>47</v>
      </c>
      <c r="G57" s="191" t="s">
        <v>165</v>
      </c>
      <c r="H57" s="130" t="s">
        <v>49</v>
      </c>
      <c r="I57" s="6" t="s">
        <v>211</v>
      </c>
      <c r="J57" s="118">
        <f t="shared" ref="J57:J60" si="158">2120*3</f>
        <v>6360</v>
      </c>
      <c r="K57" s="118">
        <f t="shared" ref="K57:K60" si="159">118.52+186.14+92.16+785.4+87.1+186.14+92.16+87.1+186.14+92.16</f>
        <v>1913.0199999999998</v>
      </c>
      <c r="L57" s="119">
        <f t="shared" ref="L57:L60" si="160">J57+K57</f>
        <v>8273.02</v>
      </c>
      <c r="M57" s="118">
        <f>6583.67*3</f>
        <v>19751.010000000002</v>
      </c>
      <c r="N57" s="118">
        <f t="shared" ref="N57:N60" si="161">118.54+186.14+92.16+785.4+252*3+186.14+92.16+87.1+186.14+92.16</f>
        <v>2581.9399999999996</v>
      </c>
      <c r="O57" s="119">
        <f t="shared" ref="O57:O60" si="162">M57+N57</f>
        <v>22332.95</v>
      </c>
      <c r="P57" s="132"/>
      <c r="Q57" s="132" t="s">
        <v>51</v>
      </c>
      <c r="R57" s="132">
        <v>2</v>
      </c>
      <c r="S57" s="39">
        <v>26091.46</v>
      </c>
      <c r="T57" s="19">
        <f t="shared" ref="T57:T60" si="163">S57-L57</f>
        <v>17818.439999999999</v>
      </c>
      <c r="U57" s="40">
        <v>37921.46</v>
      </c>
      <c r="V57" s="19">
        <f t="shared" ref="V57:V58" si="164">U57-O57</f>
        <v>15588.509999999998</v>
      </c>
      <c r="W57" s="41">
        <v>280</v>
      </c>
      <c r="X57" s="132"/>
      <c r="Y57" s="10">
        <v>45448</v>
      </c>
      <c r="Z57" s="42">
        <v>45017</v>
      </c>
      <c r="AA57" s="132">
        <v>1</v>
      </c>
      <c r="AB57" s="132">
        <v>1.5</v>
      </c>
      <c r="AC57" s="132">
        <v>1</v>
      </c>
      <c r="AD57" s="132">
        <v>3</v>
      </c>
      <c r="AE57" s="43" t="s">
        <v>212</v>
      </c>
      <c r="AF57" s="12"/>
      <c r="AG57" s="23" t="s">
        <v>213</v>
      </c>
      <c r="AH57" s="195">
        <v>22170</v>
      </c>
      <c r="AI57" s="196" t="s">
        <v>214</v>
      </c>
      <c r="AJ57" s="197">
        <f>1.1458*AH57</f>
        <v>25402.385999999999</v>
      </c>
      <c r="AK57" s="198">
        <v>1800</v>
      </c>
      <c r="AL57" s="198">
        <f>AK57*12</f>
        <v>21600</v>
      </c>
      <c r="AM57" s="118">
        <f t="shared" ref="AM57:AM60" si="165">T57-$AJ$57</f>
        <v>-7583.9459999999999</v>
      </c>
      <c r="AN57" s="44">
        <f t="shared" ref="AN57:AN60" si="166">T57-$AL$57</f>
        <v>-3781.5600000000013</v>
      </c>
      <c r="AO57" s="44">
        <f t="shared" ref="AO57:AO60" si="167">AN57-12000</f>
        <v>-15781.560000000001</v>
      </c>
      <c r="AP57" s="44">
        <f t="shared" ref="AP57:AP58" si="168">V57-$AJ$57</f>
        <v>-9813.8760000000002</v>
      </c>
      <c r="AQ57" s="44">
        <f t="shared" ref="AQ57:AQ58" si="169">V57-$AL$57</f>
        <v>-6011.4900000000016</v>
      </c>
      <c r="AR57" s="44">
        <f t="shared" ref="AR57:AR60" si="170">AQ57-12000</f>
        <v>-18011.490000000002</v>
      </c>
    </row>
    <row r="58" spans="1:44" ht="11.25" customHeight="1">
      <c r="A58" s="149" t="s">
        <v>209</v>
      </c>
      <c r="B58" s="189">
        <v>1323</v>
      </c>
      <c r="C58" s="189">
        <v>1142</v>
      </c>
      <c r="D58" s="149" t="s">
        <v>178</v>
      </c>
      <c r="E58" s="149" t="s">
        <v>210</v>
      </c>
      <c r="F58" s="190" t="s">
        <v>47</v>
      </c>
      <c r="G58" s="191" t="s">
        <v>165</v>
      </c>
      <c r="H58" s="130" t="s">
        <v>58</v>
      </c>
      <c r="I58" s="6" t="s">
        <v>215</v>
      </c>
      <c r="J58" s="118">
        <f t="shared" si="158"/>
        <v>6360</v>
      </c>
      <c r="K58" s="118">
        <f t="shared" si="159"/>
        <v>1913.0199999999998</v>
      </c>
      <c r="L58" s="119">
        <f t="shared" si="160"/>
        <v>8273.02</v>
      </c>
      <c r="M58" s="118">
        <f>2120*3</f>
        <v>6360</v>
      </c>
      <c r="N58" s="118">
        <f t="shared" si="161"/>
        <v>2581.9399999999996</v>
      </c>
      <c r="O58" s="119">
        <f t="shared" si="162"/>
        <v>8941.9399999999987</v>
      </c>
      <c r="P58" s="132"/>
      <c r="Q58" s="132" t="s">
        <v>51</v>
      </c>
      <c r="R58" s="132">
        <v>4</v>
      </c>
      <c r="S58" s="39">
        <v>26091.46</v>
      </c>
      <c r="T58" s="19">
        <f t="shared" si="163"/>
        <v>17818.439999999999</v>
      </c>
      <c r="U58" s="39">
        <v>26091.46</v>
      </c>
      <c r="V58" s="19">
        <f t="shared" si="164"/>
        <v>17149.52</v>
      </c>
      <c r="W58" s="41">
        <v>280</v>
      </c>
      <c r="X58" s="132"/>
      <c r="Y58" s="10">
        <v>45448</v>
      </c>
      <c r="Z58" s="42">
        <v>45017</v>
      </c>
      <c r="AA58" s="132">
        <v>1</v>
      </c>
      <c r="AB58" s="132">
        <v>1.5</v>
      </c>
      <c r="AC58" s="132">
        <v>1</v>
      </c>
      <c r="AD58" s="132">
        <v>3</v>
      </c>
      <c r="AE58" s="56"/>
      <c r="AF58" s="12"/>
      <c r="AG58" s="23" t="s">
        <v>213</v>
      </c>
      <c r="AH58" s="195">
        <v>22170</v>
      </c>
      <c r="AI58" s="196" t="s">
        <v>214</v>
      </c>
      <c r="AJ58" s="197">
        <f t="shared" ref="AJ58:AJ60" si="171">1.1458*AH58</f>
        <v>25402.385999999999</v>
      </c>
      <c r="AK58" s="198">
        <v>1800</v>
      </c>
      <c r="AL58" s="198">
        <f t="shared" ref="AL58:AL60" si="172">AK58*12</f>
        <v>21600</v>
      </c>
      <c r="AM58" s="118">
        <f t="shared" si="165"/>
        <v>-7583.9459999999999</v>
      </c>
      <c r="AN58" s="44">
        <f t="shared" si="166"/>
        <v>-3781.5600000000013</v>
      </c>
      <c r="AO58" s="45">
        <f t="shared" si="167"/>
        <v>-15781.560000000001</v>
      </c>
      <c r="AP58" s="45">
        <f t="shared" si="168"/>
        <v>-8252.8659999999982</v>
      </c>
      <c r="AQ58" s="45">
        <f t="shared" si="169"/>
        <v>-4450.4799999999996</v>
      </c>
      <c r="AR58" s="45">
        <f t="shared" si="170"/>
        <v>-16450.48</v>
      </c>
    </row>
    <row r="59" spans="1:44" ht="11.25" customHeight="1">
      <c r="A59" s="149" t="s">
        <v>209</v>
      </c>
      <c r="B59" s="189">
        <v>1323</v>
      </c>
      <c r="C59" s="189">
        <v>1142</v>
      </c>
      <c r="D59" s="149" t="s">
        <v>178</v>
      </c>
      <c r="E59" s="149" t="s">
        <v>210</v>
      </c>
      <c r="F59" s="149" t="s">
        <v>59</v>
      </c>
      <c r="G59" s="191" t="s">
        <v>72</v>
      </c>
      <c r="H59" s="130" t="s">
        <v>49</v>
      </c>
      <c r="I59" s="17" t="s">
        <v>216</v>
      </c>
      <c r="J59" s="118">
        <f t="shared" si="158"/>
        <v>6360</v>
      </c>
      <c r="K59" s="118">
        <f t="shared" si="159"/>
        <v>1913.0199999999998</v>
      </c>
      <c r="L59" s="119">
        <f t="shared" si="160"/>
        <v>8273.02</v>
      </c>
      <c r="M59" s="118">
        <f>6583.67*3</f>
        <v>19751.010000000002</v>
      </c>
      <c r="N59" s="118">
        <f t="shared" si="161"/>
        <v>2581.9399999999996</v>
      </c>
      <c r="O59" s="119">
        <f t="shared" si="162"/>
        <v>22332.95</v>
      </c>
      <c r="P59" s="132"/>
      <c r="Q59" s="132" t="s">
        <v>51</v>
      </c>
      <c r="R59" s="18">
        <v>2</v>
      </c>
      <c r="S59" s="18">
        <v>18741</v>
      </c>
      <c r="T59" s="19">
        <f t="shared" si="163"/>
        <v>10467.98</v>
      </c>
      <c r="U59" s="204"/>
      <c r="W59" s="132"/>
      <c r="X59" s="132"/>
      <c r="Y59" s="10">
        <v>45394</v>
      </c>
      <c r="Z59" s="134"/>
      <c r="AA59" s="132">
        <v>1</v>
      </c>
      <c r="AB59" s="132">
        <v>1.5</v>
      </c>
      <c r="AC59" s="132">
        <v>3</v>
      </c>
      <c r="AD59" s="132">
        <v>3</v>
      </c>
      <c r="AE59" s="20" t="s">
        <v>217</v>
      </c>
      <c r="AF59" s="12" t="s">
        <v>218</v>
      </c>
      <c r="AG59" s="12"/>
      <c r="AH59" s="195">
        <v>22170</v>
      </c>
      <c r="AI59" s="196" t="s">
        <v>214</v>
      </c>
      <c r="AJ59" s="197">
        <f t="shared" si="171"/>
        <v>25402.385999999999</v>
      </c>
      <c r="AK59" s="198">
        <v>1800</v>
      </c>
      <c r="AL59" s="198">
        <f t="shared" si="172"/>
        <v>21600</v>
      </c>
      <c r="AM59" s="118">
        <f t="shared" si="165"/>
        <v>-14934.405999999999</v>
      </c>
      <c r="AN59" s="44">
        <f t="shared" si="166"/>
        <v>-11132.02</v>
      </c>
      <c r="AO59" s="45">
        <f t="shared" si="167"/>
        <v>-23132.02</v>
      </c>
      <c r="AP59" s="38">
        <f t="shared" ref="AP59:AP60" si="173">S59-O59-$AJ$57</f>
        <v>-28994.335999999999</v>
      </c>
      <c r="AQ59" s="46">
        <f t="shared" ref="AQ59:AQ60" si="174">S59-O59-$AL$57</f>
        <v>-25191.95</v>
      </c>
      <c r="AR59" s="38">
        <f t="shared" si="170"/>
        <v>-37191.949999999997</v>
      </c>
    </row>
    <row r="60" spans="1:44" ht="11.25" customHeight="1">
      <c r="A60" s="149" t="s">
        <v>209</v>
      </c>
      <c r="B60" s="189">
        <v>1323</v>
      </c>
      <c r="C60" s="189">
        <v>1142</v>
      </c>
      <c r="D60" s="149" t="s">
        <v>178</v>
      </c>
      <c r="E60" s="149" t="s">
        <v>210</v>
      </c>
      <c r="F60" s="149" t="s">
        <v>59</v>
      </c>
      <c r="G60" s="191" t="s">
        <v>72</v>
      </c>
      <c r="H60" s="130" t="s">
        <v>58</v>
      </c>
      <c r="I60" s="21" t="s">
        <v>216</v>
      </c>
      <c r="J60" s="118">
        <f t="shared" si="158"/>
        <v>6360</v>
      </c>
      <c r="K60" s="118">
        <f t="shared" si="159"/>
        <v>1913.0199999999998</v>
      </c>
      <c r="L60" s="119">
        <f t="shared" si="160"/>
        <v>8273.02</v>
      </c>
      <c r="M60" s="118">
        <f>2120*3</f>
        <v>6360</v>
      </c>
      <c r="N60" s="118">
        <f t="shared" si="161"/>
        <v>2581.9399999999996</v>
      </c>
      <c r="O60" s="119">
        <f t="shared" si="162"/>
        <v>8941.9399999999987</v>
      </c>
      <c r="P60" s="132"/>
      <c r="Q60" s="132" t="s">
        <v>51</v>
      </c>
      <c r="R60" s="18">
        <v>4</v>
      </c>
      <c r="S60" s="18">
        <v>18741</v>
      </c>
      <c r="T60" s="19">
        <f t="shared" si="163"/>
        <v>10467.98</v>
      </c>
      <c r="W60" s="132"/>
      <c r="X60" s="132"/>
      <c r="Y60" s="10">
        <v>45394</v>
      </c>
      <c r="Z60" s="134"/>
      <c r="AA60" s="132">
        <v>1</v>
      </c>
      <c r="AB60" s="132">
        <v>1.5</v>
      </c>
      <c r="AC60" s="132">
        <v>3</v>
      </c>
      <c r="AD60" s="132">
        <v>3</v>
      </c>
      <c r="AE60" s="56" t="s">
        <v>219</v>
      </c>
      <c r="AF60" s="12"/>
      <c r="AG60" s="12"/>
      <c r="AH60" s="195">
        <v>22170</v>
      </c>
      <c r="AI60" s="196" t="s">
        <v>214</v>
      </c>
      <c r="AJ60" s="197">
        <f t="shared" si="171"/>
        <v>25402.385999999999</v>
      </c>
      <c r="AK60" s="198">
        <v>1800</v>
      </c>
      <c r="AL60" s="198">
        <f t="shared" si="172"/>
        <v>21600</v>
      </c>
      <c r="AM60" s="118">
        <f t="shared" si="165"/>
        <v>-14934.405999999999</v>
      </c>
      <c r="AN60" s="44">
        <f t="shared" si="166"/>
        <v>-11132.02</v>
      </c>
      <c r="AO60" s="45">
        <f t="shared" si="167"/>
        <v>-23132.02</v>
      </c>
      <c r="AP60" s="38">
        <f t="shared" si="173"/>
        <v>-15603.325999999997</v>
      </c>
      <c r="AQ60" s="46">
        <f t="shared" si="174"/>
        <v>-11800.939999999999</v>
      </c>
      <c r="AR60" s="38">
        <f t="shared" si="170"/>
        <v>-23800.94</v>
      </c>
    </row>
    <row r="61" spans="1:44" ht="11.25" customHeight="1">
      <c r="A61" s="149" t="s">
        <v>220</v>
      </c>
      <c r="B61" s="189">
        <v>1379</v>
      </c>
      <c r="C61" s="189">
        <v>334</v>
      </c>
      <c r="D61" s="149" t="s">
        <v>178</v>
      </c>
      <c r="E61" s="149" t="s">
        <v>220</v>
      </c>
      <c r="F61" s="190" t="s">
        <v>47</v>
      </c>
      <c r="G61" s="191" t="s">
        <v>116</v>
      </c>
      <c r="H61" s="130" t="s">
        <v>49</v>
      </c>
      <c r="I61" s="21"/>
      <c r="J61" s="118">
        <f>3*2456.71</f>
        <v>7370.13</v>
      </c>
      <c r="K61" s="118">
        <f t="shared" ref="K61:K64" si="175">223.48*3+(20.11+79.16+11.4)*3+(107.61+100.24)*3+9.63+8.66+29.26+60.37+1.32+1.63+3.22+1.32+9.63+8.66+29.26+60.37+1.32+1.63+3.22+1.32+9.63+8.66+29.26+28.86+1.63</f>
        <v>1934.8600000000004</v>
      </c>
      <c r="L61" s="119">
        <f t="shared" ref="L61:L64" si="176">J61+K61</f>
        <v>9304.99</v>
      </c>
      <c r="M61" s="118">
        <f>3*9720.89</f>
        <v>29162.67</v>
      </c>
      <c r="N61" s="118">
        <f t="shared" ref="N61:N64" si="177">223.48*3+(20.11+79.16+11.4)*3+(107.61+100.24)*3+9.63+8.66+29.26+60.37+1.32+1.63+3.22+1.32+9.63+8.66+29.26+60.37+1.32+1.63+3.22+1.32+9.63+8.66+29.26+28.86+1.63+252*3</f>
        <v>2690.8600000000006</v>
      </c>
      <c r="O61" s="119">
        <f t="shared" ref="O61:O64" si="178">M61+N61</f>
        <v>31853.53</v>
      </c>
      <c r="P61" s="132"/>
      <c r="Q61" s="132" t="s">
        <v>51</v>
      </c>
      <c r="R61" s="132">
        <v>2</v>
      </c>
      <c r="S61" s="132">
        <v>22672</v>
      </c>
      <c r="T61" s="119">
        <f t="shared" ref="T61:T64" si="179">S61-L61</f>
        <v>13367.01</v>
      </c>
      <c r="U61" s="204"/>
      <c r="W61" s="132" t="s">
        <v>221</v>
      </c>
      <c r="X61" s="132"/>
      <c r="Y61" s="10">
        <v>45352</v>
      </c>
      <c r="Z61" s="134" t="s">
        <v>222</v>
      </c>
      <c r="AA61" s="132">
        <v>0</v>
      </c>
      <c r="AB61" s="132">
        <v>0</v>
      </c>
      <c r="AC61" s="132">
        <v>1</v>
      </c>
      <c r="AD61" s="132">
        <v>0</v>
      </c>
      <c r="AE61" s="56" t="s">
        <v>223</v>
      </c>
      <c r="AF61" s="12" t="s">
        <v>224</v>
      </c>
      <c r="AG61" s="12" t="s">
        <v>225</v>
      </c>
      <c r="AH61" s="195">
        <v>24408</v>
      </c>
      <c r="AI61" s="196" t="s">
        <v>220</v>
      </c>
      <c r="AJ61" s="197">
        <f>1.1458*AH61</f>
        <v>27966.686399999999</v>
      </c>
      <c r="AK61" s="198">
        <v>2058</v>
      </c>
      <c r="AL61" s="198">
        <f>AK61*12</f>
        <v>24696</v>
      </c>
      <c r="AM61" s="118">
        <f t="shared" ref="AM61:AM64" si="180">T61-$AJ$61</f>
        <v>-14599.676399999998</v>
      </c>
      <c r="AN61" s="118">
        <f t="shared" ref="AN61:AN64" si="181">T61-$AL$61</f>
        <v>-11328.99</v>
      </c>
      <c r="AO61" s="118">
        <f t="shared" ref="AO61:AO64" si="182">AN61-12000</f>
        <v>-23328.989999999998</v>
      </c>
      <c r="AP61" s="15">
        <f>S61-O61-AJ61</f>
        <v>-37148.216399999998</v>
      </c>
      <c r="AQ61" s="15">
        <f>S61-O61-AL61</f>
        <v>-33877.53</v>
      </c>
      <c r="AR61" s="15">
        <f t="shared" ref="AR61:AR64" si="183">AQ61-12000</f>
        <v>-45877.53</v>
      </c>
    </row>
    <row r="62" spans="1:44" ht="11.25" customHeight="1">
      <c r="A62" s="149" t="s">
        <v>220</v>
      </c>
      <c r="B62" s="189">
        <v>1379</v>
      </c>
      <c r="C62" s="189">
        <v>334</v>
      </c>
      <c r="D62" s="149" t="s">
        <v>178</v>
      </c>
      <c r="E62" s="149" t="s">
        <v>220</v>
      </c>
      <c r="F62" s="190" t="s">
        <v>47</v>
      </c>
      <c r="G62" s="191" t="s">
        <v>116</v>
      </c>
      <c r="H62" s="130" t="s">
        <v>58</v>
      </c>
      <c r="I62" s="21"/>
      <c r="J62" s="118">
        <f>3*2122.2</f>
        <v>6366.5999999999995</v>
      </c>
      <c r="K62" s="118">
        <f t="shared" si="175"/>
        <v>1934.8600000000004</v>
      </c>
      <c r="L62" s="119">
        <f t="shared" si="176"/>
        <v>8301.4599999999991</v>
      </c>
      <c r="M62" s="118">
        <f>5825.85*3</f>
        <v>17477.550000000003</v>
      </c>
      <c r="N62" s="118">
        <f t="shared" si="177"/>
        <v>2690.8600000000006</v>
      </c>
      <c r="O62" s="119">
        <f t="shared" si="178"/>
        <v>20168.410000000003</v>
      </c>
      <c r="P62" s="132" t="s">
        <v>226</v>
      </c>
      <c r="Q62" s="132" t="s">
        <v>51</v>
      </c>
      <c r="R62" s="132">
        <v>4</v>
      </c>
      <c r="S62" s="132">
        <v>22672</v>
      </c>
      <c r="T62" s="119">
        <f t="shared" si="179"/>
        <v>14370.54</v>
      </c>
      <c r="W62" s="132" t="s">
        <v>221</v>
      </c>
      <c r="X62" s="132"/>
      <c r="Y62" s="10">
        <v>45352</v>
      </c>
      <c r="Z62" s="134" t="s">
        <v>222</v>
      </c>
      <c r="AA62" s="132">
        <v>0</v>
      </c>
      <c r="AB62" s="132">
        <v>0</v>
      </c>
      <c r="AC62" s="132">
        <v>1</v>
      </c>
      <c r="AD62" s="132">
        <v>0</v>
      </c>
      <c r="AE62" s="56" t="s">
        <v>227</v>
      </c>
      <c r="AF62" s="12"/>
      <c r="AG62" s="12"/>
      <c r="AH62" s="195">
        <v>24408</v>
      </c>
      <c r="AI62" s="196" t="s">
        <v>220</v>
      </c>
      <c r="AJ62" s="197">
        <f t="shared" ref="AJ62:AJ64" si="184">1.1458*AH62</f>
        <v>27966.686399999999</v>
      </c>
      <c r="AK62" s="198">
        <v>2058</v>
      </c>
      <c r="AL62" s="198">
        <f t="shared" ref="AL62:AL64" si="185">AK62*12</f>
        <v>24696</v>
      </c>
      <c r="AM62" s="118">
        <f t="shared" si="180"/>
        <v>-13596.146399999998</v>
      </c>
      <c r="AN62" s="118">
        <f t="shared" si="181"/>
        <v>-10325.459999999999</v>
      </c>
      <c r="AO62" s="118">
        <f t="shared" si="182"/>
        <v>-22325.46</v>
      </c>
      <c r="AP62" s="15">
        <f>S62-O62+9000-AJ61</f>
        <v>-16463.096400000002</v>
      </c>
      <c r="AQ62" s="15">
        <f>S62-O62+9000-AL61</f>
        <v>-13192.410000000003</v>
      </c>
      <c r="AR62" s="15">
        <f t="shared" si="183"/>
        <v>-25192.410000000003</v>
      </c>
    </row>
    <row r="63" spans="1:44" ht="11.25" customHeight="1">
      <c r="A63" s="149" t="s">
        <v>220</v>
      </c>
      <c r="B63" s="189">
        <v>1379</v>
      </c>
      <c r="C63" s="189">
        <v>334</v>
      </c>
      <c r="D63" s="149" t="s">
        <v>178</v>
      </c>
      <c r="E63" s="149" t="s">
        <v>220</v>
      </c>
      <c r="F63" s="149" t="s">
        <v>59</v>
      </c>
      <c r="G63" s="191" t="s">
        <v>101</v>
      </c>
      <c r="H63" s="130" t="s">
        <v>49</v>
      </c>
      <c r="I63" s="199" t="s">
        <v>228</v>
      </c>
      <c r="J63" s="118">
        <f>3*2456.71</f>
        <v>7370.13</v>
      </c>
      <c r="K63" s="118">
        <f t="shared" si="175"/>
        <v>1934.8600000000004</v>
      </c>
      <c r="L63" s="119">
        <f t="shared" si="176"/>
        <v>9304.99</v>
      </c>
      <c r="M63" s="118">
        <f>3*9720.89</f>
        <v>29162.67</v>
      </c>
      <c r="N63" s="118">
        <f t="shared" si="177"/>
        <v>2690.8600000000006</v>
      </c>
      <c r="O63" s="119">
        <f t="shared" si="178"/>
        <v>31853.53</v>
      </c>
      <c r="P63" s="132"/>
      <c r="Q63" s="132" t="s">
        <v>51</v>
      </c>
      <c r="R63" s="18">
        <v>2</v>
      </c>
      <c r="S63" s="18">
        <f>12076+10800</f>
        <v>22876</v>
      </c>
      <c r="T63" s="19">
        <f t="shared" si="179"/>
        <v>13571.01</v>
      </c>
      <c r="U63" s="18">
        <f>12076+10800</f>
        <v>22876</v>
      </c>
      <c r="V63" s="19">
        <f>U63-O63</f>
        <v>-8977.5299999999988</v>
      </c>
      <c r="W63" s="132"/>
      <c r="X63" s="132"/>
      <c r="Y63" s="10">
        <v>45352</v>
      </c>
      <c r="Z63" s="134" t="s">
        <v>222</v>
      </c>
      <c r="AA63" s="210" t="s">
        <v>229</v>
      </c>
      <c r="AE63" s="200" t="s">
        <v>230</v>
      </c>
      <c r="AF63" s="12" t="s">
        <v>224</v>
      </c>
      <c r="AG63" s="12"/>
      <c r="AH63" s="195">
        <v>24408</v>
      </c>
      <c r="AI63" s="196" t="s">
        <v>220</v>
      </c>
      <c r="AJ63" s="197">
        <f t="shared" si="184"/>
        <v>27966.686399999999</v>
      </c>
      <c r="AK63" s="198">
        <v>2058</v>
      </c>
      <c r="AL63" s="198">
        <f t="shared" si="185"/>
        <v>24696</v>
      </c>
      <c r="AM63" s="118">
        <f t="shared" si="180"/>
        <v>-14395.676399999998</v>
      </c>
      <c r="AN63" s="118">
        <f t="shared" si="181"/>
        <v>-11124.99</v>
      </c>
      <c r="AO63" s="118">
        <f t="shared" si="182"/>
        <v>-23124.989999999998</v>
      </c>
      <c r="AP63" s="118">
        <f t="shared" ref="AP63:AP64" si="186">V63-$AJ$61</f>
        <v>-36944.216399999998</v>
      </c>
      <c r="AQ63" s="118">
        <f>V63-AL61</f>
        <v>-33673.53</v>
      </c>
      <c r="AR63" s="118">
        <f t="shared" si="183"/>
        <v>-45673.53</v>
      </c>
    </row>
    <row r="64" spans="1:44" ht="11.25" customHeight="1">
      <c r="A64" s="149" t="s">
        <v>220</v>
      </c>
      <c r="B64" s="189">
        <v>1379</v>
      </c>
      <c r="C64" s="189">
        <v>334</v>
      </c>
      <c r="D64" s="149" t="s">
        <v>178</v>
      </c>
      <c r="E64" s="149" t="s">
        <v>220</v>
      </c>
      <c r="F64" s="149" t="s">
        <v>59</v>
      </c>
      <c r="G64" s="191" t="s">
        <v>101</v>
      </c>
      <c r="H64" s="130" t="s">
        <v>58</v>
      </c>
      <c r="J64" s="118">
        <f>2122.2*3</f>
        <v>6366.5999999999995</v>
      </c>
      <c r="K64" s="118">
        <f t="shared" si="175"/>
        <v>1934.8600000000004</v>
      </c>
      <c r="L64" s="119">
        <f t="shared" si="176"/>
        <v>8301.4599999999991</v>
      </c>
      <c r="M64" s="118">
        <f>5825.85*3</f>
        <v>17477.550000000003</v>
      </c>
      <c r="N64" s="118">
        <f t="shared" si="177"/>
        <v>2690.8600000000006</v>
      </c>
      <c r="O64" s="119">
        <f t="shared" si="178"/>
        <v>20168.410000000003</v>
      </c>
      <c r="P64" s="132" t="s">
        <v>226</v>
      </c>
      <c r="Q64" s="132" t="s">
        <v>51</v>
      </c>
      <c r="R64" s="18">
        <v>5</v>
      </c>
      <c r="S64" s="18">
        <f>12076+13600</f>
        <v>25676</v>
      </c>
      <c r="T64" s="19">
        <f t="shared" si="179"/>
        <v>17374.54</v>
      </c>
      <c r="U64" s="18">
        <f>12076+13600</f>
        <v>25676</v>
      </c>
      <c r="V64" s="19">
        <f>U64-O64+3000*3</f>
        <v>14507.589999999997</v>
      </c>
      <c r="W64" s="132"/>
      <c r="X64" s="132"/>
      <c r="Y64" s="10">
        <v>45352</v>
      </c>
      <c r="Z64" s="134" t="s">
        <v>222</v>
      </c>
      <c r="AF64" s="12"/>
      <c r="AG64" s="12"/>
      <c r="AH64" s="195">
        <v>24408</v>
      </c>
      <c r="AI64" s="196" t="s">
        <v>220</v>
      </c>
      <c r="AJ64" s="197">
        <f t="shared" si="184"/>
        <v>27966.686399999999</v>
      </c>
      <c r="AK64" s="198">
        <v>2058</v>
      </c>
      <c r="AL64" s="198">
        <f t="shared" si="185"/>
        <v>24696</v>
      </c>
      <c r="AM64" s="118">
        <f t="shared" si="180"/>
        <v>-10592.146399999998</v>
      </c>
      <c r="AN64" s="118">
        <f t="shared" si="181"/>
        <v>-7321.4599999999991</v>
      </c>
      <c r="AO64" s="118">
        <f t="shared" si="182"/>
        <v>-19321.46</v>
      </c>
      <c r="AP64" s="118">
        <f t="shared" si="186"/>
        <v>-13459.096400000002</v>
      </c>
      <c r="AQ64" s="118">
        <f>V64-AL61</f>
        <v>-10188.410000000003</v>
      </c>
      <c r="AR64" s="118">
        <f t="shared" si="183"/>
        <v>-22188.410000000003</v>
      </c>
    </row>
    <row r="65" spans="1:44" ht="11.25" customHeight="1">
      <c r="A65" s="47" t="s">
        <v>231</v>
      </c>
      <c r="B65" s="189">
        <v>114</v>
      </c>
      <c r="C65" s="189">
        <v>120</v>
      </c>
      <c r="D65" s="149" t="s">
        <v>163</v>
      </c>
      <c r="E65" s="149" t="s">
        <v>232</v>
      </c>
      <c r="F65" s="190" t="s">
        <v>47</v>
      </c>
      <c r="G65" s="191" t="s">
        <v>233</v>
      </c>
      <c r="H65" s="130" t="s">
        <v>49</v>
      </c>
      <c r="I65" s="203" t="s">
        <v>234</v>
      </c>
      <c r="J65" s="118">
        <f>7005-641.5</f>
        <v>6363.5</v>
      </c>
      <c r="K65" s="118">
        <f>329+231+165+10</f>
        <v>735</v>
      </c>
      <c r="L65" s="119">
        <f t="shared" ref="L65:L66" si="187">J65+K65</f>
        <v>7098.5</v>
      </c>
      <c r="M65" s="118">
        <v>14750.52</v>
      </c>
      <c r="N65" s="118">
        <f>329+775+165+10</f>
        <v>1279</v>
      </c>
      <c r="O65" s="119">
        <f t="shared" ref="O65:O66" si="188">M65+N65</f>
        <v>16029.52</v>
      </c>
      <c r="P65" s="132"/>
      <c r="Q65" s="132" t="s">
        <v>51</v>
      </c>
      <c r="R65" s="132">
        <v>2</v>
      </c>
      <c r="S65" s="132">
        <v>20000</v>
      </c>
      <c r="T65" s="119">
        <f t="shared" ref="T65:T66" si="189">S65-L65</f>
        <v>12901.5</v>
      </c>
      <c r="U65" s="204"/>
      <c r="W65" s="132"/>
      <c r="X65" s="132"/>
      <c r="Y65" s="10">
        <v>45355</v>
      </c>
      <c r="Z65" s="134" t="s">
        <v>235</v>
      </c>
      <c r="AA65" s="132">
        <v>1</v>
      </c>
      <c r="AB65" s="132">
        <v>1.5</v>
      </c>
      <c r="AC65" s="209" t="s">
        <v>185</v>
      </c>
      <c r="AE65" s="56"/>
      <c r="AF65" s="12" t="s">
        <v>236</v>
      </c>
      <c r="AG65" s="12" t="s">
        <v>237</v>
      </c>
      <c r="AH65" s="195">
        <v>21868</v>
      </c>
      <c r="AI65" s="196" t="s">
        <v>238</v>
      </c>
      <c r="AJ65" s="197">
        <f>1.1458*AH65</f>
        <v>25056.3544</v>
      </c>
      <c r="AK65" s="202"/>
      <c r="AM65" s="118">
        <f t="shared" ref="AM65:AM66" si="190">T65-$AJ$65</f>
        <v>-12154.8544</v>
      </c>
      <c r="AN65" s="208"/>
      <c r="AP65" s="48">
        <f>S65-O65-AJ65</f>
        <v>-21085.874400000001</v>
      </c>
      <c r="AQ65" s="208"/>
    </row>
    <row r="66" spans="1:44" ht="11.25" customHeight="1">
      <c r="A66" s="47" t="s">
        <v>231</v>
      </c>
      <c r="B66" s="189">
        <v>114</v>
      </c>
      <c r="C66" s="189">
        <v>120</v>
      </c>
      <c r="D66" s="149" t="s">
        <v>163</v>
      </c>
      <c r="E66" s="149" t="s">
        <v>232</v>
      </c>
      <c r="F66" s="190" t="s">
        <v>47</v>
      </c>
      <c r="G66" s="191" t="s">
        <v>233</v>
      </c>
      <c r="H66" s="130" t="s">
        <v>58</v>
      </c>
      <c r="J66" s="118">
        <v>10847</v>
      </c>
      <c r="K66" s="118">
        <f>370+329+231+165</f>
        <v>1095</v>
      </c>
      <c r="L66" s="119">
        <f t="shared" si="187"/>
        <v>11942</v>
      </c>
      <c r="M66" s="118">
        <v>24620</v>
      </c>
      <c r="N66" s="118">
        <f>370+329+775+165</f>
        <v>1639</v>
      </c>
      <c r="O66" s="119">
        <f t="shared" si="188"/>
        <v>26259</v>
      </c>
      <c r="P66" s="132"/>
      <c r="Q66" s="132" t="s">
        <v>51</v>
      </c>
      <c r="R66" s="132">
        <v>2</v>
      </c>
      <c r="S66" s="132">
        <v>20000</v>
      </c>
      <c r="T66" s="119">
        <f t="shared" si="189"/>
        <v>8058</v>
      </c>
      <c r="W66" s="132"/>
      <c r="X66" s="132"/>
      <c r="Y66" s="10">
        <v>45355</v>
      </c>
      <c r="Z66" s="134" t="s">
        <v>235</v>
      </c>
      <c r="AA66" s="132">
        <v>1</v>
      </c>
      <c r="AB66" s="132">
        <v>1.5</v>
      </c>
      <c r="AE66" s="56"/>
      <c r="AF66" s="12" t="s">
        <v>236</v>
      </c>
      <c r="AG66" s="12" t="s">
        <v>237</v>
      </c>
      <c r="AH66" s="195">
        <v>21868</v>
      </c>
      <c r="AI66" s="196" t="s">
        <v>238</v>
      </c>
      <c r="AJ66" s="197">
        <f t="shared" ref="AJ66" si="191">1.1458*AH66</f>
        <v>25056.3544</v>
      </c>
      <c r="AM66" s="118">
        <f t="shared" si="190"/>
        <v>-16998.3544</v>
      </c>
      <c r="AP66" s="48">
        <f>S66-O66-AJ65</f>
        <v>-31315.3544</v>
      </c>
    </row>
    <row r="67" spans="1:44" ht="11.25" customHeight="1">
      <c r="A67" s="47" t="s">
        <v>239</v>
      </c>
      <c r="B67" s="189">
        <v>179</v>
      </c>
      <c r="C67" s="189">
        <v>54</v>
      </c>
      <c r="D67" s="149" t="s">
        <v>163</v>
      </c>
      <c r="E67" s="149" t="s">
        <v>164</v>
      </c>
      <c r="F67" s="149" t="s">
        <v>59</v>
      </c>
      <c r="G67" s="191" t="s">
        <v>240</v>
      </c>
      <c r="H67" s="130" t="s">
        <v>49</v>
      </c>
      <c r="I67" s="17" t="s">
        <v>241</v>
      </c>
      <c r="J67" s="118">
        <v>6591</v>
      </c>
      <c r="K67" s="118">
        <f t="shared" ref="K67:K68" si="192">1343+370</f>
        <v>1713</v>
      </c>
      <c r="L67" s="119">
        <f t="shared" ref="L67:L68" si="193">J67+K67</f>
        <v>8304</v>
      </c>
      <c r="M67" s="118">
        <v>14596</v>
      </c>
      <c r="N67" s="118">
        <f t="shared" ref="N67:N68" si="194">1343+1405</f>
        <v>2748</v>
      </c>
      <c r="O67" s="119">
        <f t="shared" ref="O67:O68" si="195">M67+N67</f>
        <v>17344</v>
      </c>
      <c r="P67" s="132"/>
      <c r="Q67" s="132"/>
      <c r="R67" s="18"/>
      <c r="S67" s="208"/>
      <c r="W67" s="132"/>
      <c r="X67" s="132"/>
      <c r="Y67" s="134"/>
      <c r="Z67" s="134"/>
      <c r="AA67" s="132">
        <v>1</v>
      </c>
      <c r="AB67" s="132">
        <v>2</v>
      </c>
      <c r="AC67" s="132">
        <v>0</v>
      </c>
      <c r="AD67" s="132">
        <v>0</v>
      </c>
      <c r="AE67" s="20"/>
      <c r="AF67" s="12" t="s">
        <v>242</v>
      </c>
      <c r="AG67" s="12"/>
      <c r="AH67" s="195">
        <v>23264</v>
      </c>
      <c r="AI67" s="196" t="s">
        <v>164</v>
      </c>
      <c r="AJ67" s="197">
        <f>1.1458*AH67</f>
        <v>26655.891199999998</v>
      </c>
      <c r="AK67" s="198">
        <v>1909</v>
      </c>
      <c r="AL67" s="198">
        <f>AK67*12</f>
        <v>22908</v>
      </c>
      <c r="AM67" s="208"/>
    </row>
    <row r="68" spans="1:44" ht="11.25" customHeight="1">
      <c r="A68" s="47" t="s">
        <v>239</v>
      </c>
      <c r="B68" s="189">
        <v>179</v>
      </c>
      <c r="C68" s="189">
        <v>54</v>
      </c>
      <c r="D68" s="149" t="s">
        <v>163</v>
      </c>
      <c r="E68" s="149" t="s">
        <v>164</v>
      </c>
      <c r="F68" s="149" t="s">
        <v>59</v>
      </c>
      <c r="G68" s="191" t="s">
        <v>240</v>
      </c>
      <c r="H68" s="130" t="s">
        <v>58</v>
      </c>
      <c r="I68" s="21" t="s">
        <v>241</v>
      </c>
      <c r="J68" s="118">
        <v>5909</v>
      </c>
      <c r="K68" s="118">
        <f t="shared" si="192"/>
        <v>1713</v>
      </c>
      <c r="L68" s="119">
        <f t="shared" si="193"/>
        <v>7622</v>
      </c>
      <c r="M68" s="118">
        <v>10955</v>
      </c>
      <c r="N68" s="118">
        <f t="shared" si="194"/>
        <v>2748</v>
      </c>
      <c r="O68" s="119">
        <f t="shared" si="195"/>
        <v>13703</v>
      </c>
      <c r="P68" s="132"/>
      <c r="Q68" s="132"/>
      <c r="R68" s="18"/>
      <c r="W68" s="132"/>
      <c r="X68" s="132"/>
      <c r="Y68" s="134"/>
      <c r="Z68" s="134"/>
      <c r="AA68" s="132">
        <v>1</v>
      </c>
      <c r="AB68" s="132">
        <v>2</v>
      </c>
      <c r="AC68" s="132">
        <v>0</v>
      </c>
      <c r="AD68" s="132">
        <v>0</v>
      </c>
      <c r="AE68" s="56"/>
      <c r="AF68" s="12" t="s">
        <v>242</v>
      </c>
      <c r="AG68" s="12"/>
      <c r="AH68" s="195">
        <v>23264</v>
      </c>
      <c r="AI68" s="196" t="s">
        <v>164</v>
      </c>
      <c r="AJ68" s="197">
        <f t="shared" ref="AJ68" si="196">1.1458*AH68</f>
        <v>26655.891199999998</v>
      </c>
      <c r="AK68" s="198">
        <v>1909</v>
      </c>
      <c r="AL68" s="198">
        <f t="shared" ref="AL68" si="197">AK68*12</f>
        <v>22908</v>
      </c>
    </row>
    <row r="69" spans="1:44" ht="11.25" customHeight="1">
      <c r="A69" s="47" t="s">
        <v>243</v>
      </c>
      <c r="B69" s="189">
        <v>231</v>
      </c>
      <c r="C69" s="189">
        <v>26</v>
      </c>
      <c r="D69" s="149" t="s">
        <v>178</v>
      </c>
      <c r="E69" s="149" t="s">
        <v>244</v>
      </c>
      <c r="F69" s="149" t="s">
        <v>59</v>
      </c>
      <c r="G69" s="191" t="s">
        <v>245</v>
      </c>
      <c r="H69" s="130" t="s">
        <v>49</v>
      </c>
      <c r="I69" s="17" t="s">
        <v>246</v>
      </c>
      <c r="J69" s="118">
        <v>7579.3</v>
      </c>
      <c r="K69" s="118">
        <f t="shared" ref="K69:K70" si="198">72.99+123.27+28.41+69.57+15.9+95.22+32.27+21.52+71.61+35.19+89.67+19.92+7.05+160.29+147.42+13.05+11.91+24.38+111.66+179.94+82.11+9.96+2.88+5.49+4.64+13.38+33+450.15+290.33</f>
        <v>2223.1800000000003</v>
      </c>
      <c r="L69" s="119">
        <f t="shared" ref="L69:L70" si="199">J69+K69</f>
        <v>9802.48</v>
      </c>
      <c r="M69" s="118">
        <v>20124.3</v>
      </c>
      <c r="N69" s="49">
        <f t="shared" ref="N69:N70" si="200">72.99+123.27+28.41+69.57+15.9+95.22+32.27+21.52+71.61+35.19+89.67+19.92+7.05+160.29+147.42+13.05+11.91+24.38+111.66+179.94+82.11+9.96+2.88+5.49+4.64+13.38+33+450.15+290.33+756</f>
        <v>2979.1800000000003</v>
      </c>
      <c r="O69" s="119">
        <f t="shared" ref="O69:O70" si="201">M69+N69</f>
        <v>23103.48</v>
      </c>
      <c r="P69" s="132"/>
      <c r="Q69" s="132" t="s">
        <v>51</v>
      </c>
      <c r="R69" s="18"/>
      <c r="S69" s="18">
        <v>16000</v>
      </c>
      <c r="T69" s="19">
        <f t="shared" ref="T69:T70" si="202">S69-L69</f>
        <v>6197.52</v>
      </c>
      <c r="U69" s="48"/>
      <c r="V69" s="48"/>
      <c r="W69" s="132"/>
      <c r="X69" s="132"/>
      <c r="Y69" s="134"/>
      <c r="Z69" s="134"/>
      <c r="AA69" s="132">
        <v>0</v>
      </c>
      <c r="AB69" s="132">
        <v>1.5</v>
      </c>
      <c r="AC69" s="132">
        <v>1</v>
      </c>
      <c r="AD69" s="132">
        <v>0</v>
      </c>
      <c r="AE69" s="20"/>
      <c r="AF69" s="12" t="s">
        <v>247</v>
      </c>
      <c r="AG69" s="12" t="s">
        <v>248</v>
      </c>
      <c r="AH69" s="195">
        <v>22170</v>
      </c>
      <c r="AI69" s="196" t="s">
        <v>249</v>
      </c>
      <c r="AJ69" s="197">
        <f>1.1458*AH69</f>
        <v>25402.385999999999</v>
      </c>
      <c r="AK69" s="198">
        <v>1860</v>
      </c>
      <c r="AL69" s="198">
        <f>AK69*12</f>
        <v>22320</v>
      </c>
      <c r="AM69" s="118">
        <f t="shared" ref="AM69:AM70" si="203">T69-$AJ$69</f>
        <v>-19204.865999999998</v>
      </c>
      <c r="AN69" s="118">
        <f t="shared" ref="AN69:AN70" si="204">T69-$AL$69</f>
        <v>-16122.48</v>
      </c>
      <c r="AO69" s="118">
        <f t="shared" ref="AO69:AO70" si="205">AN69-12000</f>
        <v>-28122.48</v>
      </c>
      <c r="AP69" s="15">
        <f t="shared" ref="AP69:AP70" si="206">S69-O69-$AJ$69</f>
        <v>-32505.865999999998</v>
      </c>
      <c r="AQ69" s="33">
        <f t="shared" ref="AQ69:AQ70" si="207">S69-O69-$AL$69</f>
        <v>-29423.48</v>
      </c>
      <c r="AR69" s="15">
        <f t="shared" ref="AR69:AR70" si="208">AQ69-12000</f>
        <v>-41423.479999999996</v>
      </c>
    </row>
    <row r="70" spans="1:44" ht="11.25" customHeight="1">
      <c r="A70" s="47" t="s">
        <v>243</v>
      </c>
      <c r="B70" s="189">
        <v>231</v>
      </c>
      <c r="C70" s="189">
        <v>26</v>
      </c>
      <c r="D70" s="149" t="s">
        <v>178</v>
      </c>
      <c r="E70" s="149" t="s">
        <v>244</v>
      </c>
      <c r="F70" s="149" t="s">
        <v>59</v>
      </c>
      <c r="G70" s="191" t="s">
        <v>245</v>
      </c>
      <c r="H70" s="130" t="s">
        <v>58</v>
      </c>
      <c r="I70" s="21" t="s">
        <v>246</v>
      </c>
      <c r="J70" s="118">
        <v>7579.3</v>
      </c>
      <c r="K70" s="118">
        <f t="shared" si="198"/>
        <v>2223.1800000000003</v>
      </c>
      <c r="L70" s="119">
        <f t="shared" si="199"/>
        <v>9802.48</v>
      </c>
      <c r="M70" s="118">
        <v>19166</v>
      </c>
      <c r="N70" s="49">
        <f t="shared" si="200"/>
        <v>2979.1800000000003</v>
      </c>
      <c r="O70" s="119">
        <f t="shared" si="201"/>
        <v>22145.18</v>
      </c>
      <c r="P70" s="132"/>
      <c r="Q70" s="132" t="s">
        <v>51</v>
      </c>
      <c r="R70" s="18"/>
      <c r="S70" s="18">
        <v>18000</v>
      </c>
      <c r="T70" s="19">
        <f t="shared" si="202"/>
        <v>8197.52</v>
      </c>
      <c r="U70" s="48"/>
      <c r="V70" s="48"/>
      <c r="W70" s="132"/>
      <c r="X70" s="132"/>
      <c r="Y70" s="134"/>
      <c r="Z70" s="134"/>
      <c r="AA70" s="132">
        <v>0</v>
      </c>
      <c r="AB70" s="132">
        <v>1.5</v>
      </c>
      <c r="AC70" s="132">
        <v>1</v>
      </c>
      <c r="AD70" s="132">
        <v>0</v>
      </c>
      <c r="AE70" s="56"/>
      <c r="AF70" s="12" t="s">
        <v>247</v>
      </c>
      <c r="AG70" s="12" t="s">
        <v>248</v>
      </c>
      <c r="AH70" s="195">
        <v>22170</v>
      </c>
      <c r="AI70" s="196" t="s">
        <v>249</v>
      </c>
      <c r="AJ70" s="197">
        <f t="shared" ref="AJ70" si="209">1.1458*AH70</f>
        <v>25402.385999999999</v>
      </c>
      <c r="AK70" s="198">
        <v>1860</v>
      </c>
      <c r="AL70" s="198">
        <f t="shared" ref="AL70" si="210">AK70*12</f>
        <v>22320</v>
      </c>
      <c r="AM70" s="118">
        <f t="shared" si="203"/>
        <v>-17204.865999999998</v>
      </c>
      <c r="AN70" s="118">
        <f t="shared" si="204"/>
        <v>-14122.48</v>
      </c>
      <c r="AO70" s="118">
        <f t="shared" si="205"/>
        <v>-26122.48</v>
      </c>
      <c r="AP70" s="15">
        <f t="shared" si="206"/>
        <v>-29547.565999999999</v>
      </c>
      <c r="AQ70" s="33">
        <f t="shared" si="207"/>
        <v>-26465.18</v>
      </c>
      <c r="AR70" s="15">
        <f t="shared" si="208"/>
        <v>-38465.18</v>
      </c>
    </row>
    <row r="71" spans="1:44" ht="11.25" customHeight="1">
      <c r="A71" s="149" t="s">
        <v>250</v>
      </c>
      <c r="B71" s="189">
        <v>740</v>
      </c>
      <c r="C71" s="189">
        <v>361</v>
      </c>
      <c r="D71" s="149" t="s">
        <v>178</v>
      </c>
      <c r="E71" s="149" t="s">
        <v>220</v>
      </c>
      <c r="F71" s="190" t="s">
        <v>47</v>
      </c>
      <c r="G71" s="191" t="s">
        <v>116</v>
      </c>
      <c r="H71" s="130" t="s">
        <v>49</v>
      </c>
      <c r="I71" s="25" t="s">
        <v>251</v>
      </c>
      <c r="J71" s="118">
        <f>2614*3</f>
        <v>7842</v>
      </c>
      <c r="K71" s="118">
        <f t="shared" ref="K71:K74" si="211">437.4+(229.07+104.02+38.87)*2+(38.74+20.32+15.66+14.15+9.7+8.53+8.06+7.48+6.92+5.29+4.28+4.17+3.93+3+3+2.27+2.15+2.04+1.38+1.31+0.6+0.5)*3+223.48+107.87+40.31</f>
        <v>2043.4199999999996</v>
      </c>
      <c r="L71" s="119">
        <f t="shared" ref="L71:L74" si="212">J71+K71</f>
        <v>9885.42</v>
      </c>
      <c r="M71" s="118">
        <f>8634*3</f>
        <v>25902</v>
      </c>
      <c r="N71" s="118">
        <f t="shared" ref="N71:N74" si="213">437.4+(229.07+104.02+38.87)*2+(38.74+20.32+15.66+14.15+9.7+8.53+8.06+7.48+6.92+5.29+4.28+4.17+3.93+3+3+2.27+2.15+2.04+1.38+1.31+0.6+0.5)*3+223.48+107.87+40.31+756</f>
        <v>2799.4199999999996</v>
      </c>
      <c r="O71" s="119">
        <f t="shared" ref="O71:O74" si="214">M71+N71</f>
        <v>28701.42</v>
      </c>
      <c r="P71" s="132"/>
      <c r="Q71" s="132"/>
      <c r="R71" s="132"/>
      <c r="S71" s="208"/>
      <c r="W71" s="132" t="s">
        <v>252</v>
      </c>
      <c r="X71" s="132" t="s">
        <v>189</v>
      </c>
      <c r="Y71" s="10">
        <v>45335</v>
      </c>
      <c r="Z71" s="42">
        <v>45017</v>
      </c>
      <c r="AA71" s="132">
        <v>1</v>
      </c>
      <c r="AB71" s="132">
        <v>1.5</v>
      </c>
      <c r="AC71" s="132">
        <v>1</v>
      </c>
      <c r="AD71" s="132">
        <v>0</v>
      </c>
      <c r="AE71" s="56" t="s">
        <v>253</v>
      </c>
      <c r="AF71" s="23" t="s">
        <v>254</v>
      </c>
      <c r="AG71" s="12"/>
      <c r="AH71" s="195">
        <v>24408</v>
      </c>
      <c r="AI71" s="196" t="s">
        <v>255</v>
      </c>
      <c r="AJ71" s="197">
        <f>1.1458*AH71</f>
        <v>27966.686399999999</v>
      </c>
      <c r="AK71" s="198">
        <v>2058</v>
      </c>
      <c r="AL71" s="198">
        <f>AK71*12</f>
        <v>24696</v>
      </c>
      <c r="AM71" s="208"/>
    </row>
    <row r="72" spans="1:44" ht="11.25" customHeight="1">
      <c r="A72" s="149" t="s">
        <v>250</v>
      </c>
      <c r="B72" s="189">
        <v>740</v>
      </c>
      <c r="C72" s="189">
        <v>361</v>
      </c>
      <c r="D72" s="149" t="s">
        <v>178</v>
      </c>
      <c r="E72" s="149" t="s">
        <v>220</v>
      </c>
      <c r="F72" s="190" t="s">
        <v>47</v>
      </c>
      <c r="G72" s="191" t="s">
        <v>116</v>
      </c>
      <c r="H72" s="130" t="s">
        <v>58</v>
      </c>
      <c r="I72" s="25" t="s">
        <v>251</v>
      </c>
      <c r="J72" s="50">
        <f>2476*3</f>
        <v>7428</v>
      </c>
      <c r="K72" s="118">
        <f t="shared" si="211"/>
        <v>2043.4199999999996</v>
      </c>
      <c r="L72" s="119">
        <f t="shared" si="212"/>
        <v>9471.42</v>
      </c>
      <c r="M72" s="118">
        <f>6530*3</f>
        <v>19590</v>
      </c>
      <c r="N72" s="118">
        <f t="shared" si="213"/>
        <v>2799.4199999999996</v>
      </c>
      <c r="O72" s="119">
        <f t="shared" si="214"/>
        <v>22389.42</v>
      </c>
      <c r="P72" s="132"/>
      <c r="Q72" s="132"/>
      <c r="R72" s="132"/>
      <c r="W72" s="132" t="s">
        <v>252</v>
      </c>
      <c r="X72" s="132" t="s">
        <v>189</v>
      </c>
      <c r="Y72" s="10">
        <v>45335</v>
      </c>
      <c r="Z72" s="42">
        <v>45017</v>
      </c>
      <c r="AA72" s="132">
        <v>1</v>
      </c>
      <c r="AB72" s="132">
        <v>1.5</v>
      </c>
      <c r="AC72" s="132">
        <v>1</v>
      </c>
      <c r="AD72" s="132">
        <v>0</v>
      </c>
      <c r="AE72" s="56" t="s">
        <v>256</v>
      </c>
      <c r="AF72" s="23" t="s">
        <v>254</v>
      </c>
      <c r="AG72" s="12"/>
      <c r="AH72" s="195">
        <v>24408</v>
      </c>
      <c r="AI72" s="196" t="s">
        <v>255</v>
      </c>
      <c r="AJ72" s="197">
        <f t="shared" ref="AJ72:AJ74" si="215">1.1458*AH72</f>
        <v>27966.686399999999</v>
      </c>
      <c r="AK72" s="198">
        <v>2058</v>
      </c>
      <c r="AL72" s="198">
        <f t="shared" ref="AL72:AL74" si="216">AK72*12</f>
        <v>24696</v>
      </c>
    </row>
    <row r="73" spans="1:44" ht="11.25" customHeight="1">
      <c r="A73" s="149" t="s">
        <v>250</v>
      </c>
      <c r="B73" s="189">
        <v>740</v>
      </c>
      <c r="C73" s="189">
        <v>361</v>
      </c>
      <c r="D73" s="149" t="s">
        <v>178</v>
      </c>
      <c r="E73" s="149" t="s">
        <v>220</v>
      </c>
      <c r="F73" s="149" t="s">
        <v>59</v>
      </c>
      <c r="G73" s="191" t="s">
        <v>59</v>
      </c>
      <c r="H73" s="130" t="s">
        <v>49</v>
      </c>
      <c r="I73" s="17" t="s">
        <v>257</v>
      </c>
      <c r="J73" s="118">
        <f>2614*3</f>
        <v>7842</v>
      </c>
      <c r="K73" s="118">
        <f t="shared" si="211"/>
        <v>2043.4199999999996</v>
      </c>
      <c r="L73" s="119">
        <f t="shared" si="212"/>
        <v>9885.42</v>
      </c>
      <c r="M73" s="118">
        <f>8634*3</f>
        <v>25902</v>
      </c>
      <c r="N73" s="118">
        <f t="shared" si="213"/>
        <v>2799.4199999999996</v>
      </c>
      <c r="O73" s="119">
        <f t="shared" si="214"/>
        <v>28701.42</v>
      </c>
      <c r="P73" s="132"/>
      <c r="Q73" s="132" t="s">
        <v>51</v>
      </c>
      <c r="R73" s="18" t="s">
        <v>258</v>
      </c>
      <c r="S73" s="18">
        <v>32000</v>
      </c>
      <c r="T73" s="19">
        <f t="shared" ref="T73:T74" si="217">S73-L73</f>
        <v>22114.58</v>
      </c>
      <c r="U73" s="204"/>
      <c r="W73" s="132"/>
      <c r="X73" s="132"/>
      <c r="Y73" s="134"/>
      <c r="Z73" s="134"/>
      <c r="AA73" s="132">
        <v>1</v>
      </c>
      <c r="AB73" s="132">
        <v>1.5</v>
      </c>
      <c r="AC73" s="132">
        <v>3</v>
      </c>
      <c r="AD73" s="132">
        <v>0</v>
      </c>
      <c r="AE73" s="56" t="s">
        <v>256</v>
      </c>
      <c r="AF73" s="23" t="s">
        <v>254</v>
      </c>
      <c r="AG73" s="12" t="s">
        <v>257</v>
      </c>
      <c r="AH73" s="195">
        <v>24408</v>
      </c>
      <c r="AI73" s="196" t="s">
        <v>255</v>
      </c>
      <c r="AJ73" s="197">
        <f t="shared" si="215"/>
        <v>27966.686399999999</v>
      </c>
      <c r="AK73" s="198">
        <v>2058</v>
      </c>
      <c r="AL73" s="198">
        <f t="shared" si="216"/>
        <v>24696</v>
      </c>
      <c r="AM73" s="118">
        <f t="shared" ref="AM73:AM74" si="218">T73-$AJ$71</f>
        <v>-5852.1063999999969</v>
      </c>
      <c r="AN73" s="118">
        <f t="shared" ref="AN73:AN74" si="219">T73-$AL$71</f>
        <v>-2581.4199999999983</v>
      </c>
      <c r="AO73" s="118">
        <f t="shared" ref="AO73:AO74" si="220">AN73-12000</f>
        <v>-14581.419999999998</v>
      </c>
      <c r="AP73" s="15">
        <f>S73-O73-AJ71</f>
        <v>-24668.106399999997</v>
      </c>
      <c r="AQ73" s="15">
        <f t="shared" ref="AQ73:AQ74" si="221">S73-O73-$AL$71</f>
        <v>-21397.42</v>
      </c>
      <c r="AR73" s="15">
        <f t="shared" ref="AR73:AR74" si="222">AQ73-12000</f>
        <v>-33397.42</v>
      </c>
    </row>
    <row r="74" spans="1:44" ht="11.25" customHeight="1">
      <c r="A74" s="149" t="s">
        <v>250</v>
      </c>
      <c r="B74" s="189">
        <v>740</v>
      </c>
      <c r="C74" s="189">
        <v>361</v>
      </c>
      <c r="D74" s="149" t="s">
        <v>178</v>
      </c>
      <c r="E74" s="149" t="s">
        <v>220</v>
      </c>
      <c r="F74" s="149" t="s">
        <v>59</v>
      </c>
      <c r="G74" s="191" t="s">
        <v>59</v>
      </c>
      <c r="H74" s="130" t="s">
        <v>58</v>
      </c>
      <c r="I74" s="21" t="s">
        <v>257</v>
      </c>
      <c r="J74" s="50">
        <f>2476*3</f>
        <v>7428</v>
      </c>
      <c r="K74" s="118">
        <f t="shared" si="211"/>
        <v>2043.4199999999996</v>
      </c>
      <c r="L74" s="119">
        <f t="shared" si="212"/>
        <v>9471.42</v>
      </c>
      <c r="M74" s="118">
        <f>6530*3</f>
        <v>19590</v>
      </c>
      <c r="N74" s="118">
        <f t="shared" si="213"/>
        <v>2799.4199999999996</v>
      </c>
      <c r="O74" s="119">
        <f t="shared" si="214"/>
        <v>22389.42</v>
      </c>
      <c r="P74" s="132"/>
      <c r="Q74" s="132" t="s">
        <v>51</v>
      </c>
      <c r="R74" s="18" t="s">
        <v>258</v>
      </c>
      <c r="S74" s="18">
        <v>36000</v>
      </c>
      <c r="T74" s="19">
        <f t="shared" si="217"/>
        <v>26528.58</v>
      </c>
      <c r="W74" s="132"/>
      <c r="X74" s="132"/>
      <c r="Y74" s="134"/>
      <c r="Z74" s="134"/>
      <c r="AA74" s="132">
        <v>1</v>
      </c>
      <c r="AB74" s="132">
        <v>1.5</v>
      </c>
      <c r="AC74" s="132">
        <v>3</v>
      </c>
      <c r="AD74" s="132">
        <v>0</v>
      </c>
      <c r="AE74" s="56" t="s">
        <v>256</v>
      </c>
      <c r="AF74" s="23" t="s">
        <v>254</v>
      </c>
      <c r="AG74" s="12" t="s">
        <v>257</v>
      </c>
      <c r="AH74" s="195">
        <v>24408</v>
      </c>
      <c r="AI74" s="196" t="s">
        <v>255</v>
      </c>
      <c r="AJ74" s="197">
        <f t="shared" si="215"/>
        <v>27966.686399999999</v>
      </c>
      <c r="AK74" s="198">
        <v>2058</v>
      </c>
      <c r="AL74" s="198">
        <f t="shared" si="216"/>
        <v>24696</v>
      </c>
      <c r="AM74" s="118">
        <f t="shared" si="218"/>
        <v>-1438.1063999999969</v>
      </c>
      <c r="AN74" s="118">
        <f t="shared" si="219"/>
        <v>1832.5800000000017</v>
      </c>
      <c r="AO74" s="118">
        <f t="shared" si="220"/>
        <v>-10167.419999999998</v>
      </c>
      <c r="AP74" s="15">
        <f>S74-O74-AJ71</f>
        <v>-14356.106399999997</v>
      </c>
      <c r="AQ74" s="15">
        <f t="shared" si="221"/>
        <v>-11085.419999999998</v>
      </c>
      <c r="AR74" s="15">
        <f t="shared" si="222"/>
        <v>-23085.42</v>
      </c>
    </row>
    <row r="75" spans="1:44" ht="11.25" customHeight="1">
      <c r="A75" s="149" t="s">
        <v>259</v>
      </c>
      <c r="B75" s="189">
        <v>220</v>
      </c>
      <c r="C75" s="189">
        <v>95</v>
      </c>
      <c r="D75" s="149" t="s">
        <v>178</v>
      </c>
      <c r="E75" s="149" t="s">
        <v>260</v>
      </c>
      <c r="F75" s="190" t="s">
        <v>47</v>
      </c>
      <c r="G75" s="191" t="s">
        <v>261</v>
      </c>
      <c r="H75" s="130" t="s">
        <v>49</v>
      </c>
      <c r="I75" s="21" t="s">
        <v>262</v>
      </c>
      <c r="J75" s="118">
        <v>8090.87</v>
      </c>
      <c r="K75" s="118">
        <v>458.67</v>
      </c>
      <c r="L75" s="119">
        <f t="shared" ref="L75:L78" si="223">J75+K75</f>
        <v>8549.5399999999991</v>
      </c>
      <c r="M75" s="118">
        <f t="shared" ref="M75:M76" si="224">J75+14185.2</f>
        <v>22276.07</v>
      </c>
      <c r="N75" s="118">
        <v>458.67</v>
      </c>
      <c r="O75" s="119">
        <f t="shared" ref="O75:O78" si="225">M75+N75</f>
        <v>22734.739999999998</v>
      </c>
      <c r="P75" s="132"/>
      <c r="Q75" s="132" t="s">
        <v>51</v>
      </c>
      <c r="R75" s="132">
        <v>2</v>
      </c>
      <c r="S75" s="208"/>
      <c r="W75" s="132"/>
      <c r="X75" s="132"/>
      <c r="Y75" s="10">
        <v>45363</v>
      </c>
      <c r="Z75" s="134"/>
      <c r="AA75" s="132">
        <v>0</v>
      </c>
      <c r="AB75" s="132">
        <v>1</v>
      </c>
      <c r="AC75" s="132">
        <v>0</v>
      </c>
      <c r="AD75" s="132">
        <v>0</v>
      </c>
      <c r="AE75" s="56"/>
      <c r="AF75" s="23" t="s">
        <v>263</v>
      </c>
      <c r="AG75" s="12" t="s">
        <v>264</v>
      </c>
      <c r="AH75" s="195">
        <v>21049</v>
      </c>
      <c r="AI75" s="196" t="s">
        <v>265</v>
      </c>
      <c r="AJ75" s="197">
        <f>1.1458*AH75</f>
        <v>24117.944199999998</v>
      </c>
      <c r="AK75" s="202"/>
    </row>
    <row r="76" spans="1:44" ht="11.25" customHeight="1">
      <c r="A76" s="149" t="s">
        <v>259</v>
      </c>
      <c r="B76" s="189">
        <v>220</v>
      </c>
      <c r="C76" s="189">
        <v>95</v>
      </c>
      <c r="D76" s="149" t="s">
        <v>178</v>
      </c>
      <c r="E76" s="149" t="s">
        <v>260</v>
      </c>
      <c r="F76" s="190" t="s">
        <v>47</v>
      </c>
      <c r="G76" s="191" t="s">
        <v>261</v>
      </c>
      <c r="H76" s="130" t="s">
        <v>58</v>
      </c>
      <c r="I76" s="21" t="s">
        <v>262</v>
      </c>
      <c r="J76" s="118">
        <v>8090.87</v>
      </c>
      <c r="K76" s="118">
        <v>458.67</v>
      </c>
      <c r="L76" s="119">
        <f t="shared" si="223"/>
        <v>8549.5399999999991</v>
      </c>
      <c r="M76" s="118">
        <f t="shared" si="224"/>
        <v>22276.07</v>
      </c>
      <c r="N76" s="118">
        <v>458.67</v>
      </c>
      <c r="O76" s="119">
        <f t="shared" si="225"/>
        <v>22734.739999999998</v>
      </c>
      <c r="P76" s="132"/>
      <c r="Q76" s="132" t="s">
        <v>51</v>
      </c>
      <c r="R76" s="132">
        <v>4</v>
      </c>
      <c r="W76" s="132"/>
      <c r="X76" s="132"/>
      <c r="Y76" s="10">
        <v>45363</v>
      </c>
      <c r="Z76" s="134"/>
      <c r="AA76" s="132">
        <v>0</v>
      </c>
      <c r="AB76" s="132">
        <v>1</v>
      </c>
      <c r="AC76" s="132">
        <v>0</v>
      </c>
      <c r="AD76" s="132">
        <v>0</v>
      </c>
      <c r="AE76" s="56"/>
      <c r="AF76" s="12" t="s">
        <v>266</v>
      </c>
      <c r="AG76" s="12" t="s">
        <v>264</v>
      </c>
      <c r="AH76" s="195">
        <v>21049</v>
      </c>
      <c r="AI76" s="196" t="s">
        <v>265</v>
      </c>
      <c r="AJ76" s="197">
        <f t="shared" ref="AJ76:AJ78" si="226">1.1458*AH76</f>
        <v>24117.944199999998</v>
      </c>
    </row>
    <row r="77" spans="1:44" ht="11.25" customHeight="1">
      <c r="A77" s="149" t="s">
        <v>259</v>
      </c>
      <c r="B77" s="189">
        <v>220</v>
      </c>
      <c r="C77" s="189">
        <v>95</v>
      </c>
      <c r="D77" s="149" t="s">
        <v>178</v>
      </c>
      <c r="E77" s="149" t="s">
        <v>260</v>
      </c>
      <c r="F77" s="149" t="s">
        <v>59</v>
      </c>
      <c r="G77" s="191" t="s">
        <v>267</v>
      </c>
      <c r="H77" s="130" t="s">
        <v>49</v>
      </c>
      <c r="I77" s="17" t="s">
        <v>268</v>
      </c>
      <c r="J77" s="118">
        <v>8090.87</v>
      </c>
      <c r="K77" s="41">
        <f>458.67+489.48+121.09</f>
        <v>1069.24</v>
      </c>
      <c r="L77" s="119">
        <f t="shared" si="223"/>
        <v>9160.11</v>
      </c>
      <c r="M77" s="118">
        <f>8090.87+14185.2</f>
        <v>22276.07</v>
      </c>
      <c r="N77" s="118">
        <f t="shared" ref="N77:N78" si="227">756+458.67+489.48+121.09</f>
        <v>1825.24</v>
      </c>
      <c r="O77" s="119">
        <f t="shared" si="225"/>
        <v>24101.31</v>
      </c>
      <c r="P77" s="132"/>
      <c r="Q77" s="132"/>
      <c r="R77" s="18"/>
      <c r="W77" s="132"/>
      <c r="X77" s="132"/>
      <c r="Y77" s="134"/>
      <c r="Z77" s="134"/>
      <c r="AA77" s="132"/>
      <c r="AB77" s="132"/>
      <c r="AC77" s="132"/>
      <c r="AD77" s="132"/>
      <c r="AE77" s="20" t="s">
        <v>269</v>
      </c>
      <c r="AF77" s="12" t="s">
        <v>266</v>
      </c>
      <c r="AG77" s="12"/>
      <c r="AH77" s="195">
        <v>21049</v>
      </c>
      <c r="AI77" s="196" t="s">
        <v>265</v>
      </c>
      <c r="AJ77" s="197">
        <f t="shared" si="226"/>
        <v>24117.944199999998</v>
      </c>
    </row>
    <row r="78" spans="1:44" ht="11.25" customHeight="1">
      <c r="A78" s="149" t="s">
        <v>259</v>
      </c>
      <c r="B78" s="189">
        <v>220</v>
      </c>
      <c r="C78" s="189">
        <v>95</v>
      </c>
      <c r="D78" s="149" t="s">
        <v>178</v>
      </c>
      <c r="E78" s="149" t="s">
        <v>260</v>
      </c>
      <c r="F78" s="149" t="s">
        <v>59</v>
      </c>
      <c r="G78" s="191" t="s">
        <v>267</v>
      </c>
      <c r="H78" s="130" t="s">
        <v>58</v>
      </c>
      <c r="I78" s="132"/>
      <c r="J78" s="118">
        <v>8090.87</v>
      </c>
      <c r="K78" s="118">
        <v>1069.24</v>
      </c>
      <c r="L78" s="119">
        <f t="shared" si="223"/>
        <v>9160.11</v>
      </c>
      <c r="M78" s="118">
        <v>22276.07</v>
      </c>
      <c r="N78" s="118">
        <f t="shared" si="227"/>
        <v>1825.24</v>
      </c>
      <c r="O78" s="119">
        <f t="shared" si="225"/>
        <v>24101.31</v>
      </c>
      <c r="P78" s="132"/>
      <c r="Q78" s="132"/>
      <c r="R78" s="18"/>
      <c r="W78" s="132"/>
      <c r="X78" s="132"/>
      <c r="Y78" s="134"/>
      <c r="Z78" s="134"/>
      <c r="AA78" s="132"/>
      <c r="AB78" s="132"/>
      <c r="AC78" s="132"/>
      <c r="AD78" s="132"/>
      <c r="AE78" s="56"/>
      <c r="AF78" s="12" t="s">
        <v>266</v>
      </c>
      <c r="AG78" s="12"/>
      <c r="AH78" s="195">
        <v>21049</v>
      </c>
      <c r="AI78" s="196" t="s">
        <v>265</v>
      </c>
      <c r="AJ78" s="197">
        <f t="shared" si="226"/>
        <v>24117.944199999998</v>
      </c>
    </row>
    <row r="79" spans="1:44" ht="11.25" customHeight="1">
      <c r="A79" s="149" t="s">
        <v>270</v>
      </c>
      <c r="B79" s="189">
        <v>385</v>
      </c>
      <c r="C79" s="189">
        <v>122</v>
      </c>
      <c r="D79" s="149" t="s">
        <v>178</v>
      </c>
      <c r="E79" s="149" t="s">
        <v>271</v>
      </c>
      <c r="F79" s="190" t="s">
        <v>47</v>
      </c>
      <c r="G79" s="191" t="s">
        <v>87</v>
      </c>
      <c r="H79" s="130" t="s">
        <v>49</v>
      </c>
      <c r="I79" s="21" t="s">
        <v>272</v>
      </c>
      <c r="J79" s="118">
        <f t="shared" ref="J79:J82" si="228">2725.41*3</f>
        <v>8176.23</v>
      </c>
      <c r="K79" s="118">
        <f t="shared" ref="K79:K82" si="229">32.77*2+7.4+24.53*2+(17.8+5.56+27.81+17+3.74+3.05+8.41+1.92+7.87)*3+575+331.01*2+43.67*3+10.08*2</f>
        <v>1789.67</v>
      </c>
      <c r="L79" s="119">
        <v>6725.34</v>
      </c>
      <c r="M79" s="118">
        <f t="shared" ref="M79:M82" si="230">6725.34*3+750</f>
        <v>20926.02</v>
      </c>
      <c r="N79" s="118">
        <f t="shared" ref="N79:N82" si="231">32.77*2+7.4+24.53*2+(17.8+5.56+27.81+17+3.74+3.05+8.41+1.92+7.87)*3+575+331.01*2+43.67*3+10.08*2+756</f>
        <v>2545.67</v>
      </c>
      <c r="O79" s="119">
        <f t="shared" ref="O79:O80" si="232">(6725.34 + 75)*3</f>
        <v>20401.02</v>
      </c>
      <c r="P79" s="132" t="s">
        <v>273</v>
      </c>
      <c r="Q79" s="132" t="s">
        <v>51</v>
      </c>
      <c r="R79" s="132">
        <v>2</v>
      </c>
      <c r="S79" s="132">
        <f>9000 + (31.63*10)*24</f>
        <v>16591.2</v>
      </c>
      <c r="T79" s="19">
        <f t="shared" ref="T79:T80" si="233">S79-O79</f>
        <v>-3809.8199999999997</v>
      </c>
      <c r="U79" s="132">
        <f>16000 + (31.63*10)*24</f>
        <v>23591.200000000001</v>
      </c>
      <c r="V79" s="119">
        <f t="shared" ref="V79:V80" si="234">U79-O79</f>
        <v>3190.1800000000003</v>
      </c>
      <c r="W79" s="132">
        <v>10</v>
      </c>
      <c r="X79" s="132" t="s">
        <v>274</v>
      </c>
      <c r="Y79" s="10">
        <v>45363</v>
      </c>
      <c r="Z79" s="42">
        <v>45017</v>
      </c>
      <c r="AA79" s="132">
        <v>0</v>
      </c>
      <c r="AB79" s="132">
        <v>1</v>
      </c>
      <c r="AC79" s="132">
        <v>0</v>
      </c>
      <c r="AD79" s="132">
        <v>2</v>
      </c>
      <c r="AE79" s="56" t="s">
        <v>275</v>
      </c>
      <c r="AF79" s="12" t="s">
        <v>276</v>
      </c>
      <c r="AG79" s="12" t="s">
        <v>277</v>
      </c>
      <c r="AH79" s="195">
        <v>22170</v>
      </c>
      <c r="AI79" s="196" t="s">
        <v>278</v>
      </c>
      <c r="AJ79" s="197">
        <f>1.1458*AH79</f>
        <v>25402.385999999999</v>
      </c>
      <c r="AK79" s="198">
        <v>1628</v>
      </c>
      <c r="AL79" s="198">
        <f>AK79*12</f>
        <v>19536</v>
      </c>
      <c r="AM79" s="118">
        <f t="shared" ref="AM79:AM80" si="235">T79-$AJ$79</f>
        <v>-29212.205999999998</v>
      </c>
      <c r="AN79" s="118">
        <f t="shared" ref="AN79:AN80" si="236">T79-$AL$79</f>
        <v>-23345.82</v>
      </c>
      <c r="AO79" s="118">
        <f t="shared" ref="AO79:AO80" si="237">AN79-12000</f>
        <v>-35345.82</v>
      </c>
      <c r="AP79" s="118">
        <f t="shared" ref="AP79:AP80" si="238">V79-$AJ$79</f>
        <v>-22212.205999999998</v>
      </c>
      <c r="AQ79" s="118">
        <f t="shared" ref="AQ79:AQ80" si="239">V79-$AL$79</f>
        <v>-16345.82</v>
      </c>
      <c r="AR79" s="118">
        <f t="shared" ref="AR79:AR80" si="240">AQ79-12000</f>
        <v>-28345.82</v>
      </c>
    </row>
    <row r="80" spans="1:44" ht="11.25" customHeight="1">
      <c r="A80" s="149" t="s">
        <v>270</v>
      </c>
      <c r="B80" s="189">
        <v>385</v>
      </c>
      <c r="C80" s="189">
        <v>122</v>
      </c>
      <c r="D80" s="149" t="s">
        <v>178</v>
      </c>
      <c r="E80" s="149" t="s">
        <v>271</v>
      </c>
      <c r="F80" s="190" t="s">
        <v>47</v>
      </c>
      <c r="G80" s="191" t="s">
        <v>87</v>
      </c>
      <c r="H80" s="130" t="s">
        <v>58</v>
      </c>
      <c r="I80" s="25" t="s">
        <v>279</v>
      </c>
      <c r="J80" s="118">
        <f t="shared" si="228"/>
        <v>8176.23</v>
      </c>
      <c r="K80" s="118">
        <f t="shared" si="229"/>
        <v>1789.67</v>
      </c>
      <c r="L80" s="119">
        <v>6725.34</v>
      </c>
      <c r="M80" s="118">
        <f t="shared" si="230"/>
        <v>20926.02</v>
      </c>
      <c r="N80" s="118">
        <f t="shared" si="231"/>
        <v>2545.67</v>
      </c>
      <c r="O80" s="119">
        <f t="shared" si="232"/>
        <v>20401.02</v>
      </c>
      <c r="P80" s="132" t="s">
        <v>273</v>
      </c>
      <c r="Q80" s="132" t="s">
        <v>51</v>
      </c>
      <c r="R80" s="132">
        <v>4</v>
      </c>
      <c r="S80" s="132">
        <f>14000 + (31.63*10)*24</f>
        <v>21591.200000000001</v>
      </c>
      <c r="T80" s="19">
        <f t="shared" si="233"/>
        <v>1190.1800000000003</v>
      </c>
      <c r="U80" s="132">
        <f>24500 + (31.63*10)*24</f>
        <v>32091.200000000001</v>
      </c>
      <c r="V80" s="119">
        <f t="shared" si="234"/>
        <v>11690.18</v>
      </c>
      <c r="W80" s="132">
        <v>10</v>
      </c>
      <c r="X80" s="132" t="s">
        <v>274</v>
      </c>
      <c r="Y80" s="10">
        <v>45363</v>
      </c>
      <c r="Z80" s="42">
        <v>45017</v>
      </c>
      <c r="AA80" s="132">
        <v>0</v>
      </c>
      <c r="AB80" s="132">
        <v>1</v>
      </c>
      <c r="AC80" s="132">
        <v>0</v>
      </c>
      <c r="AD80" s="132">
        <v>2</v>
      </c>
      <c r="AE80" s="56" t="s">
        <v>280</v>
      </c>
      <c r="AF80" s="12" t="s">
        <v>276</v>
      </c>
      <c r="AG80" s="12" t="s">
        <v>277</v>
      </c>
      <c r="AH80" s="195">
        <v>22170</v>
      </c>
      <c r="AI80" s="196" t="s">
        <v>278</v>
      </c>
      <c r="AJ80" s="197">
        <f t="shared" ref="AJ80:AJ82" si="241">1.1458*AH80</f>
        <v>25402.385999999999</v>
      </c>
      <c r="AK80" s="198">
        <v>1628</v>
      </c>
      <c r="AL80" s="198">
        <f t="shared" ref="AL80:AL82" si="242">AK80*12</f>
        <v>19536</v>
      </c>
      <c r="AM80" s="118">
        <f t="shared" si="235"/>
        <v>-24212.205999999998</v>
      </c>
      <c r="AN80" s="118">
        <f t="shared" si="236"/>
        <v>-18345.82</v>
      </c>
      <c r="AO80" s="118">
        <f t="shared" si="237"/>
        <v>-30345.82</v>
      </c>
      <c r="AP80" s="118">
        <f t="shared" si="238"/>
        <v>-13712.205999999998</v>
      </c>
      <c r="AQ80" s="118">
        <f t="shared" si="239"/>
        <v>-7845.82</v>
      </c>
      <c r="AR80" s="118">
        <f t="shared" si="240"/>
        <v>-19845.82</v>
      </c>
    </row>
    <row r="81" spans="1:44" ht="11.25" customHeight="1">
      <c r="A81" s="149" t="s">
        <v>270</v>
      </c>
      <c r="B81" s="189">
        <v>385</v>
      </c>
      <c r="C81" s="189">
        <v>122</v>
      </c>
      <c r="D81" s="149" t="s">
        <v>178</v>
      </c>
      <c r="E81" s="149" t="s">
        <v>271</v>
      </c>
      <c r="F81" s="149" t="s">
        <v>59</v>
      </c>
      <c r="G81" s="191" t="s">
        <v>281</v>
      </c>
      <c r="H81" s="130" t="s">
        <v>49</v>
      </c>
      <c r="I81" s="17" t="s">
        <v>282</v>
      </c>
      <c r="J81" s="118">
        <f t="shared" si="228"/>
        <v>8176.23</v>
      </c>
      <c r="K81" s="118">
        <f t="shared" si="229"/>
        <v>1789.67</v>
      </c>
      <c r="L81" s="119">
        <f t="shared" ref="L81:L82" si="243">J81+K81</f>
        <v>9965.9</v>
      </c>
      <c r="M81" s="118">
        <f t="shared" si="230"/>
        <v>20926.02</v>
      </c>
      <c r="N81" s="118">
        <f t="shared" si="231"/>
        <v>2545.67</v>
      </c>
      <c r="O81" s="119">
        <f t="shared" ref="O81:O82" si="244">M81+N81</f>
        <v>23471.690000000002</v>
      </c>
      <c r="P81" s="132"/>
      <c r="Q81" s="132" t="s">
        <v>96</v>
      </c>
      <c r="R81" s="18"/>
      <c r="S81" s="18"/>
      <c r="T81" s="19"/>
      <c r="U81" s="18"/>
      <c r="V81" s="19"/>
      <c r="W81" s="132"/>
      <c r="X81" s="132"/>
      <c r="Y81" s="10">
        <v>45400</v>
      </c>
      <c r="Z81" s="134"/>
      <c r="AA81" s="132">
        <v>0</v>
      </c>
      <c r="AB81" s="132">
        <v>1</v>
      </c>
      <c r="AC81" s="132">
        <v>1</v>
      </c>
      <c r="AD81" s="132">
        <v>0</v>
      </c>
      <c r="AE81" s="20" t="s">
        <v>283</v>
      </c>
      <c r="AF81" s="12" t="s">
        <v>276</v>
      </c>
      <c r="AG81" s="12" t="s">
        <v>284</v>
      </c>
      <c r="AH81" s="195">
        <v>22170</v>
      </c>
      <c r="AI81" s="196" t="s">
        <v>278</v>
      </c>
      <c r="AJ81" s="197">
        <f t="shared" si="241"/>
        <v>25402.385999999999</v>
      </c>
      <c r="AK81" s="198">
        <v>1628</v>
      </c>
      <c r="AL81" s="198">
        <f t="shared" si="242"/>
        <v>19536</v>
      </c>
      <c r="AM81" s="118"/>
      <c r="AN81" s="118"/>
      <c r="AO81" s="132"/>
      <c r="AP81" s="118"/>
      <c r="AQ81" s="118"/>
      <c r="AR81" s="118"/>
    </row>
    <row r="82" spans="1:44" ht="11.25" customHeight="1">
      <c r="A82" s="149" t="s">
        <v>270</v>
      </c>
      <c r="B82" s="189">
        <v>385</v>
      </c>
      <c r="C82" s="189">
        <v>122</v>
      </c>
      <c r="D82" s="149" t="s">
        <v>178</v>
      </c>
      <c r="E82" s="149" t="s">
        <v>271</v>
      </c>
      <c r="F82" s="149" t="s">
        <v>59</v>
      </c>
      <c r="G82" s="191" t="s">
        <v>281</v>
      </c>
      <c r="H82" s="130" t="s">
        <v>58</v>
      </c>
      <c r="I82" s="132"/>
      <c r="J82" s="118">
        <f t="shared" si="228"/>
        <v>8176.23</v>
      </c>
      <c r="K82" s="118">
        <f t="shared" si="229"/>
        <v>1789.67</v>
      </c>
      <c r="L82" s="119">
        <f t="shared" si="243"/>
        <v>9965.9</v>
      </c>
      <c r="M82" s="118">
        <f t="shared" si="230"/>
        <v>20926.02</v>
      </c>
      <c r="N82" s="118">
        <f t="shared" si="231"/>
        <v>2545.67</v>
      </c>
      <c r="O82" s="119">
        <f t="shared" si="244"/>
        <v>23471.690000000002</v>
      </c>
      <c r="P82" s="132"/>
      <c r="Q82" s="132" t="s">
        <v>96</v>
      </c>
      <c r="R82" s="18"/>
      <c r="S82" s="18"/>
      <c r="T82" s="19"/>
      <c r="U82" s="18"/>
      <c r="V82" s="19"/>
      <c r="W82" s="132"/>
      <c r="X82" s="132"/>
      <c r="Y82" s="10">
        <v>45400</v>
      </c>
      <c r="Z82" s="134"/>
      <c r="AA82" s="132">
        <v>0</v>
      </c>
      <c r="AB82" s="132">
        <v>1</v>
      </c>
      <c r="AC82" s="132">
        <v>1</v>
      </c>
      <c r="AD82" s="132">
        <v>0</v>
      </c>
      <c r="AE82" s="56" t="s">
        <v>285</v>
      </c>
      <c r="AF82" s="12" t="s">
        <v>276</v>
      </c>
      <c r="AG82" s="12" t="s">
        <v>286</v>
      </c>
      <c r="AH82" s="195">
        <v>22170</v>
      </c>
      <c r="AI82" s="196" t="s">
        <v>278</v>
      </c>
      <c r="AJ82" s="197">
        <f t="shared" si="241"/>
        <v>25402.385999999999</v>
      </c>
      <c r="AK82" s="198">
        <v>1628</v>
      </c>
      <c r="AL82" s="198">
        <f t="shared" si="242"/>
        <v>19536</v>
      </c>
      <c r="AM82" s="118"/>
      <c r="AN82" s="118"/>
      <c r="AO82" s="132"/>
      <c r="AP82" s="118"/>
      <c r="AQ82" s="118"/>
      <c r="AR82" s="118"/>
    </row>
    <row r="83" spans="1:44" ht="11.25" customHeight="1">
      <c r="A83" s="149" t="s">
        <v>287</v>
      </c>
      <c r="B83" s="189">
        <v>3724</v>
      </c>
      <c r="C83" s="189">
        <v>3267</v>
      </c>
      <c r="D83" s="149" t="s">
        <v>178</v>
      </c>
      <c r="E83" s="149" t="s">
        <v>288</v>
      </c>
      <c r="F83" s="190" t="s">
        <v>47</v>
      </c>
      <c r="G83" s="191" t="s">
        <v>289</v>
      </c>
      <c r="H83" s="130" t="s">
        <v>49</v>
      </c>
      <c r="I83" s="25" t="s">
        <v>290</v>
      </c>
      <c r="J83" s="118">
        <v>6390</v>
      </c>
      <c r="K83" s="118">
        <v>2000</v>
      </c>
      <c r="L83" s="119">
        <f t="shared" ref="L83:L86" si="245">J83+K83</f>
        <v>8390</v>
      </c>
      <c r="M83" s="118">
        <v>28900</v>
      </c>
      <c r="N83" s="118">
        <v>2800</v>
      </c>
      <c r="O83" s="119">
        <f t="shared" ref="O83:O86" si="246">M83+N83</f>
        <v>31700</v>
      </c>
      <c r="P83" s="132" t="s">
        <v>291</v>
      </c>
      <c r="Q83" s="132" t="s">
        <v>51</v>
      </c>
      <c r="R83" s="132" t="s">
        <v>292</v>
      </c>
      <c r="S83" s="51">
        <v>33214</v>
      </c>
      <c r="T83" s="19">
        <f t="shared" ref="T83:T84" si="247">S83-L83</f>
        <v>24824</v>
      </c>
      <c r="U83" s="204"/>
      <c r="W83" s="132" t="s">
        <v>293</v>
      </c>
      <c r="X83" s="132" t="s">
        <v>148</v>
      </c>
      <c r="Y83" s="10">
        <v>45363</v>
      </c>
      <c r="Z83" s="42">
        <v>45017</v>
      </c>
      <c r="AA83" s="132"/>
      <c r="AB83" s="132"/>
      <c r="AC83" s="132">
        <v>3</v>
      </c>
      <c r="AD83" s="132">
        <v>1</v>
      </c>
      <c r="AE83" s="193" t="s">
        <v>294</v>
      </c>
      <c r="AF83" s="12" t="s">
        <v>295</v>
      </c>
      <c r="AG83" s="12" t="s">
        <v>296</v>
      </c>
      <c r="AH83" s="195">
        <v>24864</v>
      </c>
      <c r="AI83" s="196" t="s">
        <v>288</v>
      </c>
      <c r="AJ83" s="197">
        <f>1.1458*AH83</f>
        <v>28489.171199999997</v>
      </c>
      <c r="AK83" s="198">
        <v>2620</v>
      </c>
      <c r="AL83" s="198">
        <f>AK83*12</f>
        <v>31440</v>
      </c>
      <c r="AM83" s="118">
        <f t="shared" ref="AM83:AM86" si="248">T83-$AJ$83</f>
        <v>-3665.171199999997</v>
      </c>
      <c r="AN83" s="118">
        <f t="shared" ref="AN83:AN86" si="249">T83-$AL$83</f>
        <v>-6616</v>
      </c>
      <c r="AO83" s="118">
        <f t="shared" ref="AO83:AO86" si="250">AN83-12000</f>
        <v>-18616</v>
      </c>
      <c r="AP83" s="15">
        <f t="shared" ref="AP83:AP84" si="251">S83-O83-$AJ$83</f>
        <v>-26975.171199999997</v>
      </c>
      <c r="AQ83" s="52">
        <f t="shared" ref="AQ83:AQ84" si="252">S83-O83-$AL$83</f>
        <v>-29926</v>
      </c>
      <c r="AR83" s="15">
        <f t="shared" ref="AR83:AR86" si="253">AQ83-12000</f>
        <v>-41926</v>
      </c>
    </row>
    <row r="84" spans="1:44" ht="11.25" customHeight="1">
      <c r="A84" s="149" t="s">
        <v>287</v>
      </c>
      <c r="B84" s="189">
        <v>3724</v>
      </c>
      <c r="C84" s="189">
        <v>3267</v>
      </c>
      <c r="D84" s="149" t="s">
        <v>178</v>
      </c>
      <c r="E84" s="149" t="s">
        <v>288</v>
      </c>
      <c r="F84" s="190" t="s">
        <v>47</v>
      </c>
      <c r="G84" s="191" t="s">
        <v>289</v>
      </c>
      <c r="H84" s="130" t="s">
        <v>58</v>
      </c>
      <c r="I84" s="25" t="s">
        <v>290</v>
      </c>
      <c r="J84" s="118">
        <v>6210</v>
      </c>
      <c r="K84" s="118">
        <v>2000</v>
      </c>
      <c r="L84" s="119">
        <f t="shared" si="245"/>
        <v>8210</v>
      </c>
      <c r="M84" s="118">
        <v>6210</v>
      </c>
      <c r="N84" s="118">
        <v>2800</v>
      </c>
      <c r="O84" s="119">
        <f t="shared" si="246"/>
        <v>9010</v>
      </c>
      <c r="P84" s="132" t="s">
        <v>291</v>
      </c>
      <c r="Q84" s="132" t="s">
        <v>51</v>
      </c>
      <c r="R84" s="132" t="s">
        <v>297</v>
      </c>
      <c r="S84" s="51">
        <v>33214</v>
      </c>
      <c r="T84" s="19">
        <f t="shared" si="247"/>
        <v>25004</v>
      </c>
      <c r="W84" s="132" t="s">
        <v>293</v>
      </c>
      <c r="X84" s="132" t="s">
        <v>148</v>
      </c>
      <c r="Y84" s="10">
        <v>45363</v>
      </c>
      <c r="Z84" s="42">
        <v>45017</v>
      </c>
      <c r="AA84" s="132"/>
      <c r="AB84" s="132"/>
      <c r="AC84" s="132">
        <v>3</v>
      </c>
      <c r="AD84" s="132">
        <v>1</v>
      </c>
      <c r="AF84" s="12" t="s">
        <v>295</v>
      </c>
      <c r="AG84" s="12" t="s">
        <v>296</v>
      </c>
      <c r="AH84" s="195">
        <v>24864</v>
      </c>
      <c r="AI84" s="196" t="s">
        <v>288</v>
      </c>
      <c r="AJ84" s="197">
        <f t="shared" ref="AJ84:AJ86" si="254">1.1458*AH84</f>
        <v>28489.171199999997</v>
      </c>
      <c r="AK84" s="198">
        <v>2620</v>
      </c>
      <c r="AL84" s="198">
        <f t="shared" ref="AL84:AL86" si="255">AK84*12</f>
        <v>31440</v>
      </c>
      <c r="AM84" s="118">
        <f t="shared" si="248"/>
        <v>-3485.171199999997</v>
      </c>
      <c r="AN84" s="118">
        <f t="shared" si="249"/>
        <v>-6436</v>
      </c>
      <c r="AO84" s="118">
        <f t="shared" si="250"/>
        <v>-18436</v>
      </c>
      <c r="AP84" s="15">
        <f t="shared" si="251"/>
        <v>-4285.171199999997</v>
      </c>
      <c r="AQ84" s="52">
        <f t="shared" si="252"/>
        <v>-7236</v>
      </c>
      <c r="AR84" s="15">
        <f t="shared" si="253"/>
        <v>-19236</v>
      </c>
    </row>
    <row r="85" spans="1:44" ht="11.25" customHeight="1">
      <c r="A85" s="149" t="s">
        <v>287</v>
      </c>
      <c r="B85" s="189">
        <v>3724</v>
      </c>
      <c r="C85" s="189">
        <v>3267</v>
      </c>
      <c r="D85" s="149" t="s">
        <v>178</v>
      </c>
      <c r="E85" s="149" t="s">
        <v>288</v>
      </c>
      <c r="F85" s="149" t="s">
        <v>59</v>
      </c>
      <c r="G85" s="191" t="s">
        <v>59</v>
      </c>
      <c r="H85" s="130" t="s">
        <v>49</v>
      </c>
      <c r="I85" s="17" t="s">
        <v>298</v>
      </c>
      <c r="J85" s="53">
        <v>6390</v>
      </c>
      <c r="K85" s="118">
        <v>2000</v>
      </c>
      <c r="L85" s="119">
        <f t="shared" si="245"/>
        <v>8390</v>
      </c>
      <c r="M85" s="118">
        <v>28900</v>
      </c>
      <c r="N85" s="118">
        <v>2800</v>
      </c>
      <c r="O85" s="119">
        <f t="shared" si="246"/>
        <v>31700</v>
      </c>
      <c r="P85" s="132"/>
      <c r="Q85" s="132"/>
      <c r="R85" s="18"/>
      <c r="S85" s="54">
        <f t="shared" ref="S85:S86" si="256">T85+L85</f>
        <v>36890</v>
      </c>
      <c r="T85" s="19">
        <v>28500</v>
      </c>
      <c r="U85" s="18"/>
      <c r="V85" s="19">
        <v>28500</v>
      </c>
      <c r="W85" s="132" t="s">
        <v>293</v>
      </c>
      <c r="X85" s="132"/>
      <c r="Y85" s="10">
        <v>45488</v>
      </c>
      <c r="Z85" s="42">
        <v>45017</v>
      </c>
      <c r="AA85" s="132">
        <v>1</v>
      </c>
      <c r="AB85" s="132">
        <v>1</v>
      </c>
      <c r="AC85" s="132">
        <v>3</v>
      </c>
      <c r="AD85" s="132">
        <v>3</v>
      </c>
      <c r="AE85" s="20"/>
      <c r="AF85" s="12" t="s">
        <v>295</v>
      </c>
      <c r="AG85" s="12" t="s">
        <v>299</v>
      </c>
      <c r="AH85" s="195">
        <v>24864</v>
      </c>
      <c r="AI85" s="196" t="s">
        <v>288</v>
      </c>
      <c r="AJ85" s="197">
        <f t="shared" si="254"/>
        <v>28489.171199999997</v>
      </c>
      <c r="AK85" s="198">
        <v>2620</v>
      </c>
      <c r="AL85" s="198">
        <f t="shared" si="255"/>
        <v>31440</v>
      </c>
      <c r="AM85" s="118">
        <f t="shared" si="248"/>
        <v>10.828800000002957</v>
      </c>
      <c r="AN85" s="118">
        <f t="shared" si="249"/>
        <v>-2940</v>
      </c>
      <c r="AO85" s="118">
        <f t="shared" si="250"/>
        <v>-14940</v>
      </c>
      <c r="AP85" s="118">
        <f t="shared" ref="AP85:AP86" si="257">V85-$AJ$83</f>
        <v>10.828800000002957</v>
      </c>
      <c r="AQ85" s="118">
        <f>V85-AL83</f>
        <v>-2940</v>
      </c>
      <c r="AR85" s="118">
        <f t="shared" si="253"/>
        <v>-14940</v>
      </c>
    </row>
    <row r="86" spans="1:44" ht="11.25" customHeight="1">
      <c r="A86" s="149" t="s">
        <v>287</v>
      </c>
      <c r="B86" s="189">
        <v>3724</v>
      </c>
      <c r="C86" s="189">
        <v>3267</v>
      </c>
      <c r="D86" s="149" t="s">
        <v>178</v>
      </c>
      <c r="E86" s="149" t="s">
        <v>288</v>
      </c>
      <c r="F86" s="149" t="s">
        <v>59</v>
      </c>
      <c r="G86" s="191" t="s">
        <v>59</v>
      </c>
      <c r="H86" s="130" t="s">
        <v>58</v>
      </c>
      <c r="I86" s="21" t="s">
        <v>298</v>
      </c>
      <c r="J86" s="53">
        <v>6210</v>
      </c>
      <c r="K86" s="118">
        <v>2000</v>
      </c>
      <c r="L86" s="119">
        <f t="shared" si="245"/>
        <v>8210</v>
      </c>
      <c r="M86" s="53">
        <v>6210</v>
      </c>
      <c r="N86" s="118">
        <v>2800</v>
      </c>
      <c r="O86" s="119">
        <f t="shared" si="246"/>
        <v>9010</v>
      </c>
      <c r="P86" s="132"/>
      <c r="Q86" s="132"/>
      <c r="R86" s="18"/>
      <c r="S86" s="54">
        <f t="shared" si="256"/>
        <v>36710</v>
      </c>
      <c r="T86" s="19">
        <v>28500</v>
      </c>
      <c r="U86" s="18"/>
      <c r="V86" s="19">
        <v>28500</v>
      </c>
      <c r="W86" s="132" t="s">
        <v>293</v>
      </c>
      <c r="X86" s="132"/>
      <c r="Y86" s="10">
        <v>45488</v>
      </c>
      <c r="Z86" s="42">
        <v>45017</v>
      </c>
      <c r="AA86" s="132">
        <v>1</v>
      </c>
      <c r="AB86" s="132">
        <v>1</v>
      </c>
      <c r="AC86" s="132">
        <v>3</v>
      </c>
      <c r="AD86" s="132">
        <v>3</v>
      </c>
      <c r="AE86" s="20"/>
      <c r="AF86" s="12" t="s">
        <v>295</v>
      </c>
      <c r="AG86" s="12" t="s">
        <v>299</v>
      </c>
      <c r="AH86" s="195">
        <v>24864</v>
      </c>
      <c r="AI86" s="196" t="s">
        <v>288</v>
      </c>
      <c r="AJ86" s="197">
        <f t="shared" si="254"/>
        <v>28489.171199999997</v>
      </c>
      <c r="AK86" s="198">
        <v>2620</v>
      </c>
      <c r="AL86" s="198">
        <f t="shared" si="255"/>
        <v>31440</v>
      </c>
      <c r="AM86" s="118">
        <f t="shared" si="248"/>
        <v>10.828800000002957</v>
      </c>
      <c r="AN86" s="118">
        <f t="shared" si="249"/>
        <v>-2940</v>
      </c>
      <c r="AO86" s="118">
        <f t="shared" si="250"/>
        <v>-14940</v>
      </c>
      <c r="AP86" s="118">
        <f t="shared" si="257"/>
        <v>10.828800000002957</v>
      </c>
      <c r="AQ86" s="118">
        <f>V86-AL83</f>
        <v>-2940</v>
      </c>
      <c r="AR86" s="118">
        <f t="shared" si="253"/>
        <v>-14940</v>
      </c>
    </row>
    <row r="87" spans="1:44" ht="11.25" customHeight="1">
      <c r="A87" s="149" t="s">
        <v>301</v>
      </c>
      <c r="B87" s="189">
        <v>1296</v>
      </c>
      <c r="C87" s="189">
        <v>567</v>
      </c>
      <c r="D87" s="149" t="s">
        <v>178</v>
      </c>
      <c r="E87" s="149" t="s">
        <v>288</v>
      </c>
      <c r="F87" s="190" t="s">
        <v>47</v>
      </c>
      <c r="G87" s="191" t="s">
        <v>116</v>
      </c>
      <c r="H87" s="130" t="s">
        <v>49</v>
      </c>
      <c r="I87" s="21" t="s">
        <v>302</v>
      </c>
      <c r="J87" s="118">
        <f t="shared" ref="J87:J90" si="258">1435.51*3</f>
        <v>4306.53</v>
      </c>
      <c r="K87" s="118">
        <f t="shared" ref="K87:K90" si="259">297.12*3</f>
        <v>891.36</v>
      </c>
      <c r="L87" s="119">
        <f t="shared" ref="L87:L90" si="260">J87+K87</f>
        <v>5197.8899999999994</v>
      </c>
      <c r="M87" s="118">
        <f>6275*3</f>
        <v>18825</v>
      </c>
      <c r="N87" s="118">
        <f t="shared" ref="N87:N90" si="261">297.12*3+756</f>
        <v>1647.3600000000001</v>
      </c>
      <c r="O87" s="119">
        <f t="shared" ref="O87:O90" si="262">M87+N87</f>
        <v>20472.36</v>
      </c>
      <c r="P87" s="132"/>
      <c r="Q87" s="132" t="s">
        <v>51</v>
      </c>
      <c r="R87" s="132">
        <v>2</v>
      </c>
      <c r="S87" s="132">
        <f>52736/2</f>
        <v>26368</v>
      </c>
      <c r="T87" s="119">
        <f t="shared" ref="T87:T90" si="263">S87-L87</f>
        <v>21170.11</v>
      </c>
      <c r="U87" s="132">
        <f>88986/2</f>
        <v>44493</v>
      </c>
      <c r="V87" s="119">
        <f t="shared" ref="V87:V88" si="264">S87-O87</f>
        <v>5895.6399999999994</v>
      </c>
      <c r="W87" s="132"/>
      <c r="X87" s="132"/>
      <c r="Y87" s="10">
        <v>45489</v>
      </c>
      <c r="Z87" s="42">
        <v>45413</v>
      </c>
      <c r="AA87" s="132">
        <v>1</v>
      </c>
      <c r="AB87" s="132">
        <v>1.5</v>
      </c>
      <c r="AC87" s="132">
        <v>3</v>
      </c>
      <c r="AD87" s="132">
        <v>2</v>
      </c>
      <c r="AE87" s="56"/>
      <c r="AF87" s="12"/>
      <c r="AG87" s="12" t="s">
        <v>303</v>
      </c>
      <c r="AH87" s="195">
        <v>24864</v>
      </c>
      <c r="AI87" s="196" t="s">
        <v>288</v>
      </c>
      <c r="AJ87" s="197">
        <f>1.1458*AH87</f>
        <v>28489.171199999997</v>
      </c>
      <c r="AK87" s="198">
        <v>2620</v>
      </c>
      <c r="AL87" s="198">
        <f>AK87*12</f>
        <v>31440</v>
      </c>
      <c r="AM87" s="118">
        <f t="shared" ref="AM87:AM90" si="265">T87-$AJ$87</f>
        <v>-7319.0611999999965</v>
      </c>
      <c r="AN87" s="118">
        <f t="shared" ref="AN87:AN90" si="266">T87-$AL$87</f>
        <v>-10269.89</v>
      </c>
      <c r="AO87" s="118">
        <f t="shared" ref="AO87:AO90" si="267">AN87-12000</f>
        <v>-22269.89</v>
      </c>
      <c r="AP87" s="118">
        <f t="shared" ref="AP87:AP90" si="268">V87-$AJ$87</f>
        <v>-22593.531199999998</v>
      </c>
      <c r="AQ87" s="118">
        <f t="shared" ref="AQ87:AQ90" si="269">V87-$AL$87</f>
        <v>-25544.36</v>
      </c>
      <c r="AR87" s="118">
        <f t="shared" ref="AR87:AR90" si="270">AQ87-12000</f>
        <v>-37544.36</v>
      </c>
    </row>
    <row r="88" spans="1:44" ht="11.25" customHeight="1">
      <c r="A88" s="149" t="s">
        <v>301</v>
      </c>
      <c r="B88" s="189">
        <v>1296</v>
      </c>
      <c r="C88" s="189">
        <v>567</v>
      </c>
      <c r="D88" s="149" t="s">
        <v>178</v>
      </c>
      <c r="E88" s="149" t="s">
        <v>288</v>
      </c>
      <c r="F88" s="190" t="s">
        <v>47</v>
      </c>
      <c r="G88" s="191" t="s">
        <v>116</v>
      </c>
      <c r="H88" s="130" t="s">
        <v>58</v>
      </c>
      <c r="I88" s="21" t="s">
        <v>304</v>
      </c>
      <c r="J88" s="118">
        <f t="shared" si="258"/>
        <v>4306.53</v>
      </c>
      <c r="K88" s="118">
        <f t="shared" si="259"/>
        <v>891.36</v>
      </c>
      <c r="L88" s="119">
        <f t="shared" si="260"/>
        <v>5197.8899999999994</v>
      </c>
      <c r="M88" s="118">
        <f>6000*3</f>
        <v>18000</v>
      </c>
      <c r="N88" s="118">
        <f t="shared" si="261"/>
        <v>1647.3600000000001</v>
      </c>
      <c r="O88" s="119">
        <f t="shared" si="262"/>
        <v>19647.36</v>
      </c>
      <c r="P88" s="132"/>
      <c r="Q88" s="132" t="s">
        <v>51</v>
      </c>
      <c r="R88" s="132">
        <v>5</v>
      </c>
      <c r="S88" s="51">
        <v>28944</v>
      </c>
      <c r="T88" s="19">
        <f t="shared" si="263"/>
        <v>23746.11</v>
      </c>
      <c r="U88" s="18">
        <v>43668</v>
      </c>
      <c r="V88" s="19">
        <f t="shared" si="264"/>
        <v>9296.64</v>
      </c>
      <c r="W88" s="132"/>
      <c r="X88" s="132"/>
      <c r="Y88" s="10">
        <v>45489</v>
      </c>
      <c r="Z88" s="42">
        <v>45413</v>
      </c>
      <c r="AA88" s="132">
        <v>1</v>
      </c>
      <c r="AB88" s="132">
        <v>1.5</v>
      </c>
      <c r="AC88" s="132">
        <v>3</v>
      </c>
      <c r="AD88" s="132">
        <v>2</v>
      </c>
      <c r="AE88" s="56"/>
      <c r="AF88" s="12"/>
      <c r="AG88" s="12" t="s">
        <v>303</v>
      </c>
      <c r="AH88" s="195">
        <v>24864</v>
      </c>
      <c r="AI88" s="196" t="s">
        <v>288</v>
      </c>
      <c r="AJ88" s="197">
        <f t="shared" ref="AJ88:AJ90" si="271">1.1458*AH88</f>
        <v>28489.171199999997</v>
      </c>
      <c r="AK88" s="198">
        <v>2620</v>
      </c>
      <c r="AL88" s="198">
        <f t="shared" ref="AL88:AL90" si="272">AK88*12</f>
        <v>31440</v>
      </c>
      <c r="AM88" s="118">
        <f t="shared" si="265"/>
        <v>-4743.0611999999965</v>
      </c>
      <c r="AN88" s="118">
        <f t="shared" si="266"/>
        <v>-7693.8899999999994</v>
      </c>
      <c r="AO88" s="118">
        <f t="shared" si="267"/>
        <v>-19693.89</v>
      </c>
      <c r="AP88" s="118">
        <f t="shared" si="268"/>
        <v>-19192.531199999998</v>
      </c>
      <c r="AQ88" s="118">
        <f t="shared" si="269"/>
        <v>-22143.360000000001</v>
      </c>
      <c r="AR88" s="118">
        <f t="shared" si="270"/>
        <v>-34143.360000000001</v>
      </c>
    </row>
    <row r="89" spans="1:44" ht="11.25" customHeight="1">
      <c r="A89" s="149" t="s">
        <v>301</v>
      </c>
      <c r="B89" s="189">
        <v>1296</v>
      </c>
      <c r="C89" s="189">
        <v>567</v>
      </c>
      <c r="D89" s="149" t="s">
        <v>178</v>
      </c>
      <c r="E89" s="149" t="s">
        <v>288</v>
      </c>
      <c r="F89" s="149" t="s">
        <v>59</v>
      </c>
      <c r="G89" s="191" t="s">
        <v>72</v>
      </c>
      <c r="H89" s="130" t="s">
        <v>49</v>
      </c>
      <c r="I89" s="17" t="s">
        <v>305</v>
      </c>
      <c r="J89" s="118">
        <f t="shared" si="258"/>
        <v>4306.53</v>
      </c>
      <c r="K89" s="118">
        <f t="shared" si="259"/>
        <v>891.36</v>
      </c>
      <c r="L89" s="119">
        <f t="shared" si="260"/>
        <v>5197.8899999999994</v>
      </c>
      <c r="M89" s="118">
        <f>6275*3</f>
        <v>18825</v>
      </c>
      <c r="N89" s="118">
        <f t="shared" si="261"/>
        <v>1647.3600000000001</v>
      </c>
      <c r="O89" s="119">
        <f t="shared" si="262"/>
        <v>20472.36</v>
      </c>
      <c r="P89" s="132"/>
      <c r="Q89" s="132"/>
      <c r="R89" s="18"/>
      <c r="S89" s="18">
        <f>61634/2</f>
        <v>30817</v>
      </c>
      <c r="T89" s="19">
        <f t="shared" si="263"/>
        <v>25619.11</v>
      </c>
      <c r="U89" s="18">
        <f>96986/2</f>
        <v>48493</v>
      </c>
      <c r="V89" s="19">
        <f t="shared" ref="V89:V90" si="273">U89-O89</f>
        <v>28020.639999999999</v>
      </c>
      <c r="W89" s="132"/>
      <c r="X89" s="132"/>
      <c r="Y89" s="10">
        <v>45400</v>
      </c>
      <c r="Z89" s="134"/>
      <c r="AA89" s="132">
        <v>1</v>
      </c>
      <c r="AB89" s="132">
        <v>1.5</v>
      </c>
      <c r="AC89" s="132">
        <v>2</v>
      </c>
      <c r="AD89" s="132">
        <v>1</v>
      </c>
      <c r="AE89" s="20" t="s">
        <v>306</v>
      </c>
      <c r="AF89" s="12" t="s">
        <v>307</v>
      </c>
      <c r="AG89" s="12" t="s">
        <v>308</v>
      </c>
      <c r="AH89" s="195">
        <v>24864</v>
      </c>
      <c r="AI89" s="196" t="s">
        <v>288</v>
      </c>
      <c r="AJ89" s="197">
        <f t="shared" si="271"/>
        <v>28489.171199999997</v>
      </c>
      <c r="AK89" s="198">
        <v>2620</v>
      </c>
      <c r="AL89" s="198">
        <f t="shared" si="272"/>
        <v>31440</v>
      </c>
      <c r="AM89" s="118">
        <f t="shared" si="265"/>
        <v>-2870.0611999999965</v>
      </c>
      <c r="AN89" s="118">
        <f t="shared" si="266"/>
        <v>-5820.8899999999994</v>
      </c>
      <c r="AO89" s="118">
        <f t="shared" si="267"/>
        <v>-17820.89</v>
      </c>
      <c r="AP89" s="118">
        <f t="shared" si="268"/>
        <v>-468.53119999999763</v>
      </c>
      <c r="AQ89" s="118">
        <f t="shared" si="269"/>
        <v>-3419.3600000000006</v>
      </c>
      <c r="AR89" s="118">
        <f t="shared" si="270"/>
        <v>-15419.36</v>
      </c>
    </row>
    <row r="90" spans="1:44" ht="11.25" customHeight="1">
      <c r="A90" s="149" t="s">
        <v>301</v>
      </c>
      <c r="B90" s="189">
        <v>1296</v>
      </c>
      <c r="C90" s="189">
        <v>567</v>
      </c>
      <c r="D90" s="149" t="s">
        <v>178</v>
      </c>
      <c r="E90" s="149" t="s">
        <v>288</v>
      </c>
      <c r="F90" s="149" t="s">
        <v>59</v>
      </c>
      <c r="G90" s="191" t="s">
        <v>72</v>
      </c>
      <c r="H90" s="130" t="s">
        <v>58</v>
      </c>
      <c r="I90" s="132"/>
      <c r="J90" s="118">
        <f t="shared" si="258"/>
        <v>4306.53</v>
      </c>
      <c r="K90" s="118">
        <f t="shared" si="259"/>
        <v>891.36</v>
      </c>
      <c r="L90" s="119">
        <f t="shared" si="260"/>
        <v>5197.8899999999994</v>
      </c>
      <c r="M90" s="118">
        <f>6000*3</f>
        <v>18000</v>
      </c>
      <c r="N90" s="118">
        <f t="shared" si="261"/>
        <v>1647.3600000000001</v>
      </c>
      <c r="O90" s="119">
        <f t="shared" si="262"/>
        <v>19647.36</v>
      </c>
      <c r="P90" s="132"/>
      <c r="Q90" s="132"/>
      <c r="R90" s="18"/>
      <c r="S90" s="18">
        <v>31817</v>
      </c>
      <c r="T90" s="19">
        <f t="shared" si="263"/>
        <v>26619.11</v>
      </c>
      <c r="U90" s="18">
        <v>48668</v>
      </c>
      <c r="V90" s="19">
        <f t="shared" si="273"/>
        <v>29020.639999999999</v>
      </c>
      <c r="W90" s="132"/>
      <c r="X90" s="132"/>
      <c r="Y90" s="10">
        <v>45400</v>
      </c>
      <c r="Z90" s="134"/>
      <c r="AA90" s="132">
        <v>1</v>
      </c>
      <c r="AB90" s="132">
        <v>1.5</v>
      </c>
      <c r="AC90" s="132">
        <v>2</v>
      </c>
      <c r="AD90" s="132">
        <v>1</v>
      </c>
      <c r="AE90" s="56"/>
      <c r="AF90" s="12"/>
      <c r="AG90" s="12" t="s">
        <v>308</v>
      </c>
      <c r="AH90" s="195">
        <v>24864</v>
      </c>
      <c r="AI90" s="196" t="s">
        <v>288</v>
      </c>
      <c r="AJ90" s="197">
        <f t="shared" si="271"/>
        <v>28489.171199999997</v>
      </c>
      <c r="AK90" s="198">
        <v>2620</v>
      </c>
      <c r="AL90" s="198">
        <f t="shared" si="272"/>
        <v>31440</v>
      </c>
      <c r="AM90" s="118">
        <f t="shared" si="265"/>
        <v>-1870.0611999999965</v>
      </c>
      <c r="AN90" s="118">
        <f t="shared" si="266"/>
        <v>-4820.8899999999994</v>
      </c>
      <c r="AO90" s="118">
        <f t="shared" si="267"/>
        <v>-16820.89</v>
      </c>
      <c r="AP90" s="118">
        <f t="shared" si="268"/>
        <v>531.46880000000237</v>
      </c>
      <c r="AQ90" s="118">
        <f t="shared" si="269"/>
        <v>-2419.3600000000006</v>
      </c>
      <c r="AR90" s="118">
        <f t="shared" si="270"/>
        <v>-14419.36</v>
      </c>
    </row>
    <row r="91" spans="1:44" ht="11.25" customHeight="1">
      <c r="A91" s="149" t="s">
        <v>309</v>
      </c>
      <c r="B91" s="189">
        <v>1036</v>
      </c>
      <c r="C91" s="189">
        <v>155</v>
      </c>
      <c r="D91" s="149" t="s">
        <v>178</v>
      </c>
      <c r="E91" s="149" t="s">
        <v>288</v>
      </c>
      <c r="F91" s="190" t="s">
        <v>47</v>
      </c>
      <c r="G91" s="191" t="s">
        <v>310</v>
      </c>
      <c r="H91" s="130" t="s">
        <v>49</v>
      </c>
      <c r="I91" s="25" t="s">
        <v>311</v>
      </c>
      <c r="J91" s="118">
        <f t="shared" ref="J91:J93" si="274">2537.55 + 2537.54 + 2537.54</f>
        <v>7612.63</v>
      </c>
      <c r="K91" s="118">
        <f t="shared" ref="K91:K94" si="275">906.4 + 228.81 + 228.78</f>
        <v>1363.99</v>
      </c>
      <c r="L91" s="119">
        <f t="shared" ref="L91:L94" si="276">J91+K91</f>
        <v>8976.6200000000008</v>
      </c>
      <c r="M91" s="118">
        <f>8086.67*2 + 8086.66</f>
        <v>24260</v>
      </c>
      <c r="N91" s="118">
        <f>1662.4 + 228.81 + 228.77</f>
        <v>2119.98</v>
      </c>
      <c r="O91" s="119">
        <f t="shared" ref="O91:O94" si="277">M91+N91</f>
        <v>26379.98</v>
      </c>
      <c r="P91" s="132" t="s">
        <v>96</v>
      </c>
      <c r="Q91" s="132" t="s">
        <v>96</v>
      </c>
      <c r="R91" s="132">
        <v>0</v>
      </c>
      <c r="S91" s="18">
        <v>21500</v>
      </c>
      <c r="T91" s="19">
        <f t="shared" ref="T91:T94" si="278">S91-L91</f>
        <v>12523.38</v>
      </c>
      <c r="U91" s="204"/>
      <c r="W91" s="132">
        <v>0</v>
      </c>
      <c r="X91" s="132">
        <v>0</v>
      </c>
      <c r="Y91" s="10">
        <v>45371</v>
      </c>
      <c r="Z91" s="42">
        <v>45017</v>
      </c>
      <c r="AA91" s="132">
        <v>0</v>
      </c>
      <c r="AB91" s="132">
        <v>0.5</v>
      </c>
      <c r="AC91" s="132">
        <v>0</v>
      </c>
      <c r="AD91" s="132">
        <v>0</v>
      </c>
      <c r="AE91" s="56" t="s">
        <v>312</v>
      </c>
      <c r="AF91" s="23" t="s">
        <v>313</v>
      </c>
      <c r="AG91" s="12" t="s">
        <v>314</v>
      </c>
      <c r="AH91" s="195">
        <v>24864</v>
      </c>
      <c r="AI91" s="196" t="s">
        <v>288</v>
      </c>
      <c r="AJ91" s="197">
        <f>1.1458*AH91</f>
        <v>28489.171199999997</v>
      </c>
      <c r="AK91" s="198">
        <v>2620</v>
      </c>
      <c r="AL91" s="198">
        <f>AK91*12</f>
        <v>31440</v>
      </c>
      <c r="AM91" s="118">
        <f t="shared" ref="AM91:AM94" si="279">T91-$AJ$91</f>
        <v>-15965.791199999998</v>
      </c>
      <c r="AN91" s="118">
        <f t="shared" ref="AN91:AN94" si="280">T91-$AL$91</f>
        <v>-18916.620000000003</v>
      </c>
      <c r="AO91" s="118">
        <f t="shared" ref="AO91:AO94" si="281">AN91-12000</f>
        <v>-30916.620000000003</v>
      </c>
      <c r="AP91" s="48">
        <f t="shared" ref="AP91:AP94" si="282">S91-O91-$AJ$91</f>
        <v>-33369.151199999993</v>
      </c>
      <c r="AQ91" s="55">
        <f t="shared" ref="AQ91:AQ94" si="283">S91-O91-$AL$91</f>
        <v>-36319.979999999996</v>
      </c>
      <c r="AR91" s="48">
        <f t="shared" ref="AR91:AR94" si="284">AQ91-12000</f>
        <v>-48319.979999999996</v>
      </c>
    </row>
    <row r="92" spans="1:44" ht="11.25" customHeight="1">
      <c r="A92" s="149" t="s">
        <v>309</v>
      </c>
      <c r="B92" s="189">
        <v>1036</v>
      </c>
      <c r="C92" s="189">
        <v>155</v>
      </c>
      <c r="D92" s="149" t="s">
        <v>178</v>
      </c>
      <c r="E92" s="149" t="s">
        <v>288</v>
      </c>
      <c r="F92" s="190" t="s">
        <v>47</v>
      </c>
      <c r="G92" s="191" t="s">
        <v>310</v>
      </c>
      <c r="H92" s="130" t="s">
        <v>58</v>
      </c>
      <c r="I92" s="25" t="s">
        <v>311</v>
      </c>
      <c r="J92" s="33">
        <f t="shared" si="274"/>
        <v>7612.63</v>
      </c>
      <c r="K92" s="33">
        <f t="shared" si="275"/>
        <v>1363.99</v>
      </c>
      <c r="L92" s="119">
        <f t="shared" si="276"/>
        <v>8976.6200000000008</v>
      </c>
      <c r="M92" s="118">
        <f>7746.67*2 + 7746.66</f>
        <v>23240</v>
      </c>
      <c r="N92" s="118">
        <f>1662.4 + 228.81 + 228.78</f>
        <v>2119.9900000000002</v>
      </c>
      <c r="O92" s="119">
        <f t="shared" si="277"/>
        <v>25359.99</v>
      </c>
      <c r="P92" s="132" t="s">
        <v>96</v>
      </c>
      <c r="Q92" s="132" t="s">
        <v>96</v>
      </c>
      <c r="R92" s="132">
        <v>0</v>
      </c>
      <c r="S92" s="18">
        <v>25500</v>
      </c>
      <c r="T92" s="19">
        <f t="shared" si="278"/>
        <v>16523.379999999997</v>
      </c>
      <c r="W92" s="132">
        <v>0</v>
      </c>
      <c r="X92" s="132">
        <v>0</v>
      </c>
      <c r="Y92" s="10">
        <v>45371</v>
      </c>
      <c r="Z92" s="42">
        <v>45017</v>
      </c>
      <c r="AA92" s="132">
        <v>0</v>
      </c>
      <c r="AB92" s="132">
        <v>0.5</v>
      </c>
      <c r="AC92" s="132">
        <v>0</v>
      </c>
      <c r="AD92" s="132">
        <v>0</v>
      </c>
      <c r="AE92" s="56" t="s">
        <v>312</v>
      </c>
      <c r="AF92" s="12" t="s">
        <v>313</v>
      </c>
      <c r="AG92" s="12" t="s">
        <v>314</v>
      </c>
      <c r="AH92" s="195">
        <v>24864</v>
      </c>
      <c r="AI92" s="196" t="s">
        <v>288</v>
      </c>
      <c r="AJ92" s="197">
        <f t="shared" ref="AJ92:AJ94" si="285">1.1458*AH92</f>
        <v>28489.171199999997</v>
      </c>
      <c r="AK92" s="198">
        <v>2620</v>
      </c>
      <c r="AL92" s="198">
        <f t="shared" ref="AL92:AL94" si="286">AK92*12</f>
        <v>31440</v>
      </c>
      <c r="AM92" s="118">
        <f t="shared" si="279"/>
        <v>-11965.7912</v>
      </c>
      <c r="AN92" s="118">
        <f t="shared" si="280"/>
        <v>-14916.620000000003</v>
      </c>
      <c r="AO92" s="118">
        <f t="shared" si="281"/>
        <v>-26916.620000000003</v>
      </c>
      <c r="AP92" s="48">
        <f t="shared" si="282"/>
        <v>-28349.161199999999</v>
      </c>
      <c r="AQ92" s="55">
        <f t="shared" si="283"/>
        <v>-31299.99</v>
      </c>
      <c r="AR92" s="48">
        <f t="shared" si="284"/>
        <v>-43299.990000000005</v>
      </c>
    </row>
    <row r="93" spans="1:44" ht="11.25" customHeight="1">
      <c r="A93" s="149" t="s">
        <v>309</v>
      </c>
      <c r="B93" s="189">
        <v>1036</v>
      </c>
      <c r="C93" s="189">
        <v>155</v>
      </c>
      <c r="D93" s="149" t="s">
        <v>178</v>
      </c>
      <c r="E93" s="149" t="s">
        <v>288</v>
      </c>
      <c r="F93" s="149" t="s">
        <v>59</v>
      </c>
      <c r="G93" s="191" t="s">
        <v>101</v>
      </c>
      <c r="H93" s="130" t="s">
        <v>49</v>
      </c>
      <c r="I93" s="17" t="s">
        <v>315</v>
      </c>
      <c r="J93" s="33">
        <f t="shared" si="274"/>
        <v>7612.63</v>
      </c>
      <c r="K93" s="33">
        <f t="shared" si="275"/>
        <v>1363.99</v>
      </c>
      <c r="L93" s="119">
        <f t="shared" si="276"/>
        <v>8976.6200000000008</v>
      </c>
      <c r="M93" s="118">
        <f>8086.67*2 + 8086.66</f>
        <v>24260</v>
      </c>
      <c r="N93" s="118">
        <f>1662.4 + 228.81 + 228.77</f>
        <v>2119.98</v>
      </c>
      <c r="O93" s="119">
        <f t="shared" si="277"/>
        <v>26379.98</v>
      </c>
      <c r="P93" s="132" t="s">
        <v>96</v>
      </c>
      <c r="Q93" s="132"/>
      <c r="R93" s="18"/>
      <c r="S93" s="18">
        <v>25000</v>
      </c>
      <c r="T93" s="19">
        <f t="shared" si="278"/>
        <v>16023.38</v>
      </c>
      <c r="W93" s="132">
        <v>10</v>
      </c>
      <c r="X93" s="132">
        <v>0</v>
      </c>
      <c r="Y93" s="134" t="s">
        <v>316</v>
      </c>
      <c r="Z93" s="42">
        <v>45017</v>
      </c>
      <c r="AA93" s="132">
        <v>0</v>
      </c>
      <c r="AB93" s="132">
        <v>0.5</v>
      </c>
      <c r="AC93" s="132">
        <v>3</v>
      </c>
      <c r="AD93" s="132">
        <v>0</v>
      </c>
      <c r="AE93" s="56" t="s">
        <v>317</v>
      </c>
      <c r="AF93" s="23" t="s">
        <v>313</v>
      </c>
      <c r="AG93" s="12" t="s">
        <v>318</v>
      </c>
      <c r="AH93" s="195">
        <v>24864</v>
      </c>
      <c r="AI93" s="196" t="s">
        <v>288</v>
      </c>
      <c r="AJ93" s="197">
        <f t="shared" si="285"/>
        <v>28489.171199999997</v>
      </c>
      <c r="AK93" s="198">
        <v>2620</v>
      </c>
      <c r="AL93" s="198">
        <f t="shared" si="286"/>
        <v>31440</v>
      </c>
      <c r="AM93" s="118">
        <f t="shared" si="279"/>
        <v>-12465.791199999998</v>
      </c>
      <c r="AN93" s="118">
        <f t="shared" si="280"/>
        <v>-15416.62</v>
      </c>
      <c r="AO93" s="118">
        <f t="shared" si="281"/>
        <v>-27416.620000000003</v>
      </c>
      <c r="AP93" s="48">
        <f t="shared" si="282"/>
        <v>-29869.151199999997</v>
      </c>
      <c r="AQ93" s="55">
        <f t="shared" si="283"/>
        <v>-32819.979999999996</v>
      </c>
      <c r="AR93" s="48">
        <f t="shared" si="284"/>
        <v>-44819.979999999996</v>
      </c>
    </row>
    <row r="94" spans="1:44" ht="11.25" customHeight="1">
      <c r="A94" s="149" t="s">
        <v>309</v>
      </c>
      <c r="B94" s="189">
        <v>1036</v>
      </c>
      <c r="C94" s="189">
        <v>155</v>
      </c>
      <c r="D94" s="149" t="s">
        <v>178</v>
      </c>
      <c r="E94" s="149" t="s">
        <v>288</v>
      </c>
      <c r="F94" s="149" t="s">
        <v>59</v>
      </c>
      <c r="G94" s="191" t="s">
        <v>101</v>
      </c>
      <c r="H94" s="130" t="s">
        <v>58</v>
      </c>
      <c r="I94" s="21" t="s">
        <v>315</v>
      </c>
      <c r="J94" s="118">
        <f>2537.55 + 2537.54*2</f>
        <v>7612.63</v>
      </c>
      <c r="K94" s="33">
        <f t="shared" si="275"/>
        <v>1363.99</v>
      </c>
      <c r="L94" s="119">
        <f t="shared" si="276"/>
        <v>8976.6200000000008</v>
      </c>
      <c r="M94" s="118">
        <f>7746.67*2 + 7746.66</f>
        <v>23240</v>
      </c>
      <c r="N94" s="118">
        <f>1662.4 + 228.81 + 228.78</f>
        <v>2119.9900000000002</v>
      </c>
      <c r="O94" s="119">
        <f t="shared" si="277"/>
        <v>25359.99</v>
      </c>
      <c r="P94" s="132" t="s">
        <v>96</v>
      </c>
      <c r="Q94" s="132"/>
      <c r="R94" s="18"/>
      <c r="S94" s="18">
        <v>30000</v>
      </c>
      <c r="T94" s="19">
        <f t="shared" si="278"/>
        <v>21023.379999999997</v>
      </c>
      <c r="W94" s="132">
        <v>10</v>
      </c>
      <c r="X94" s="132">
        <v>0</v>
      </c>
      <c r="Y94" s="134" t="s">
        <v>316</v>
      </c>
      <c r="Z94" s="42">
        <v>45017</v>
      </c>
      <c r="AA94" s="132">
        <v>0</v>
      </c>
      <c r="AB94" s="132">
        <v>0.5</v>
      </c>
      <c r="AC94" s="132">
        <v>3</v>
      </c>
      <c r="AD94" s="132">
        <v>0</v>
      </c>
      <c r="AE94" s="56" t="s">
        <v>317</v>
      </c>
      <c r="AF94" s="12" t="s">
        <v>313</v>
      </c>
      <c r="AG94" s="12" t="s">
        <v>318</v>
      </c>
      <c r="AH94" s="195">
        <v>24864</v>
      </c>
      <c r="AI94" s="196" t="s">
        <v>288</v>
      </c>
      <c r="AJ94" s="197">
        <f t="shared" si="285"/>
        <v>28489.171199999997</v>
      </c>
      <c r="AK94" s="198">
        <v>2620</v>
      </c>
      <c r="AL94" s="198">
        <f t="shared" si="286"/>
        <v>31440</v>
      </c>
      <c r="AM94" s="118">
        <f t="shared" si="279"/>
        <v>-7465.7911999999997</v>
      </c>
      <c r="AN94" s="118">
        <f t="shared" si="280"/>
        <v>-10416.620000000003</v>
      </c>
      <c r="AO94" s="118">
        <f t="shared" si="281"/>
        <v>-22416.620000000003</v>
      </c>
      <c r="AP94" s="48">
        <f t="shared" si="282"/>
        <v>-23849.161199999999</v>
      </c>
      <c r="AQ94" s="55">
        <f t="shared" si="283"/>
        <v>-26799.99</v>
      </c>
      <c r="AR94" s="48">
        <f t="shared" si="284"/>
        <v>-38799.990000000005</v>
      </c>
    </row>
    <row r="95" spans="1:44" ht="11.25" customHeight="1">
      <c r="A95" s="149" t="s">
        <v>319</v>
      </c>
      <c r="B95" s="189">
        <v>1226</v>
      </c>
      <c r="C95" s="189">
        <v>492</v>
      </c>
      <c r="D95" s="149" t="s">
        <v>178</v>
      </c>
      <c r="E95" s="149" t="s">
        <v>319</v>
      </c>
      <c r="F95" s="190" t="s">
        <v>47</v>
      </c>
      <c r="G95" s="191" t="s">
        <v>165</v>
      </c>
      <c r="H95" s="130" t="s">
        <v>49</v>
      </c>
      <c r="I95" s="6" t="s">
        <v>320</v>
      </c>
      <c r="J95" s="118">
        <f t="shared" ref="J95:J98" si="287">2254*3</f>
        <v>6762</v>
      </c>
      <c r="K95" s="118">
        <f t="shared" ref="K95:K98" si="288">(19.93+2.12+2.12+66+108+9.33+113.3+10+19.9+69.47+12.77+17.16+57.38+14.53+14.93)*3</f>
        <v>1610.8199999999997</v>
      </c>
      <c r="L95" s="119">
        <f t="shared" ref="L95:L98" si="289">J95+K95</f>
        <v>8372.82</v>
      </c>
      <c r="M95" s="118">
        <f>7696*3</f>
        <v>23088</v>
      </c>
      <c r="N95" s="118">
        <f t="shared" ref="N95:N98" si="290">K95+252*3</f>
        <v>2366.8199999999997</v>
      </c>
      <c r="O95" s="119">
        <f t="shared" ref="O95:O98" si="291">M95+N95</f>
        <v>25454.82</v>
      </c>
      <c r="P95" s="191" t="s">
        <v>321</v>
      </c>
      <c r="Q95" s="132" t="s">
        <v>51</v>
      </c>
      <c r="R95" s="132">
        <v>2</v>
      </c>
      <c r="S95" s="18">
        <v>26073</v>
      </c>
      <c r="T95" s="19">
        <f t="shared" ref="T95:T96" si="292">S95-L95</f>
        <v>17700.18</v>
      </c>
      <c r="U95" s="204"/>
      <c r="W95" s="132" t="s">
        <v>322</v>
      </c>
      <c r="X95" s="132"/>
      <c r="Y95" s="10">
        <v>45363</v>
      </c>
      <c r="Z95" s="42">
        <v>45017</v>
      </c>
      <c r="AA95" s="132">
        <v>0</v>
      </c>
      <c r="AB95" s="132">
        <v>1</v>
      </c>
      <c r="AC95" s="132">
        <v>2</v>
      </c>
      <c r="AD95" s="132">
        <v>1</v>
      </c>
      <c r="AE95" s="193" t="s">
        <v>323</v>
      </c>
      <c r="AF95" s="57" t="s">
        <v>324</v>
      </c>
      <c r="AG95" s="12" t="s">
        <v>325</v>
      </c>
      <c r="AH95" s="195">
        <v>22170</v>
      </c>
      <c r="AI95" s="196" t="s">
        <v>326</v>
      </c>
      <c r="AJ95" s="197">
        <f>1.1458*AH95</f>
        <v>25402.385999999999</v>
      </c>
      <c r="AK95" s="198">
        <v>1714</v>
      </c>
      <c r="AL95" s="198">
        <f>AK95*12</f>
        <v>20568</v>
      </c>
      <c r="AM95" s="118">
        <f t="shared" ref="AM95:AM98" si="293">T95-$AJ$95</f>
        <v>-7702.2059999999983</v>
      </c>
      <c r="AN95" s="118">
        <f t="shared" ref="AN95:AN98" si="294">T95-$AL$95</f>
        <v>-2867.8199999999997</v>
      </c>
      <c r="AO95" s="118">
        <f t="shared" ref="AO95:AO98" si="295">AN95-12000</f>
        <v>-14867.82</v>
      </c>
      <c r="AP95" s="15">
        <f t="shared" ref="AP95:AP96" si="296">S95-O95-$AJ$95</f>
        <v>-24784.205999999998</v>
      </c>
      <c r="AQ95" s="52">
        <f t="shared" ref="AQ95:AQ96" si="297">S95-O95-$AL$95</f>
        <v>-19949.82</v>
      </c>
      <c r="AR95" s="15">
        <f t="shared" ref="AR95:AR98" si="298">AQ95-12000</f>
        <v>-31949.82</v>
      </c>
    </row>
    <row r="96" spans="1:44" ht="11.25" customHeight="1">
      <c r="A96" s="149" t="s">
        <v>319</v>
      </c>
      <c r="B96" s="189">
        <v>1226</v>
      </c>
      <c r="C96" s="189">
        <v>492</v>
      </c>
      <c r="D96" s="149" t="s">
        <v>178</v>
      </c>
      <c r="E96" s="149" t="s">
        <v>319</v>
      </c>
      <c r="F96" s="190" t="s">
        <v>47</v>
      </c>
      <c r="G96" s="191" t="s">
        <v>165</v>
      </c>
      <c r="H96" s="130" t="s">
        <v>58</v>
      </c>
      <c r="I96" s="21" t="s">
        <v>327</v>
      </c>
      <c r="J96" s="118">
        <f t="shared" si="287"/>
        <v>6762</v>
      </c>
      <c r="K96" s="118">
        <f t="shared" si="288"/>
        <v>1610.8199999999997</v>
      </c>
      <c r="L96" s="119">
        <f t="shared" si="289"/>
        <v>8372.82</v>
      </c>
      <c r="M96" s="118">
        <f>7396*3</f>
        <v>22188</v>
      </c>
      <c r="N96" s="118">
        <f t="shared" si="290"/>
        <v>2366.8199999999997</v>
      </c>
      <c r="O96" s="119">
        <f t="shared" si="291"/>
        <v>24554.82</v>
      </c>
      <c r="Q96" s="132" t="s">
        <v>51</v>
      </c>
      <c r="R96" s="132">
        <v>4</v>
      </c>
      <c r="S96" s="18">
        <v>26073</v>
      </c>
      <c r="T96" s="19">
        <f t="shared" si="292"/>
        <v>17700.18</v>
      </c>
      <c r="W96" s="132" t="s">
        <v>322</v>
      </c>
      <c r="X96" s="132"/>
      <c r="Y96" s="10">
        <v>45363</v>
      </c>
      <c r="Z96" s="42">
        <v>45017</v>
      </c>
      <c r="AA96" s="132">
        <v>0</v>
      </c>
      <c r="AB96" s="132">
        <v>1</v>
      </c>
      <c r="AC96" s="132">
        <v>2</v>
      </c>
      <c r="AD96" s="132">
        <v>1</v>
      </c>
      <c r="AF96" s="57" t="s">
        <v>324</v>
      </c>
      <c r="AG96" s="12" t="s">
        <v>325</v>
      </c>
      <c r="AH96" s="195">
        <v>22170</v>
      </c>
      <c r="AI96" s="196" t="s">
        <v>326</v>
      </c>
      <c r="AJ96" s="197">
        <f t="shared" ref="AJ96:AJ98" si="299">1.1458*AH96</f>
        <v>25402.385999999999</v>
      </c>
      <c r="AK96" s="198">
        <v>1714</v>
      </c>
      <c r="AL96" s="198">
        <f t="shared" ref="AL96:AL98" si="300">AK96*12</f>
        <v>20568</v>
      </c>
      <c r="AM96" s="118">
        <f t="shared" si="293"/>
        <v>-7702.2059999999983</v>
      </c>
      <c r="AN96" s="118">
        <f t="shared" si="294"/>
        <v>-2867.8199999999997</v>
      </c>
      <c r="AO96" s="118">
        <f t="shared" si="295"/>
        <v>-14867.82</v>
      </c>
      <c r="AP96" s="15">
        <f t="shared" si="296"/>
        <v>-23884.205999999998</v>
      </c>
      <c r="AQ96" s="52">
        <f t="shared" si="297"/>
        <v>-19049.82</v>
      </c>
      <c r="AR96" s="15">
        <f t="shared" si="298"/>
        <v>-31049.82</v>
      </c>
    </row>
    <row r="97" spans="1:44" ht="11.25" customHeight="1">
      <c r="A97" s="149" t="s">
        <v>319</v>
      </c>
      <c r="B97" s="189">
        <v>1226</v>
      </c>
      <c r="C97" s="189">
        <v>492</v>
      </c>
      <c r="D97" s="149" t="s">
        <v>178</v>
      </c>
      <c r="E97" s="149" t="s">
        <v>319</v>
      </c>
      <c r="F97" s="149" t="s">
        <v>59</v>
      </c>
      <c r="G97" s="191" t="s">
        <v>328</v>
      </c>
      <c r="H97" s="130" t="s">
        <v>49</v>
      </c>
      <c r="I97" s="17" t="s">
        <v>329</v>
      </c>
      <c r="J97" s="118">
        <f t="shared" si="287"/>
        <v>6762</v>
      </c>
      <c r="K97" s="118">
        <f t="shared" si="288"/>
        <v>1610.8199999999997</v>
      </c>
      <c r="L97" s="119">
        <f t="shared" si="289"/>
        <v>8372.82</v>
      </c>
      <c r="M97" s="118">
        <f>7696*3</f>
        <v>23088</v>
      </c>
      <c r="N97" s="118">
        <f t="shared" si="290"/>
        <v>2366.8199999999997</v>
      </c>
      <c r="O97" s="119">
        <f t="shared" si="291"/>
        <v>25454.82</v>
      </c>
      <c r="Q97" s="132" t="s">
        <v>51</v>
      </c>
      <c r="R97" s="18">
        <v>2</v>
      </c>
      <c r="S97" s="18"/>
      <c r="T97" s="19">
        <v>21000</v>
      </c>
      <c r="U97" s="18"/>
      <c r="V97" s="19">
        <v>21000</v>
      </c>
      <c r="W97" s="132" t="s">
        <v>322</v>
      </c>
      <c r="X97" s="132"/>
      <c r="Y97" s="10">
        <v>45371</v>
      </c>
      <c r="Z97" s="58">
        <v>45017</v>
      </c>
      <c r="AA97" s="132">
        <v>0</v>
      </c>
      <c r="AB97" s="132">
        <v>1</v>
      </c>
      <c r="AC97" s="132">
        <v>3</v>
      </c>
      <c r="AD97" s="132">
        <v>1</v>
      </c>
      <c r="AE97" s="200" t="s">
        <v>330</v>
      </c>
      <c r="AF97" s="12" t="s">
        <v>324</v>
      </c>
      <c r="AG97" s="12" t="s">
        <v>331</v>
      </c>
      <c r="AH97" s="195">
        <v>22170</v>
      </c>
      <c r="AI97" s="196" t="s">
        <v>326</v>
      </c>
      <c r="AJ97" s="197">
        <f t="shared" si="299"/>
        <v>25402.385999999999</v>
      </c>
      <c r="AK97" s="198">
        <v>1714</v>
      </c>
      <c r="AL97" s="198">
        <f t="shared" si="300"/>
        <v>20568</v>
      </c>
      <c r="AM97" s="118">
        <f t="shared" si="293"/>
        <v>-4402.3859999999986</v>
      </c>
      <c r="AN97" s="118">
        <f t="shared" si="294"/>
        <v>432</v>
      </c>
      <c r="AO97" s="118">
        <f t="shared" si="295"/>
        <v>-11568</v>
      </c>
      <c r="AP97" s="118">
        <f t="shared" ref="AP97:AP98" si="301">V97-$AJ$95</f>
        <v>-4402.3859999999986</v>
      </c>
      <c r="AQ97" s="118">
        <f>V97-AL95</f>
        <v>432</v>
      </c>
      <c r="AR97" s="118">
        <f t="shared" si="298"/>
        <v>-11568</v>
      </c>
    </row>
    <row r="98" spans="1:44" ht="11.25" customHeight="1">
      <c r="A98" s="149" t="s">
        <v>319</v>
      </c>
      <c r="B98" s="189">
        <v>1226</v>
      </c>
      <c r="C98" s="189">
        <v>492</v>
      </c>
      <c r="D98" s="149" t="s">
        <v>178</v>
      </c>
      <c r="E98" s="149" t="s">
        <v>319</v>
      </c>
      <c r="F98" s="149" t="s">
        <v>59</v>
      </c>
      <c r="G98" s="191" t="s">
        <v>328</v>
      </c>
      <c r="H98" s="130" t="s">
        <v>58</v>
      </c>
      <c r="I98" s="21" t="s">
        <v>329</v>
      </c>
      <c r="J98" s="33">
        <f t="shared" si="287"/>
        <v>6762</v>
      </c>
      <c r="K98" s="118">
        <f t="shared" si="288"/>
        <v>1610.8199999999997</v>
      </c>
      <c r="L98" s="119">
        <f t="shared" si="289"/>
        <v>8372.82</v>
      </c>
      <c r="M98" s="118">
        <f>7396*3</f>
        <v>22188</v>
      </c>
      <c r="N98" s="118">
        <f t="shared" si="290"/>
        <v>2366.8199999999997</v>
      </c>
      <c r="O98" s="119">
        <f t="shared" si="291"/>
        <v>24554.82</v>
      </c>
      <c r="Q98" s="132" t="s">
        <v>51</v>
      </c>
      <c r="R98" s="18">
        <v>4</v>
      </c>
      <c r="S98" s="18"/>
      <c r="T98" s="19">
        <v>21000</v>
      </c>
      <c r="U98" s="18"/>
      <c r="V98" s="19">
        <v>21000</v>
      </c>
      <c r="W98" s="132" t="s">
        <v>322</v>
      </c>
      <c r="X98" s="132"/>
      <c r="Y98" s="10">
        <v>45371</v>
      </c>
      <c r="Z98" s="58">
        <v>45017</v>
      </c>
      <c r="AA98" s="132">
        <v>0</v>
      </c>
      <c r="AB98" s="132">
        <v>1</v>
      </c>
      <c r="AC98" s="132">
        <v>3</v>
      </c>
      <c r="AD98" s="132">
        <v>1</v>
      </c>
      <c r="AF98" s="12" t="s">
        <v>324</v>
      </c>
      <c r="AG98" s="12" t="s">
        <v>331</v>
      </c>
      <c r="AH98" s="195">
        <v>22170</v>
      </c>
      <c r="AI98" s="196" t="s">
        <v>326</v>
      </c>
      <c r="AJ98" s="197">
        <f t="shared" si="299"/>
        <v>25402.385999999999</v>
      </c>
      <c r="AK98" s="198">
        <v>1714</v>
      </c>
      <c r="AL98" s="198">
        <f t="shared" si="300"/>
        <v>20568</v>
      </c>
      <c r="AM98" s="118">
        <f t="shared" si="293"/>
        <v>-4402.3859999999986</v>
      </c>
      <c r="AN98" s="118">
        <f t="shared" si="294"/>
        <v>432</v>
      </c>
      <c r="AO98" s="118">
        <f t="shared" si="295"/>
        <v>-11568</v>
      </c>
      <c r="AP98" s="118">
        <f t="shared" si="301"/>
        <v>-4402.3859999999986</v>
      </c>
      <c r="AQ98" s="118">
        <f>V98-AL95</f>
        <v>432</v>
      </c>
      <c r="AR98" s="118">
        <f t="shared" si="298"/>
        <v>-11568</v>
      </c>
    </row>
    <row r="99" spans="1:44" ht="11.25" customHeight="1">
      <c r="A99" s="149" t="s">
        <v>332</v>
      </c>
      <c r="B99" s="189">
        <v>421</v>
      </c>
      <c r="C99" s="189">
        <v>114</v>
      </c>
      <c r="D99" s="149" t="s">
        <v>178</v>
      </c>
      <c r="E99" s="149" t="s">
        <v>319</v>
      </c>
      <c r="F99" s="190" t="s">
        <v>47</v>
      </c>
      <c r="G99" s="191" t="s">
        <v>333</v>
      </c>
      <c r="H99" s="130" t="s">
        <v>49</v>
      </c>
      <c r="I99" s="21" t="s">
        <v>334</v>
      </c>
      <c r="J99" s="132">
        <v>6788.76</v>
      </c>
      <c r="K99" s="118">
        <f t="shared" ref="K99:K100" si="302">20.16+3.2*3+235.32+53.96*3+10*3+453.68+8.65*3+8*3+402.65*3+3.63*3+28+6.82*3+118.97*3+95*3</f>
        <v>2869.7999999999997</v>
      </c>
      <c r="L99" s="119">
        <f t="shared" ref="L99:L100" si="303">J99+K99</f>
        <v>9658.56</v>
      </c>
      <c r="M99" s="118">
        <v>21171.39</v>
      </c>
      <c r="N99" s="118">
        <f t="shared" ref="N99:N100" si="304">20.16+3.2*3+235.32+53.96*3+10*3+453.68+8.65*3+8*3+402.65*3+3.63*3+28+6.82*3+118.97*3+95*3</f>
        <v>2869.7999999999997</v>
      </c>
      <c r="O99" s="119">
        <f t="shared" ref="O99:O100" si="305">M99+N99</f>
        <v>24041.19</v>
      </c>
      <c r="P99" s="132" t="s">
        <v>335</v>
      </c>
      <c r="Q99" s="18" t="s">
        <v>51</v>
      </c>
      <c r="R99" s="132"/>
      <c r="S99" s="18">
        <v>21500</v>
      </c>
      <c r="T99" s="19">
        <f t="shared" ref="T99:T100" si="306">S99-L99</f>
        <v>11841.44</v>
      </c>
      <c r="U99" s="211"/>
      <c r="W99" s="132" t="s">
        <v>336</v>
      </c>
      <c r="X99" s="132"/>
      <c r="Y99" s="59">
        <v>45341</v>
      </c>
      <c r="Z99" s="134"/>
      <c r="AA99" s="132">
        <v>0</v>
      </c>
      <c r="AB99" s="132">
        <v>0.25</v>
      </c>
      <c r="AC99" s="132">
        <v>1</v>
      </c>
      <c r="AD99" s="132">
        <v>0</v>
      </c>
      <c r="AE99" s="56" t="s">
        <v>337</v>
      </c>
      <c r="AF99" s="12" t="s">
        <v>338</v>
      </c>
      <c r="AG99" s="12" t="s">
        <v>339</v>
      </c>
      <c r="AH99" s="195">
        <v>22170</v>
      </c>
      <c r="AI99" s="196" t="s">
        <v>319</v>
      </c>
      <c r="AJ99" s="197">
        <f>1.1458*AH99</f>
        <v>25402.385999999999</v>
      </c>
      <c r="AK99" s="198">
        <v>1714</v>
      </c>
      <c r="AL99" s="198">
        <f>AK99*12</f>
        <v>20568</v>
      </c>
      <c r="AM99" s="118">
        <f t="shared" ref="AM99:AM100" si="307">T99-$AJ$99</f>
        <v>-13560.945999999998</v>
      </c>
      <c r="AN99" s="118">
        <f t="shared" ref="AN99:AN100" si="308">T99-$AL$99</f>
        <v>-8726.56</v>
      </c>
      <c r="AO99" s="118">
        <f t="shared" ref="AO99:AO100" si="309">AN99-12000</f>
        <v>-20726.559999999998</v>
      </c>
      <c r="AP99" s="118">
        <f t="shared" ref="AP99:AP100" si="310">S99-O99-$AJ$99</f>
        <v>-27943.575999999997</v>
      </c>
      <c r="AQ99" s="118">
        <f t="shared" ref="AQ99:AQ100" si="311">S99-O99-$AL$99</f>
        <v>-23109.19</v>
      </c>
      <c r="AR99" s="118">
        <f t="shared" ref="AR99:AR100" si="312">AQ99-12000</f>
        <v>-35109.19</v>
      </c>
    </row>
    <row r="100" spans="1:44" ht="11.25" customHeight="1">
      <c r="A100" s="149" t="s">
        <v>332</v>
      </c>
      <c r="B100" s="189">
        <v>421</v>
      </c>
      <c r="C100" s="189">
        <v>114</v>
      </c>
      <c r="D100" s="149" t="s">
        <v>178</v>
      </c>
      <c r="E100" s="149" t="s">
        <v>319</v>
      </c>
      <c r="F100" s="190" t="s">
        <v>47</v>
      </c>
      <c r="G100" s="191" t="s">
        <v>333</v>
      </c>
      <c r="H100" s="130" t="s">
        <v>58</v>
      </c>
      <c r="I100" s="21" t="s">
        <v>340</v>
      </c>
      <c r="J100" s="132">
        <v>6788.76</v>
      </c>
      <c r="K100" s="118">
        <f t="shared" si="302"/>
        <v>2869.7999999999997</v>
      </c>
      <c r="L100" s="119">
        <f t="shared" si="303"/>
        <v>9658.56</v>
      </c>
      <c r="M100" s="118">
        <v>21171.39</v>
      </c>
      <c r="N100" s="118">
        <f t="shared" si="304"/>
        <v>2869.7999999999997</v>
      </c>
      <c r="O100" s="119">
        <f t="shared" si="305"/>
        <v>24041.19</v>
      </c>
      <c r="P100" s="132" t="s">
        <v>335</v>
      </c>
      <c r="Q100" s="18" t="s">
        <v>51</v>
      </c>
      <c r="R100" s="132">
        <v>4</v>
      </c>
      <c r="S100" s="18">
        <v>27500</v>
      </c>
      <c r="T100" s="19">
        <f t="shared" si="306"/>
        <v>17841.440000000002</v>
      </c>
      <c r="W100" s="132" t="s">
        <v>336</v>
      </c>
      <c r="X100" s="132"/>
      <c r="Y100" s="59">
        <v>45341</v>
      </c>
      <c r="Z100" s="134"/>
      <c r="AA100" s="132">
        <v>0</v>
      </c>
      <c r="AB100" s="132">
        <v>0.25</v>
      </c>
      <c r="AC100" s="132">
        <v>1</v>
      </c>
      <c r="AD100" s="132">
        <v>0</v>
      </c>
      <c r="AE100" s="56" t="s">
        <v>337</v>
      </c>
      <c r="AF100" s="23" t="s">
        <v>338</v>
      </c>
      <c r="AG100" s="12" t="s">
        <v>341</v>
      </c>
      <c r="AH100" s="195">
        <v>22170</v>
      </c>
      <c r="AI100" s="196" t="s">
        <v>319</v>
      </c>
      <c r="AJ100" s="197">
        <f t="shared" ref="AJ100" si="313">1.1458*AH100</f>
        <v>25402.385999999999</v>
      </c>
      <c r="AK100" s="198">
        <v>1714</v>
      </c>
      <c r="AL100" s="198">
        <f t="shared" ref="AL100" si="314">AK100*12</f>
        <v>20568</v>
      </c>
      <c r="AM100" s="118">
        <f t="shared" si="307"/>
        <v>-7560.9459999999963</v>
      </c>
      <c r="AN100" s="118">
        <f t="shared" si="308"/>
        <v>-2726.5599999999977</v>
      </c>
      <c r="AO100" s="118">
        <f t="shared" si="309"/>
        <v>-14726.559999999998</v>
      </c>
      <c r="AP100" s="118">
        <f t="shared" si="310"/>
        <v>-21943.575999999997</v>
      </c>
      <c r="AQ100" s="118">
        <f t="shared" si="311"/>
        <v>-17109.189999999999</v>
      </c>
      <c r="AR100" s="118">
        <f t="shared" si="312"/>
        <v>-29109.19</v>
      </c>
    </row>
    <row r="101" spans="1:44" ht="11.25" customHeight="1">
      <c r="A101" s="149" t="s">
        <v>342</v>
      </c>
      <c r="B101" s="189">
        <v>427</v>
      </c>
      <c r="C101" s="189">
        <v>140</v>
      </c>
      <c r="D101" s="149" t="s">
        <v>178</v>
      </c>
      <c r="E101" s="149" t="s">
        <v>342</v>
      </c>
      <c r="F101" s="190" t="s">
        <v>47</v>
      </c>
      <c r="G101" s="191" t="s">
        <v>343</v>
      </c>
      <c r="H101" s="130" t="s">
        <v>49</v>
      </c>
      <c r="I101" s="21" t="s">
        <v>344</v>
      </c>
      <c r="J101" s="118">
        <f t="shared" ref="J101:J104" si="315">2393.1*3</f>
        <v>7179.2999999999993</v>
      </c>
      <c r="K101" s="118">
        <f t="shared" ref="K101:K104" si="316">159.82+548.76+65.63*2+121.9*3+16.95*2+36.58*3+30+7.1+48.39*3</f>
        <v>1531.45</v>
      </c>
      <c r="L101" s="119">
        <f t="shared" ref="L101:L104" si="317">J101+K101</f>
        <v>8710.75</v>
      </c>
      <c r="M101" s="118">
        <f>8055*3</f>
        <v>24165</v>
      </c>
      <c r="N101" s="118">
        <f t="shared" ref="N101:N104" si="318">159.82+548.76+243.22*3+65.63*2+121.9*3+16.95*2+36.58*3+30+7.1+48.39*3+3.5*3</f>
        <v>2271.6099999999997</v>
      </c>
      <c r="O101" s="119">
        <f t="shared" ref="O101:O104" si="319">M101+N101</f>
        <v>26436.61</v>
      </c>
      <c r="P101" s="132"/>
      <c r="Q101" s="132"/>
      <c r="R101" s="132"/>
      <c r="S101" s="208"/>
      <c r="W101" s="132"/>
      <c r="X101" s="132"/>
      <c r="Y101" s="10">
        <v>45400</v>
      </c>
      <c r="Z101" s="134" t="s">
        <v>345</v>
      </c>
      <c r="AA101" s="132">
        <v>1</v>
      </c>
      <c r="AB101" s="132">
        <v>2</v>
      </c>
      <c r="AC101" s="132">
        <v>0</v>
      </c>
      <c r="AD101" s="132">
        <v>0</v>
      </c>
      <c r="AE101" s="56"/>
      <c r="AF101" s="12" t="s">
        <v>346</v>
      </c>
      <c r="AG101" s="12"/>
      <c r="AH101" s="195">
        <v>22170</v>
      </c>
      <c r="AI101" s="196" t="s">
        <v>347</v>
      </c>
      <c r="AJ101" s="197">
        <f>1.1458*AH101</f>
        <v>25402.385999999999</v>
      </c>
      <c r="AK101" s="198">
        <v>1588</v>
      </c>
      <c r="AL101" s="198">
        <f>AK101*12</f>
        <v>19056</v>
      </c>
      <c r="AM101" s="208"/>
    </row>
    <row r="102" spans="1:44" ht="11.25" customHeight="1">
      <c r="A102" s="149" t="s">
        <v>342</v>
      </c>
      <c r="B102" s="189">
        <v>427</v>
      </c>
      <c r="C102" s="189">
        <v>140</v>
      </c>
      <c r="D102" s="149" t="s">
        <v>178</v>
      </c>
      <c r="E102" s="149" t="s">
        <v>342</v>
      </c>
      <c r="F102" s="190" t="s">
        <v>47</v>
      </c>
      <c r="G102" s="191" t="s">
        <v>343</v>
      </c>
      <c r="H102" s="130" t="s">
        <v>58</v>
      </c>
      <c r="I102" s="21" t="s">
        <v>344</v>
      </c>
      <c r="J102" s="118">
        <f t="shared" si="315"/>
        <v>7179.2999999999993</v>
      </c>
      <c r="K102" s="118">
        <f t="shared" si="316"/>
        <v>1531.45</v>
      </c>
      <c r="L102" s="119">
        <f t="shared" si="317"/>
        <v>8710.75</v>
      </c>
      <c r="M102" s="118">
        <f>7895*3</f>
        <v>23685</v>
      </c>
      <c r="N102" s="118">
        <f t="shared" si="318"/>
        <v>2271.6099999999997</v>
      </c>
      <c r="O102" s="119">
        <f t="shared" si="319"/>
        <v>25956.61</v>
      </c>
      <c r="P102" s="132"/>
      <c r="Q102" s="132"/>
      <c r="R102" s="132"/>
      <c r="W102" s="132"/>
      <c r="X102" s="132"/>
      <c r="Y102" s="10">
        <v>45400</v>
      </c>
      <c r="Z102" s="134" t="s">
        <v>345</v>
      </c>
      <c r="AA102" s="132">
        <v>1</v>
      </c>
      <c r="AB102" s="132">
        <v>2</v>
      </c>
      <c r="AC102" s="132">
        <v>0</v>
      </c>
      <c r="AD102" s="132">
        <v>0</v>
      </c>
      <c r="AE102" s="56"/>
      <c r="AF102" s="12" t="s">
        <v>346</v>
      </c>
      <c r="AG102" s="12"/>
      <c r="AH102" s="195">
        <v>22170</v>
      </c>
      <c r="AI102" s="196" t="s">
        <v>347</v>
      </c>
      <c r="AJ102" s="197">
        <f t="shared" ref="AJ102:AJ104" si="320">1.1458*AH102</f>
        <v>25402.385999999999</v>
      </c>
      <c r="AK102" s="198">
        <v>1588</v>
      </c>
      <c r="AL102" s="198">
        <f t="shared" ref="AL102:AL104" si="321">AK102*12</f>
        <v>19056</v>
      </c>
    </row>
    <row r="103" spans="1:44" ht="11.25" customHeight="1">
      <c r="A103" s="149" t="s">
        <v>342</v>
      </c>
      <c r="B103" s="189">
        <v>427</v>
      </c>
      <c r="C103" s="189">
        <v>140</v>
      </c>
      <c r="D103" s="149" t="s">
        <v>178</v>
      </c>
      <c r="E103" s="149" t="s">
        <v>342</v>
      </c>
      <c r="F103" s="149" t="s">
        <v>59</v>
      </c>
      <c r="G103" s="191" t="s">
        <v>101</v>
      </c>
      <c r="H103" s="130" t="s">
        <v>49</v>
      </c>
      <c r="I103" s="17" t="s">
        <v>348</v>
      </c>
      <c r="J103" s="60">
        <f t="shared" si="315"/>
        <v>7179.2999999999993</v>
      </c>
      <c r="K103" s="118">
        <f t="shared" si="316"/>
        <v>1531.45</v>
      </c>
      <c r="L103" s="119">
        <f t="shared" si="317"/>
        <v>8710.75</v>
      </c>
      <c r="M103" s="118">
        <f>8055*3</f>
        <v>24165</v>
      </c>
      <c r="N103" s="118">
        <f t="shared" si="318"/>
        <v>2271.6099999999997</v>
      </c>
      <c r="O103" s="119">
        <f t="shared" si="319"/>
        <v>26436.61</v>
      </c>
      <c r="P103" s="132"/>
      <c r="Q103" s="132" t="s">
        <v>96</v>
      </c>
      <c r="R103" s="18"/>
      <c r="S103" s="18"/>
      <c r="T103" s="19"/>
      <c r="U103" s="18"/>
      <c r="V103" s="19"/>
      <c r="W103" s="132"/>
      <c r="X103" s="132"/>
      <c r="Y103" s="10">
        <v>45400</v>
      </c>
      <c r="Z103" s="134" t="s">
        <v>345</v>
      </c>
      <c r="AA103" s="132">
        <v>1</v>
      </c>
      <c r="AB103" s="132">
        <v>2</v>
      </c>
      <c r="AC103" s="132"/>
      <c r="AD103" s="132"/>
      <c r="AE103" s="20" t="s">
        <v>349</v>
      </c>
      <c r="AF103" s="12"/>
      <c r="AG103" s="12" t="s">
        <v>350</v>
      </c>
      <c r="AH103" s="195">
        <v>22170</v>
      </c>
      <c r="AI103" s="196" t="s">
        <v>347</v>
      </c>
      <c r="AJ103" s="197">
        <f t="shared" si="320"/>
        <v>25402.385999999999</v>
      </c>
      <c r="AK103" s="198">
        <v>1588</v>
      </c>
      <c r="AL103" s="198">
        <f t="shared" si="321"/>
        <v>19056</v>
      </c>
      <c r="AM103" s="118"/>
      <c r="AN103" s="118"/>
      <c r="AO103" s="132"/>
      <c r="AP103" s="118"/>
      <c r="AQ103" s="118"/>
      <c r="AR103" s="118"/>
    </row>
    <row r="104" spans="1:44" ht="11.25" customHeight="1">
      <c r="A104" s="149" t="s">
        <v>342</v>
      </c>
      <c r="B104" s="189">
        <v>427</v>
      </c>
      <c r="C104" s="189">
        <v>140</v>
      </c>
      <c r="D104" s="149" t="s">
        <v>178</v>
      </c>
      <c r="E104" s="149" t="s">
        <v>342</v>
      </c>
      <c r="F104" s="149" t="s">
        <v>59</v>
      </c>
      <c r="G104" s="191" t="s">
        <v>101</v>
      </c>
      <c r="H104" s="130" t="s">
        <v>58</v>
      </c>
      <c r="I104" s="132"/>
      <c r="J104" s="118">
        <f t="shared" si="315"/>
        <v>7179.2999999999993</v>
      </c>
      <c r="K104" s="118">
        <f t="shared" si="316"/>
        <v>1531.45</v>
      </c>
      <c r="L104" s="119">
        <f t="shared" si="317"/>
        <v>8710.75</v>
      </c>
      <c r="M104" s="118">
        <f>7895*3</f>
        <v>23685</v>
      </c>
      <c r="N104" s="118">
        <f t="shared" si="318"/>
        <v>2271.6099999999997</v>
      </c>
      <c r="O104" s="119">
        <f t="shared" si="319"/>
        <v>25956.61</v>
      </c>
      <c r="P104" s="132"/>
      <c r="Q104" s="132" t="s">
        <v>96</v>
      </c>
      <c r="R104" s="18"/>
      <c r="S104" s="18"/>
      <c r="T104" s="19"/>
      <c r="U104" s="18"/>
      <c r="V104" s="19"/>
      <c r="W104" s="132"/>
      <c r="X104" s="132"/>
      <c r="Y104" s="10">
        <v>45400</v>
      </c>
      <c r="Z104" s="134" t="s">
        <v>345</v>
      </c>
      <c r="AA104" s="132">
        <v>1</v>
      </c>
      <c r="AB104" s="132">
        <v>2</v>
      </c>
      <c r="AC104" s="132"/>
      <c r="AD104" s="132"/>
      <c r="AE104" s="56"/>
      <c r="AF104" s="12"/>
      <c r="AG104" s="12" t="s">
        <v>351</v>
      </c>
      <c r="AH104" s="195">
        <v>22170</v>
      </c>
      <c r="AI104" s="196" t="s">
        <v>347</v>
      </c>
      <c r="AJ104" s="197">
        <f t="shared" si="320"/>
        <v>25402.385999999999</v>
      </c>
      <c r="AK104" s="198">
        <v>1588</v>
      </c>
      <c r="AL104" s="198">
        <f t="shared" si="321"/>
        <v>19056</v>
      </c>
      <c r="AM104" s="118"/>
      <c r="AN104" s="118"/>
      <c r="AO104" s="132"/>
      <c r="AP104" s="118"/>
      <c r="AQ104" s="118"/>
      <c r="AR104" s="118"/>
    </row>
    <row r="105" spans="1:44" ht="11.25" customHeight="1">
      <c r="A105" s="149" t="s">
        <v>352</v>
      </c>
      <c r="B105" s="189">
        <v>1676</v>
      </c>
      <c r="C105" s="189">
        <v>1822</v>
      </c>
      <c r="D105" s="149" t="s">
        <v>353</v>
      </c>
      <c r="E105" s="149" t="s">
        <v>354</v>
      </c>
      <c r="F105" s="190" t="s">
        <v>47</v>
      </c>
      <c r="G105" s="191" t="s">
        <v>116</v>
      </c>
      <c r="H105" s="130" t="s">
        <v>49</v>
      </c>
      <c r="I105" s="21" t="s">
        <v>355</v>
      </c>
      <c r="J105" s="118">
        <f t="shared" ref="J105:J108" si="322">1440.45+1440.45</f>
        <v>2880.9</v>
      </c>
      <c r="K105" s="118">
        <f t="shared" ref="K105:K106" si="323">179.51+104.67+340.51+340.51+225.38+168.6+16.35*2+139.8*2+659.14</f>
        <v>2330.62</v>
      </c>
      <c r="L105" s="119">
        <f t="shared" ref="L105:L108" si="324">J105+K105</f>
        <v>5211.5200000000004</v>
      </c>
      <c r="M105" s="118">
        <f>9864+9864</f>
        <v>19728</v>
      </c>
      <c r="N105" s="118">
        <f t="shared" ref="N105:N106" si="325">179.51+104.67+340.51*2+225.38+168.6+16.35*2+139.8*2+217.52+951</f>
        <v>2840</v>
      </c>
      <c r="O105" s="119">
        <f t="shared" ref="O105:O108" si="326">M105+N105</f>
        <v>22568</v>
      </c>
      <c r="P105" s="18" t="s">
        <v>356</v>
      </c>
      <c r="Q105" s="61" t="s">
        <v>189</v>
      </c>
      <c r="R105" s="132">
        <v>2</v>
      </c>
      <c r="S105" s="118">
        <f>T105+K105+J105</f>
        <v>25709.52</v>
      </c>
      <c r="T105" s="130">
        <v>20498</v>
      </c>
      <c r="U105" s="132"/>
      <c r="V105" s="130">
        <v>20498</v>
      </c>
      <c r="W105" s="132" t="s">
        <v>357</v>
      </c>
      <c r="X105" s="132"/>
      <c r="Y105" s="10">
        <v>45449</v>
      </c>
      <c r="Z105" s="134" t="s">
        <v>358</v>
      </c>
      <c r="AA105" s="132">
        <v>1</v>
      </c>
      <c r="AB105" s="132">
        <v>2</v>
      </c>
      <c r="AC105" s="132">
        <v>3</v>
      </c>
      <c r="AD105" s="132">
        <v>3</v>
      </c>
      <c r="AE105" s="56" t="s">
        <v>359</v>
      </c>
      <c r="AF105" s="12" t="s">
        <v>360</v>
      </c>
      <c r="AG105" s="23" t="s">
        <v>361</v>
      </c>
      <c r="AH105" s="195">
        <v>20753</v>
      </c>
      <c r="AI105" s="196" t="s">
        <v>354</v>
      </c>
      <c r="AJ105" s="197">
        <f>1.1458*AH105</f>
        <v>23778.787399999997</v>
      </c>
      <c r="AK105" s="198">
        <v>1769</v>
      </c>
      <c r="AL105" s="198">
        <f>AK105*12</f>
        <v>21228</v>
      </c>
      <c r="AM105" s="118">
        <f t="shared" ref="AM105:AM108" si="327">T105-$AJ$105</f>
        <v>-3280.7873999999974</v>
      </c>
      <c r="AN105" s="118">
        <f t="shared" ref="AN105:AN108" si="328">T105-$AL$105</f>
        <v>-730</v>
      </c>
      <c r="AO105" s="118">
        <f t="shared" ref="AO105:AO108" si="329">AN105-12000</f>
        <v>-12730</v>
      </c>
      <c r="AP105" s="118">
        <f t="shared" ref="AP105:AP108" si="330">V105-$AJ$105</f>
        <v>-3280.7873999999974</v>
      </c>
      <c r="AQ105" s="118">
        <f t="shared" ref="AQ105:AQ108" si="331">V105-$AL$105</f>
        <v>-730</v>
      </c>
      <c r="AR105" s="118">
        <f t="shared" ref="AR105:AR108" si="332">AQ105-12000</f>
        <v>-12730</v>
      </c>
    </row>
    <row r="106" spans="1:44" ht="11.25" customHeight="1">
      <c r="A106" s="149" t="s">
        <v>352</v>
      </c>
      <c r="B106" s="189">
        <v>1676</v>
      </c>
      <c r="C106" s="189">
        <v>1822</v>
      </c>
      <c r="D106" s="149" t="s">
        <v>353</v>
      </c>
      <c r="E106" s="149" t="s">
        <v>354</v>
      </c>
      <c r="F106" s="190" t="s">
        <v>47</v>
      </c>
      <c r="G106" s="191" t="s">
        <v>116</v>
      </c>
      <c r="H106" s="130" t="s">
        <v>58</v>
      </c>
      <c r="I106" s="21" t="s">
        <v>355</v>
      </c>
      <c r="J106" s="118">
        <f t="shared" si="322"/>
        <v>2880.9</v>
      </c>
      <c r="K106" s="118">
        <f t="shared" si="323"/>
        <v>2330.62</v>
      </c>
      <c r="L106" s="119">
        <f t="shared" si="324"/>
        <v>5211.5200000000004</v>
      </c>
      <c r="M106" s="118">
        <f>8854.2+8854.2</f>
        <v>17708.400000000001</v>
      </c>
      <c r="N106" s="118">
        <f t="shared" si="325"/>
        <v>2840</v>
      </c>
      <c r="O106" s="119">
        <f t="shared" si="326"/>
        <v>20548.400000000001</v>
      </c>
      <c r="P106" s="132" t="s">
        <v>356</v>
      </c>
      <c r="Q106" s="61" t="s">
        <v>189</v>
      </c>
      <c r="R106" s="62">
        <v>45416</v>
      </c>
      <c r="S106" s="118">
        <f>T106+J106+K106</f>
        <v>27274.52</v>
      </c>
      <c r="T106" s="130">
        <v>22063</v>
      </c>
      <c r="U106" s="132"/>
      <c r="V106" s="130">
        <v>22063</v>
      </c>
      <c r="W106" s="132" t="s">
        <v>357</v>
      </c>
      <c r="X106" s="132"/>
      <c r="Y106" s="10">
        <v>45449</v>
      </c>
      <c r="Z106" s="134" t="s">
        <v>358</v>
      </c>
      <c r="AA106" s="132">
        <v>1</v>
      </c>
      <c r="AB106" s="132">
        <v>2</v>
      </c>
      <c r="AC106" s="132">
        <v>3</v>
      </c>
      <c r="AD106" s="132">
        <v>3</v>
      </c>
      <c r="AE106" s="56" t="s">
        <v>362</v>
      </c>
      <c r="AF106" s="12" t="s">
        <v>360</v>
      </c>
      <c r="AG106" s="23" t="s">
        <v>361</v>
      </c>
      <c r="AH106" s="195">
        <v>20753</v>
      </c>
      <c r="AI106" s="196" t="s">
        <v>354</v>
      </c>
      <c r="AJ106" s="197">
        <f t="shared" ref="AJ106:AJ108" si="333">1.1458*AH106</f>
        <v>23778.787399999997</v>
      </c>
      <c r="AK106" s="198">
        <v>1769</v>
      </c>
      <c r="AL106" s="198">
        <f t="shared" ref="AL106:AL108" si="334">AK106*12</f>
        <v>21228</v>
      </c>
      <c r="AM106" s="118">
        <f t="shared" si="327"/>
        <v>-1715.7873999999974</v>
      </c>
      <c r="AN106" s="118">
        <f t="shared" si="328"/>
        <v>835</v>
      </c>
      <c r="AO106" s="118">
        <f t="shared" si="329"/>
        <v>-11165</v>
      </c>
      <c r="AP106" s="118">
        <f t="shared" si="330"/>
        <v>-1715.7873999999974</v>
      </c>
      <c r="AQ106" s="118">
        <f t="shared" si="331"/>
        <v>835</v>
      </c>
      <c r="AR106" s="118">
        <f t="shared" si="332"/>
        <v>-11165</v>
      </c>
    </row>
    <row r="107" spans="1:44" ht="11.25" customHeight="1">
      <c r="A107" s="149" t="s">
        <v>352</v>
      </c>
      <c r="B107" s="189">
        <v>1676</v>
      </c>
      <c r="C107" s="189">
        <v>1822</v>
      </c>
      <c r="D107" s="149" t="s">
        <v>353</v>
      </c>
      <c r="E107" s="149" t="s">
        <v>354</v>
      </c>
      <c r="F107" s="149" t="s">
        <v>59</v>
      </c>
      <c r="G107" s="191" t="s">
        <v>101</v>
      </c>
      <c r="H107" s="130" t="s">
        <v>49</v>
      </c>
      <c r="I107" s="17" t="s">
        <v>363</v>
      </c>
      <c r="J107" s="118">
        <f t="shared" si="322"/>
        <v>2880.9</v>
      </c>
      <c r="K107" s="118">
        <f t="shared" ref="K107:K108" si="335">1671.48+659.14</f>
        <v>2330.62</v>
      </c>
      <c r="L107" s="119">
        <f t="shared" si="324"/>
        <v>5211.5200000000004</v>
      </c>
      <c r="M107" s="118">
        <f>9864+9864</f>
        <v>19728</v>
      </c>
      <c r="N107" s="118">
        <f t="shared" ref="N107:N108" si="336">1168.52+1671.48</f>
        <v>2840</v>
      </c>
      <c r="O107" s="119">
        <f t="shared" si="326"/>
        <v>22568</v>
      </c>
      <c r="P107" s="132"/>
      <c r="Q107" s="63" t="s">
        <v>51</v>
      </c>
      <c r="R107" s="18"/>
      <c r="S107" s="18">
        <v>25500</v>
      </c>
      <c r="T107" s="19">
        <f t="shared" ref="T107:T108" si="337">S107-L107</f>
        <v>20288.48</v>
      </c>
      <c r="U107" s="18">
        <f t="shared" ref="U107:U108" si="338">25500+M107-J107</f>
        <v>42347.1</v>
      </c>
      <c r="V107" s="19">
        <f t="shared" ref="V107:V108" si="339">U107-O107</f>
        <v>19779.099999999999</v>
      </c>
      <c r="W107" s="132"/>
      <c r="X107" s="132"/>
      <c r="Y107" s="10">
        <v>45415</v>
      </c>
      <c r="Z107" s="134" t="s">
        <v>345</v>
      </c>
      <c r="AA107" s="132">
        <v>2</v>
      </c>
      <c r="AB107" s="132">
        <v>2</v>
      </c>
      <c r="AC107" s="132">
        <v>3</v>
      </c>
      <c r="AD107" s="132">
        <v>2</v>
      </c>
      <c r="AE107" s="20" t="s">
        <v>364</v>
      </c>
      <c r="AF107" s="12" t="s">
        <v>360</v>
      </c>
      <c r="AG107" s="64" t="s">
        <v>363</v>
      </c>
      <c r="AH107" s="195">
        <v>20753</v>
      </c>
      <c r="AI107" s="196" t="s">
        <v>354</v>
      </c>
      <c r="AJ107" s="197">
        <f t="shared" si="333"/>
        <v>23778.787399999997</v>
      </c>
      <c r="AK107" s="198">
        <v>1769</v>
      </c>
      <c r="AL107" s="198">
        <f t="shared" si="334"/>
        <v>21228</v>
      </c>
      <c r="AM107" s="118">
        <f t="shared" si="327"/>
        <v>-3490.3073999999979</v>
      </c>
      <c r="AN107" s="118">
        <f t="shared" si="328"/>
        <v>-939.52000000000044</v>
      </c>
      <c r="AO107" s="118">
        <f t="shared" si="329"/>
        <v>-12939.52</v>
      </c>
      <c r="AP107" s="118">
        <f t="shared" si="330"/>
        <v>-3999.6873999999989</v>
      </c>
      <c r="AQ107" s="118">
        <f t="shared" si="331"/>
        <v>-1448.9000000000015</v>
      </c>
      <c r="AR107" s="118">
        <f t="shared" si="332"/>
        <v>-13448.900000000001</v>
      </c>
    </row>
    <row r="108" spans="1:44" ht="11.25" customHeight="1">
      <c r="A108" s="149" t="s">
        <v>352</v>
      </c>
      <c r="B108" s="189">
        <v>1676</v>
      </c>
      <c r="C108" s="189">
        <v>1822</v>
      </c>
      <c r="D108" s="149" t="s">
        <v>353</v>
      </c>
      <c r="E108" s="149" t="s">
        <v>354</v>
      </c>
      <c r="F108" s="149" t="s">
        <v>59</v>
      </c>
      <c r="G108" s="191" t="s">
        <v>101</v>
      </c>
      <c r="H108" s="130" t="s">
        <v>58</v>
      </c>
      <c r="I108" s="21" t="s">
        <v>363</v>
      </c>
      <c r="J108" s="118">
        <f t="shared" si="322"/>
        <v>2880.9</v>
      </c>
      <c r="K108" s="118">
        <f t="shared" si="335"/>
        <v>2330.62</v>
      </c>
      <c r="L108" s="119">
        <f t="shared" si="324"/>
        <v>5211.5200000000004</v>
      </c>
      <c r="M108" s="118">
        <f>8854.2+8854.2</f>
        <v>17708.400000000001</v>
      </c>
      <c r="N108" s="118">
        <f t="shared" si="336"/>
        <v>2840</v>
      </c>
      <c r="O108" s="119">
        <f t="shared" si="326"/>
        <v>20548.400000000001</v>
      </c>
      <c r="P108" s="132"/>
      <c r="Q108" s="63" t="s">
        <v>51</v>
      </c>
      <c r="R108" s="18"/>
      <c r="S108" s="18">
        <v>25500</v>
      </c>
      <c r="T108" s="19">
        <f t="shared" si="337"/>
        <v>20288.48</v>
      </c>
      <c r="U108" s="18">
        <f t="shared" si="338"/>
        <v>40327.5</v>
      </c>
      <c r="V108" s="19">
        <f t="shared" si="339"/>
        <v>19779.099999999999</v>
      </c>
      <c r="W108" s="132"/>
      <c r="X108" s="132"/>
      <c r="Y108" s="10">
        <v>45415</v>
      </c>
      <c r="Z108" s="134" t="s">
        <v>345</v>
      </c>
      <c r="AA108" s="132">
        <v>2</v>
      </c>
      <c r="AB108" s="132">
        <v>2</v>
      </c>
      <c r="AC108" s="132">
        <v>3</v>
      </c>
      <c r="AD108" s="132">
        <v>2</v>
      </c>
      <c r="AE108" s="56"/>
      <c r="AF108" s="12" t="s">
        <v>360</v>
      </c>
      <c r="AG108" s="64" t="s">
        <v>363</v>
      </c>
      <c r="AH108" s="195">
        <v>20753</v>
      </c>
      <c r="AI108" s="196" t="s">
        <v>354</v>
      </c>
      <c r="AJ108" s="197">
        <f t="shared" si="333"/>
        <v>23778.787399999997</v>
      </c>
      <c r="AK108" s="198">
        <v>1769</v>
      </c>
      <c r="AL108" s="198">
        <f t="shared" si="334"/>
        <v>21228</v>
      </c>
      <c r="AM108" s="118">
        <f t="shared" si="327"/>
        <v>-3490.3073999999979</v>
      </c>
      <c r="AN108" s="118">
        <f t="shared" si="328"/>
        <v>-939.52000000000044</v>
      </c>
      <c r="AO108" s="118">
        <f t="shared" si="329"/>
        <v>-12939.52</v>
      </c>
      <c r="AP108" s="118">
        <f t="shared" si="330"/>
        <v>-3999.6873999999989</v>
      </c>
      <c r="AQ108" s="118">
        <f t="shared" si="331"/>
        <v>-1448.9000000000015</v>
      </c>
      <c r="AR108" s="118">
        <f t="shared" si="332"/>
        <v>-13448.900000000001</v>
      </c>
    </row>
    <row r="109" spans="1:44" ht="11.25" customHeight="1">
      <c r="A109" s="149" t="s">
        <v>365</v>
      </c>
      <c r="B109" s="189">
        <v>1277</v>
      </c>
      <c r="C109" s="189">
        <v>442</v>
      </c>
      <c r="D109" s="149" t="s">
        <v>353</v>
      </c>
      <c r="E109" s="149" t="s">
        <v>354</v>
      </c>
      <c r="F109" s="190" t="s">
        <v>47</v>
      </c>
      <c r="G109" s="191" t="s">
        <v>366</v>
      </c>
      <c r="H109" s="130" t="s">
        <v>49</v>
      </c>
      <c r="I109" s="21" t="s">
        <v>367</v>
      </c>
      <c r="J109" s="118">
        <f t="shared" ref="J109:J112" si="340">1483.65*3</f>
        <v>4450.9500000000007</v>
      </c>
      <c r="K109" s="118">
        <f>634.09*3+30*3</f>
        <v>1992.27</v>
      </c>
      <c r="L109" s="119">
        <f t="shared" ref="L109:L112" si="341">J109+K109</f>
        <v>6443.2200000000012</v>
      </c>
      <c r="M109" s="118">
        <f>10159.95*3</f>
        <v>30479.850000000002</v>
      </c>
      <c r="N109" s="118">
        <f>634.09*3+30*3</f>
        <v>1992.27</v>
      </c>
      <c r="O109" s="119">
        <f t="shared" ref="O109:O112" si="342">M109+N109</f>
        <v>32472.120000000003</v>
      </c>
      <c r="P109" s="132"/>
      <c r="Q109" s="65" t="s">
        <v>51</v>
      </c>
      <c r="R109" s="132" t="s">
        <v>158</v>
      </c>
      <c r="S109" s="132">
        <v>13000</v>
      </c>
      <c r="T109" s="119">
        <f t="shared" ref="T109:T112" si="343">S109-L109</f>
        <v>6556.7799999999988</v>
      </c>
      <c r="U109" s="204"/>
      <c r="W109" s="132"/>
      <c r="X109" s="132"/>
      <c r="Y109" s="10">
        <v>45449</v>
      </c>
      <c r="Z109" s="134">
        <v>2024</v>
      </c>
      <c r="AA109" s="132">
        <v>1</v>
      </c>
      <c r="AB109" s="132">
        <v>1.5</v>
      </c>
      <c r="AC109" s="132">
        <v>3</v>
      </c>
      <c r="AD109" s="132">
        <v>1</v>
      </c>
      <c r="AE109" s="56" t="s">
        <v>368</v>
      </c>
      <c r="AF109" s="66" t="s">
        <v>369</v>
      </c>
      <c r="AG109" s="67" t="s">
        <v>370</v>
      </c>
      <c r="AH109" s="195">
        <v>20753</v>
      </c>
      <c r="AI109" s="196" t="s">
        <v>354</v>
      </c>
      <c r="AJ109" s="197">
        <f>1.1458*AH109</f>
        <v>23778.787399999997</v>
      </c>
      <c r="AK109" s="198">
        <v>1769</v>
      </c>
      <c r="AL109" s="198">
        <f>AK109*12</f>
        <v>21228</v>
      </c>
      <c r="AM109" s="118">
        <f t="shared" ref="AM109:AM112" si="344">T109-$AJ$109</f>
        <v>-17222.007399999999</v>
      </c>
      <c r="AN109" s="118">
        <f t="shared" ref="AN109:AN112" si="345">T109-$AL$109</f>
        <v>-14671.220000000001</v>
      </c>
      <c r="AO109" s="118">
        <f t="shared" ref="AO109:AO112" si="346">AN109-12000</f>
        <v>-26671.22</v>
      </c>
      <c r="AP109" s="118">
        <f t="shared" ref="AP109:AP112" si="347">S109-O109-$AJ$109</f>
        <v>-43250.907399999996</v>
      </c>
      <c r="AQ109" s="118">
        <f t="shared" ref="AQ109:AQ112" si="348">S109-O109-$AL$109</f>
        <v>-40700.120000000003</v>
      </c>
      <c r="AR109" s="118">
        <f t="shared" ref="AR109:AR112" si="349">AQ109-12000</f>
        <v>-52700.12</v>
      </c>
    </row>
    <row r="110" spans="1:44" ht="11.25" customHeight="1">
      <c r="A110" s="149" t="s">
        <v>365</v>
      </c>
      <c r="B110" s="189">
        <v>1277</v>
      </c>
      <c r="C110" s="189">
        <v>442</v>
      </c>
      <c r="D110" s="149" t="s">
        <v>353</v>
      </c>
      <c r="E110" s="149" t="s">
        <v>354</v>
      </c>
      <c r="F110" s="190" t="s">
        <v>47</v>
      </c>
      <c r="G110" s="191" t="s">
        <v>366</v>
      </c>
      <c r="H110" s="130" t="s">
        <v>58</v>
      </c>
      <c r="I110" s="21" t="s">
        <v>367</v>
      </c>
      <c r="J110" s="118">
        <f t="shared" si="340"/>
        <v>4450.9500000000007</v>
      </c>
      <c r="K110" s="118">
        <f>634.09*3+3*3</f>
        <v>1911.27</v>
      </c>
      <c r="L110" s="119">
        <f t="shared" si="341"/>
        <v>6362.2200000000012</v>
      </c>
      <c r="M110" s="118">
        <f>9119.85*3</f>
        <v>27359.550000000003</v>
      </c>
      <c r="N110" s="118">
        <f>634.09*3+3*3</f>
        <v>1911.27</v>
      </c>
      <c r="O110" s="119">
        <f t="shared" si="342"/>
        <v>29270.820000000003</v>
      </c>
      <c r="P110" s="132"/>
      <c r="Q110" s="65" t="s">
        <v>51</v>
      </c>
      <c r="R110" s="132" t="s">
        <v>158</v>
      </c>
      <c r="S110" s="132">
        <v>15000</v>
      </c>
      <c r="T110" s="119">
        <f t="shared" si="343"/>
        <v>8637.7799999999988</v>
      </c>
      <c r="W110" s="132"/>
      <c r="X110" s="132"/>
      <c r="Y110" s="10">
        <v>45449</v>
      </c>
      <c r="Z110" s="134">
        <v>2024</v>
      </c>
      <c r="AA110" s="132">
        <v>1</v>
      </c>
      <c r="AB110" s="132">
        <v>1.5</v>
      </c>
      <c r="AC110" s="132">
        <v>3</v>
      </c>
      <c r="AD110" s="132">
        <v>1</v>
      </c>
      <c r="AE110" s="56"/>
      <c r="AF110" s="66" t="s">
        <v>369</v>
      </c>
      <c r="AG110" s="68" t="s">
        <v>370</v>
      </c>
      <c r="AH110" s="195">
        <v>20753</v>
      </c>
      <c r="AI110" s="196" t="s">
        <v>354</v>
      </c>
      <c r="AJ110" s="197">
        <f t="shared" ref="AJ110:AJ112" si="350">1.1458*AH110</f>
        <v>23778.787399999997</v>
      </c>
      <c r="AK110" s="198">
        <v>1769</v>
      </c>
      <c r="AL110" s="198">
        <f t="shared" ref="AL110:AL112" si="351">AK110*12</f>
        <v>21228</v>
      </c>
      <c r="AM110" s="118">
        <f t="shared" si="344"/>
        <v>-15141.007399999999</v>
      </c>
      <c r="AN110" s="118">
        <f t="shared" si="345"/>
        <v>-12590.220000000001</v>
      </c>
      <c r="AO110" s="118">
        <f t="shared" si="346"/>
        <v>-24590.22</v>
      </c>
      <c r="AP110" s="118">
        <f t="shared" si="347"/>
        <v>-38049.607400000001</v>
      </c>
      <c r="AQ110" s="118">
        <f t="shared" si="348"/>
        <v>-35498.820000000007</v>
      </c>
      <c r="AR110" s="118">
        <f t="shared" si="349"/>
        <v>-47498.820000000007</v>
      </c>
    </row>
    <row r="111" spans="1:44" ht="11.25" customHeight="1">
      <c r="A111" s="149" t="s">
        <v>365</v>
      </c>
      <c r="B111" s="189">
        <v>1277</v>
      </c>
      <c r="C111" s="189">
        <v>442</v>
      </c>
      <c r="D111" s="149" t="s">
        <v>353</v>
      </c>
      <c r="E111" s="149" t="s">
        <v>354</v>
      </c>
      <c r="F111" s="149" t="s">
        <v>59</v>
      </c>
      <c r="G111" s="191" t="s">
        <v>101</v>
      </c>
      <c r="H111" s="130" t="s">
        <v>49</v>
      </c>
      <c r="I111" s="17" t="s">
        <v>371</v>
      </c>
      <c r="J111" s="118">
        <f t="shared" si="340"/>
        <v>4450.9500000000007</v>
      </c>
      <c r="K111" s="118">
        <f t="shared" ref="K111:K112" si="352">634.09*3+20*3</f>
        <v>1962.27</v>
      </c>
      <c r="L111" s="119">
        <f t="shared" si="341"/>
        <v>6413.2200000000012</v>
      </c>
      <c r="M111" s="118">
        <f>10159.95*3</f>
        <v>30479.850000000002</v>
      </c>
      <c r="N111" s="118">
        <f t="shared" ref="N111:N112" si="353">634.09*3+20*3</f>
        <v>1962.27</v>
      </c>
      <c r="O111" s="119">
        <f t="shared" si="342"/>
        <v>32442.120000000003</v>
      </c>
      <c r="P111" s="132"/>
      <c r="Q111" s="132" t="s">
        <v>51</v>
      </c>
      <c r="R111" s="18" t="s">
        <v>158</v>
      </c>
      <c r="S111" s="18">
        <v>16900</v>
      </c>
      <c r="T111" s="19">
        <f t="shared" si="343"/>
        <v>10486.779999999999</v>
      </c>
      <c r="W111" s="132"/>
      <c r="X111" s="132"/>
      <c r="Y111" s="10">
        <v>45449</v>
      </c>
      <c r="Z111" s="134" t="s">
        <v>358</v>
      </c>
      <c r="AA111" s="132">
        <v>1</v>
      </c>
      <c r="AB111" s="132">
        <v>1.5</v>
      </c>
      <c r="AC111" s="132">
        <v>3</v>
      </c>
      <c r="AD111" s="132">
        <v>0</v>
      </c>
      <c r="AE111" s="56" t="s">
        <v>368</v>
      </c>
      <c r="AF111" s="12" t="s">
        <v>369</v>
      </c>
      <c r="AG111" s="23" t="s">
        <v>372</v>
      </c>
      <c r="AH111" s="195">
        <v>20753</v>
      </c>
      <c r="AI111" s="196" t="s">
        <v>354</v>
      </c>
      <c r="AJ111" s="197">
        <f t="shared" si="350"/>
        <v>23778.787399999997</v>
      </c>
      <c r="AK111" s="198">
        <v>1769</v>
      </c>
      <c r="AL111" s="198">
        <f t="shared" si="351"/>
        <v>21228</v>
      </c>
      <c r="AM111" s="118">
        <f t="shared" si="344"/>
        <v>-13292.007399999999</v>
      </c>
      <c r="AN111" s="118">
        <f t="shared" si="345"/>
        <v>-10741.220000000001</v>
      </c>
      <c r="AO111" s="118">
        <f t="shared" si="346"/>
        <v>-22741.22</v>
      </c>
      <c r="AP111" s="118">
        <f t="shared" si="347"/>
        <v>-39320.907399999996</v>
      </c>
      <c r="AQ111" s="118">
        <f t="shared" si="348"/>
        <v>-36770.120000000003</v>
      </c>
      <c r="AR111" s="118">
        <f t="shared" si="349"/>
        <v>-48770.12</v>
      </c>
    </row>
    <row r="112" spans="1:44" ht="11.25" customHeight="1">
      <c r="A112" s="149" t="s">
        <v>365</v>
      </c>
      <c r="B112" s="189">
        <v>1277</v>
      </c>
      <c r="C112" s="189">
        <v>442</v>
      </c>
      <c r="D112" s="149" t="s">
        <v>353</v>
      </c>
      <c r="E112" s="149" t="s">
        <v>354</v>
      </c>
      <c r="F112" s="149" t="s">
        <v>59</v>
      </c>
      <c r="G112" s="191" t="s">
        <v>101</v>
      </c>
      <c r="H112" s="130" t="s">
        <v>58</v>
      </c>
      <c r="I112" s="21" t="s">
        <v>371</v>
      </c>
      <c r="J112" s="118">
        <f t="shared" si="340"/>
        <v>4450.9500000000007</v>
      </c>
      <c r="K112" s="118">
        <f t="shared" si="352"/>
        <v>1962.27</v>
      </c>
      <c r="L112" s="119">
        <f t="shared" si="341"/>
        <v>6413.2200000000012</v>
      </c>
      <c r="M112" s="118">
        <f>9119.85*3</f>
        <v>27359.550000000003</v>
      </c>
      <c r="N112" s="118">
        <f t="shared" si="353"/>
        <v>1962.27</v>
      </c>
      <c r="O112" s="119">
        <f t="shared" si="342"/>
        <v>29321.820000000003</v>
      </c>
      <c r="P112" s="132"/>
      <c r="Q112" s="132" t="s">
        <v>51</v>
      </c>
      <c r="R112" s="18" t="s">
        <v>158</v>
      </c>
      <c r="S112" s="18">
        <v>19400</v>
      </c>
      <c r="T112" s="19">
        <f t="shared" si="343"/>
        <v>12986.779999999999</v>
      </c>
      <c r="W112" s="132"/>
      <c r="X112" s="132"/>
      <c r="Y112" s="10">
        <v>45449</v>
      </c>
      <c r="Z112" s="134" t="s">
        <v>358</v>
      </c>
      <c r="AA112" s="132">
        <v>1</v>
      </c>
      <c r="AB112" s="132">
        <v>1.5</v>
      </c>
      <c r="AC112" s="132">
        <v>3</v>
      </c>
      <c r="AD112" s="132">
        <v>0</v>
      </c>
      <c r="AE112" s="56"/>
      <c r="AF112" s="12" t="s">
        <v>369</v>
      </c>
      <c r="AG112" s="12" t="s">
        <v>372</v>
      </c>
      <c r="AH112" s="195">
        <v>20753</v>
      </c>
      <c r="AI112" s="196" t="s">
        <v>354</v>
      </c>
      <c r="AJ112" s="197">
        <f t="shared" si="350"/>
        <v>23778.787399999997</v>
      </c>
      <c r="AK112" s="198">
        <v>1769</v>
      </c>
      <c r="AL112" s="198">
        <f t="shared" si="351"/>
        <v>21228</v>
      </c>
      <c r="AM112" s="118">
        <f t="shared" si="344"/>
        <v>-10792.007399999999</v>
      </c>
      <c r="AN112" s="118">
        <f t="shared" si="345"/>
        <v>-8241.2200000000012</v>
      </c>
      <c r="AO112" s="118">
        <f t="shared" si="346"/>
        <v>-20241.22</v>
      </c>
      <c r="AP112" s="118">
        <f t="shared" si="347"/>
        <v>-33700.607400000001</v>
      </c>
      <c r="AQ112" s="118">
        <f t="shared" si="348"/>
        <v>-31149.820000000003</v>
      </c>
      <c r="AR112" s="118">
        <f t="shared" si="349"/>
        <v>-43149.820000000007</v>
      </c>
    </row>
    <row r="113" spans="1:44" ht="11.25" customHeight="1">
      <c r="A113" s="149" t="s">
        <v>373</v>
      </c>
      <c r="B113" s="189">
        <v>799</v>
      </c>
      <c r="C113" s="189">
        <v>143</v>
      </c>
      <c r="D113" s="149" t="s">
        <v>353</v>
      </c>
      <c r="E113" s="149" t="s">
        <v>354</v>
      </c>
      <c r="F113" s="190" t="s">
        <v>47</v>
      </c>
      <c r="G113" s="191" t="s">
        <v>165</v>
      </c>
      <c r="H113" s="130" t="s">
        <v>49</v>
      </c>
      <c r="I113" s="69" t="s">
        <v>374</v>
      </c>
      <c r="J113" s="53">
        <f>96.03*33.75</f>
        <v>3241.0124999999998</v>
      </c>
      <c r="K113" s="118">
        <f t="shared" ref="K113:K116" si="354">(12.37*11.25) + (12.74*11.25) + (12.74*11.25) + (10.26*33.75) + (2.92*33.75) + (5.84*11.25) + (6.01*11.25) + (6.01*11.25) + (0.45*33.75) + (28.8 *11.25) + (29.6*11.25) + (29.6*11.25) + 36.8 + 37.9 + 37.9</f>
        <v>2189.3500000000004</v>
      </c>
      <c r="L113" s="118">
        <v>7350</v>
      </c>
      <c r="M113" s="118">
        <f>(657.6*11.25) + (677.33*11.25) + (677.33*11.25)</f>
        <v>22637.925000000003</v>
      </c>
      <c r="N113" s="118">
        <f t="shared" ref="N113:N116" si="355">(12.37*11.25) + (12.74*11.25) + (12.74*11.25) + (10.26*33.75) + (2.92*33.75) + (5.84*11.25) + (6.01*11.25) + (6.01*11.25) + (0.45*33.75) + (28.8 *11.25) + (29.6*11.25) + (29.6*11.25) + 36.8 + 37.9 + 37.9</f>
        <v>2189.3500000000004</v>
      </c>
      <c r="O113" s="119">
        <f>M113+N113</f>
        <v>24827.275000000001</v>
      </c>
      <c r="P113" s="132"/>
      <c r="Q113" s="21" t="s">
        <v>51</v>
      </c>
      <c r="R113" s="132">
        <v>2</v>
      </c>
      <c r="S113" s="132">
        <v>15000</v>
      </c>
      <c r="T113" s="119">
        <f t="shared" ref="T113:T116" si="356">S113-L113</f>
        <v>7650</v>
      </c>
      <c r="U113" s="204"/>
      <c r="W113" s="132"/>
      <c r="X113" s="132"/>
      <c r="Y113" s="10">
        <v>45449</v>
      </c>
      <c r="Z113" s="134" t="s">
        <v>358</v>
      </c>
      <c r="AA113" s="132">
        <v>1</v>
      </c>
      <c r="AB113" s="132">
        <v>1</v>
      </c>
      <c r="AC113" s="132">
        <v>3</v>
      </c>
      <c r="AD113" s="132">
        <v>0</v>
      </c>
      <c r="AE113" s="20" t="s">
        <v>375</v>
      </c>
      <c r="AF113" s="12"/>
      <c r="AG113" s="66" t="s">
        <v>376</v>
      </c>
      <c r="AH113" s="195">
        <v>20753</v>
      </c>
      <c r="AI113" s="196" t="s">
        <v>354</v>
      </c>
      <c r="AJ113" s="197">
        <f>1.1458*AH113</f>
        <v>23778.787399999997</v>
      </c>
      <c r="AK113" s="198">
        <v>1769</v>
      </c>
      <c r="AL113" s="198">
        <f>AK113*12</f>
        <v>21228</v>
      </c>
      <c r="AM113" s="118">
        <f t="shared" ref="AM113:AM116" si="357">T113-$AJ$113</f>
        <v>-16128.787399999997</v>
      </c>
      <c r="AN113" s="118">
        <f t="shared" ref="AN113:AN116" si="358">T113-$AL$113</f>
        <v>-13578</v>
      </c>
      <c r="AO113" s="118">
        <f t="shared" ref="AO113:AO116" si="359">AN113-12000</f>
        <v>-25578</v>
      </c>
      <c r="AP113" s="118">
        <f t="shared" ref="AP113:AP116" si="360">S113-O113-$AJ$113</f>
        <v>-33606.062399999995</v>
      </c>
      <c r="AQ113" s="118">
        <f t="shared" ref="AQ113:AQ116" si="361">S113-O113-$AL$113</f>
        <v>-31055.275000000001</v>
      </c>
      <c r="AR113" s="118">
        <f t="shared" ref="AR113:AR116" si="362">AQ113-12000</f>
        <v>-43055.275000000001</v>
      </c>
    </row>
    <row r="114" spans="1:44" ht="11.25" customHeight="1">
      <c r="A114" s="149" t="s">
        <v>373</v>
      </c>
      <c r="B114" s="189">
        <v>799</v>
      </c>
      <c r="C114" s="189">
        <v>143</v>
      </c>
      <c r="D114" s="149" t="s">
        <v>353</v>
      </c>
      <c r="E114" s="149" t="s">
        <v>354</v>
      </c>
      <c r="F114" s="190" t="s">
        <v>47</v>
      </c>
      <c r="G114" s="191" t="s">
        <v>165</v>
      </c>
      <c r="H114" s="130" t="s">
        <v>58</v>
      </c>
      <c r="I114" s="132"/>
      <c r="J114" s="53">
        <f>93.24*33.75</f>
        <v>3146.85</v>
      </c>
      <c r="K114" s="118">
        <f t="shared" si="354"/>
        <v>2189.3500000000004</v>
      </c>
      <c r="L114" s="118">
        <v>5200</v>
      </c>
      <c r="M114" s="70">
        <f>(590.28*11.25) + (607.99*11.25) + (607.99*11.25)</f>
        <v>20320.424999999999</v>
      </c>
      <c r="N114" s="118">
        <f t="shared" si="355"/>
        <v>2189.3500000000004</v>
      </c>
      <c r="O114" s="119">
        <f>M115+N114</f>
        <v>24827.275000000001</v>
      </c>
      <c r="P114" s="132"/>
      <c r="Q114" s="21" t="s">
        <v>51</v>
      </c>
      <c r="R114" s="132">
        <v>3</v>
      </c>
      <c r="S114" s="132">
        <v>15000</v>
      </c>
      <c r="T114" s="119">
        <f t="shared" si="356"/>
        <v>9800</v>
      </c>
      <c r="W114" s="132"/>
      <c r="X114" s="132"/>
      <c r="Y114" s="10">
        <v>45449</v>
      </c>
      <c r="Z114" s="134" t="s">
        <v>358</v>
      </c>
      <c r="AA114" s="132">
        <v>1</v>
      </c>
      <c r="AB114" s="132">
        <v>1</v>
      </c>
      <c r="AC114" s="132">
        <v>3</v>
      </c>
      <c r="AD114" s="132">
        <v>0</v>
      </c>
      <c r="AE114" s="20" t="s">
        <v>375</v>
      </c>
      <c r="AF114" s="12"/>
      <c r="AG114" s="66" t="s">
        <v>376</v>
      </c>
      <c r="AH114" s="195">
        <v>20753</v>
      </c>
      <c r="AI114" s="196" t="s">
        <v>354</v>
      </c>
      <c r="AJ114" s="197">
        <f t="shared" ref="AJ114:AJ116" si="363">1.1458*AH114</f>
        <v>23778.787399999997</v>
      </c>
      <c r="AK114" s="198">
        <v>1769</v>
      </c>
      <c r="AL114" s="198">
        <f t="shared" ref="AL114:AL116" si="364">AK114*12</f>
        <v>21228</v>
      </c>
      <c r="AM114" s="118">
        <f t="shared" si="357"/>
        <v>-13978.787399999997</v>
      </c>
      <c r="AN114" s="118">
        <f t="shared" si="358"/>
        <v>-11428</v>
      </c>
      <c r="AO114" s="118">
        <f t="shared" si="359"/>
        <v>-23428</v>
      </c>
      <c r="AP114" s="118">
        <f t="shared" si="360"/>
        <v>-33606.062399999995</v>
      </c>
      <c r="AQ114" s="118">
        <f t="shared" si="361"/>
        <v>-31055.275000000001</v>
      </c>
      <c r="AR114" s="118">
        <f t="shared" si="362"/>
        <v>-43055.275000000001</v>
      </c>
    </row>
    <row r="115" spans="1:44" ht="11.25" customHeight="1">
      <c r="A115" s="149" t="s">
        <v>373</v>
      </c>
      <c r="B115" s="189">
        <v>799</v>
      </c>
      <c r="C115" s="189">
        <v>143</v>
      </c>
      <c r="D115" s="149" t="s">
        <v>353</v>
      </c>
      <c r="E115" s="149" t="s">
        <v>354</v>
      </c>
      <c r="F115" s="149" t="s">
        <v>59</v>
      </c>
      <c r="G115" s="191" t="s">
        <v>101</v>
      </c>
      <c r="H115" s="130" t="s">
        <v>49</v>
      </c>
      <c r="I115" s="71" t="s">
        <v>377</v>
      </c>
      <c r="J115" s="53">
        <f>96.03*33.75</f>
        <v>3241.0124999999998</v>
      </c>
      <c r="K115" s="118">
        <f t="shared" si="354"/>
        <v>2189.3500000000004</v>
      </c>
      <c r="L115" s="119">
        <f t="shared" ref="L115:L116" si="365">J115+K115</f>
        <v>5430.3625000000002</v>
      </c>
      <c r="M115" s="118">
        <f>(657.6*11.25) + (677.33*11.25) + (677.33*11.25)</f>
        <v>22637.925000000003</v>
      </c>
      <c r="N115" s="118">
        <f t="shared" si="355"/>
        <v>2189.3500000000004</v>
      </c>
      <c r="O115" s="119">
        <f t="shared" ref="O115:O116" si="366">M115+N115</f>
        <v>24827.275000000001</v>
      </c>
      <c r="P115" s="132"/>
      <c r="Q115" s="41" t="s">
        <v>51</v>
      </c>
      <c r="R115" s="18"/>
      <c r="S115" s="72">
        <v>10000</v>
      </c>
      <c r="T115" s="19">
        <f t="shared" si="356"/>
        <v>4569.6374999999998</v>
      </c>
      <c r="W115" s="132"/>
      <c r="X115" s="132"/>
      <c r="Y115" s="10">
        <v>45490</v>
      </c>
      <c r="Z115" s="134" t="s">
        <v>358</v>
      </c>
      <c r="AA115" s="132">
        <v>1</v>
      </c>
      <c r="AB115" s="132">
        <v>1</v>
      </c>
      <c r="AC115" s="132">
        <v>0</v>
      </c>
      <c r="AD115" s="132">
        <v>0</v>
      </c>
      <c r="AE115" s="20" t="s">
        <v>375</v>
      </c>
      <c r="AF115" s="12"/>
      <c r="AG115" s="12" t="s">
        <v>378</v>
      </c>
      <c r="AH115" s="195">
        <v>20753</v>
      </c>
      <c r="AI115" s="196" t="s">
        <v>354</v>
      </c>
      <c r="AJ115" s="197">
        <f t="shared" si="363"/>
        <v>23778.787399999997</v>
      </c>
      <c r="AK115" s="198">
        <v>1769</v>
      </c>
      <c r="AL115" s="198">
        <f t="shared" si="364"/>
        <v>21228</v>
      </c>
      <c r="AM115" s="118">
        <f t="shared" si="357"/>
        <v>-19209.149899999997</v>
      </c>
      <c r="AN115" s="118">
        <f t="shared" si="358"/>
        <v>-16658.362499999999</v>
      </c>
      <c r="AO115" s="118">
        <f t="shared" si="359"/>
        <v>-28658.362499999999</v>
      </c>
      <c r="AP115" s="118">
        <f t="shared" si="360"/>
        <v>-38606.062399999995</v>
      </c>
      <c r="AQ115" s="118">
        <f t="shared" si="361"/>
        <v>-36055.275000000001</v>
      </c>
      <c r="AR115" s="118">
        <f t="shared" si="362"/>
        <v>-48055.275000000001</v>
      </c>
    </row>
    <row r="116" spans="1:44" ht="11.25" customHeight="1">
      <c r="A116" s="149" t="s">
        <v>373</v>
      </c>
      <c r="B116" s="189">
        <v>799</v>
      </c>
      <c r="C116" s="189">
        <v>143</v>
      </c>
      <c r="D116" s="149" t="s">
        <v>353</v>
      </c>
      <c r="E116" s="149" t="s">
        <v>354</v>
      </c>
      <c r="F116" s="149" t="s">
        <v>59</v>
      </c>
      <c r="G116" s="191" t="s">
        <v>101</v>
      </c>
      <c r="H116" s="130" t="s">
        <v>58</v>
      </c>
      <c r="I116" s="132"/>
      <c r="J116" s="53">
        <f>93.24*33.75</f>
        <v>3146.85</v>
      </c>
      <c r="K116" s="118">
        <f t="shared" si="354"/>
        <v>2189.3500000000004</v>
      </c>
      <c r="L116" s="119">
        <f t="shared" si="365"/>
        <v>5336.2000000000007</v>
      </c>
      <c r="M116" s="70">
        <f>(590.28*11.25) + (607.99*11.25) + (607.99*11.25)</f>
        <v>20320.424999999999</v>
      </c>
      <c r="N116" s="118">
        <f t="shared" si="355"/>
        <v>2189.3500000000004</v>
      </c>
      <c r="O116" s="119">
        <f t="shared" si="366"/>
        <v>22509.775000000001</v>
      </c>
      <c r="P116" s="132"/>
      <c r="Q116" s="41" t="s">
        <v>51</v>
      </c>
      <c r="R116" s="18"/>
      <c r="S116" s="72">
        <v>14000</v>
      </c>
      <c r="T116" s="19">
        <f t="shared" si="356"/>
        <v>8663.7999999999993</v>
      </c>
      <c r="W116" s="132"/>
      <c r="X116" s="132"/>
      <c r="Y116" s="10">
        <v>45490</v>
      </c>
      <c r="Z116" s="134" t="s">
        <v>358</v>
      </c>
      <c r="AA116" s="132">
        <v>1</v>
      </c>
      <c r="AB116" s="132">
        <v>1</v>
      </c>
      <c r="AC116" s="132">
        <v>0</v>
      </c>
      <c r="AD116" s="132">
        <v>0</v>
      </c>
      <c r="AE116" s="20" t="s">
        <v>375</v>
      </c>
      <c r="AF116" s="12"/>
      <c r="AG116" s="12" t="s">
        <v>378</v>
      </c>
      <c r="AH116" s="195">
        <v>20753</v>
      </c>
      <c r="AI116" s="196" t="s">
        <v>354</v>
      </c>
      <c r="AJ116" s="197">
        <f t="shared" si="363"/>
        <v>23778.787399999997</v>
      </c>
      <c r="AK116" s="198">
        <v>1769</v>
      </c>
      <c r="AL116" s="198">
        <f t="shared" si="364"/>
        <v>21228</v>
      </c>
      <c r="AM116" s="118">
        <f t="shared" si="357"/>
        <v>-15114.987399999998</v>
      </c>
      <c r="AN116" s="118">
        <f t="shared" si="358"/>
        <v>-12564.2</v>
      </c>
      <c r="AO116" s="118">
        <f t="shared" si="359"/>
        <v>-24564.2</v>
      </c>
      <c r="AP116" s="118">
        <f t="shared" si="360"/>
        <v>-32288.562399999999</v>
      </c>
      <c r="AQ116" s="118">
        <f t="shared" si="361"/>
        <v>-29737.775000000001</v>
      </c>
      <c r="AR116" s="118">
        <f t="shared" si="362"/>
        <v>-41737.775000000001</v>
      </c>
    </row>
    <row r="117" spans="1:44" ht="11.25" customHeight="1">
      <c r="A117" s="149" t="s">
        <v>379</v>
      </c>
      <c r="B117" s="189">
        <v>628</v>
      </c>
      <c r="C117" s="189"/>
      <c r="D117" s="149" t="s">
        <v>353</v>
      </c>
      <c r="E117" s="149" t="s">
        <v>354</v>
      </c>
      <c r="F117" s="190" t="s">
        <v>47</v>
      </c>
      <c r="G117" s="191" t="s">
        <v>380</v>
      </c>
      <c r="H117" s="130" t="s">
        <v>49</v>
      </c>
      <c r="I117" s="21" t="s">
        <v>381</v>
      </c>
      <c r="J117" s="118">
        <v>4315</v>
      </c>
      <c r="K117" s="118"/>
      <c r="L117" s="119">
        <f t="shared" ref="L117:L120" si="367">J117+K117</f>
        <v>4315</v>
      </c>
      <c r="M117" s="118">
        <v>23840</v>
      </c>
      <c r="N117" s="118"/>
      <c r="O117" s="119">
        <f t="shared" ref="O117:O120" si="368">M117+N117</f>
        <v>23840</v>
      </c>
      <c r="P117" s="132"/>
      <c r="Q117" s="132" t="s">
        <v>51</v>
      </c>
      <c r="R117" s="132">
        <v>2</v>
      </c>
      <c r="S117" s="132">
        <v>12500</v>
      </c>
      <c r="T117" s="119">
        <f t="shared" ref="T117:T118" si="369">S117-L117</f>
        <v>8185</v>
      </c>
      <c r="U117" s="204"/>
      <c r="W117" s="132"/>
      <c r="X117" s="132"/>
      <c r="Y117" s="73">
        <v>45447</v>
      </c>
      <c r="Z117" s="134" t="s">
        <v>358</v>
      </c>
      <c r="AA117" s="132">
        <v>1</v>
      </c>
      <c r="AB117" s="132">
        <v>1</v>
      </c>
      <c r="AC117" s="132">
        <v>0</v>
      </c>
      <c r="AD117" s="132">
        <v>0</v>
      </c>
      <c r="AE117" s="56" t="s">
        <v>382</v>
      </c>
      <c r="AF117" s="66" t="s">
        <v>383</v>
      </c>
      <c r="AG117" s="74"/>
      <c r="AH117" s="195">
        <v>20753</v>
      </c>
      <c r="AI117" s="196" t="s">
        <v>354</v>
      </c>
      <c r="AJ117" s="197">
        <f>1.1458*AH117</f>
        <v>23778.787399999997</v>
      </c>
      <c r="AK117" s="198">
        <v>1769</v>
      </c>
      <c r="AL117" s="198">
        <f>AK117*12</f>
        <v>21228</v>
      </c>
      <c r="AM117" s="118">
        <f t="shared" ref="AM117:AM118" si="370">T117-$AJ$117</f>
        <v>-15593.787399999997</v>
      </c>
      <c r="AN117" s="118">
        <f t="shared" ref="AN117:AN118" si="371">T117-$AL$117</f>
        <v>-13043</v>
      </c>
      <c r="AO117" s="118">
        <f t="shared" ref="AO117:AO118" si="372">AN117-12000</f>
        <v>-25043</v>
      </c>
      <c r="AP117" s="118">
        <f t="shared" ref="AP117:AP118" si="373">S117-O117-$AJ$117</f>
        <v>-35118.787400000001</v>
      </c>
      <c r="AQ117" s="118">
        <f t="shared" ref="AQ117:AQ118" si="374">S117-O117-$AL$117</f>
        <v>-32568</v>
      </c>
      <c r="AR117" s="118">
        <f t="shared" ref="AR117:AR118" si="375">AQ117-12000</f>
        <v>-44568</v>
      </c>
    </row>
    <row r="118" spans="1:44" ht="11.25" customHeight="1">
      <c r="A118" s="149" t="s">
        <v>379</v>
      </c>
      <c r="B118" s="189">
        <v>628</v>
      </c>
      <c r="C118" s="189"/>
      <c r="D118" s="149" t="s">
        <v>353</v>
      </c>
      <c r="E118" s="149" t="s">
        <v>354</v>
      </c>
      <c r="F118" s="190" t="s">
        <v>47</v>
      </c>
      <c r="G118" s="191" t="s">
        <v>380</v>
      </c>
      <c r="H118" s="130" t="s">
        <v>58</v>
      </c>
      <c r="I118" s="21"/>
      <c r="J118" s="118">
        <v>4315</v>
      </c>
      <c r="K118" s="118"/>
      <c r="L118" s="119">
        <f t="shared" si="367"/>
        <v>4315</v>
      </c>
      <c r="M118" s="118">
        <v>4315</v>
      </c>
      <c r="N118" s="118"/>
      <c r="O118" s="119">
        <f t="shared" si="368"/>
        <v>4315</v>
      </c>
      <c r="P118" s="132" t="s">
        <v>356</v>
      </c>
      <c r="Q118" s="132" t="s">
        <v>51</v>
      </c>
      <c r="R118" s="132">
        <v>4</v>
      </c>
      <c r="S118" s="132">
        <v>17000</v>
      </c>
      <c r="T118" s="119">
        <f t="shared" si="369"/>
        <v>12685</v>
      </c>
      <c r="W118" s="132"/>
      <c r="X118" s="132"/>
      <c r="Y118" s="73">
        <v>45447</v>
      </c>
      <c r="Z118" s="134" t="s">
        <v>358</v>
      </c>
      <c r="AA118" s="132">
        <v>1</v>
      </c>
      <c r="AB118" s="132">
        <v>1</v>
      </c>
      <c r="AC118" s="132">
        <v>1</v>
      </c>
      <c r="AD118" s="132">
        <v>0</v>
      </c>
      <c r="AE118" s="56" t="s">
        <v>384</v>
      </c>
      <c r="AF118" s="12"/>
      <c r="AG118" s="66" t="s">
        <v>385</v>
      </c>
      <c r="AH118" s="195">
        <v>20753</v>
      </c>
      <c r="AI118" s="196" t="s">
        <v>354</v>
      </c>
      <c r="AJ118" s="197">
        <f t="shared" ref="AJ118:AJ120" si="376">1.1458*AH118</f>
        <v>23778.787399999997</v>
      </c>
      <c r="AK118" s="198">
        <v>1769</v>
      </c>
      <c r="AL118" s="198">
        <f t="shared" ref="AL118:AL120" si="377">AK118*12</f>
        <v>21228</v>
      </c>
      <c r="AM118" s="118">
        <f t="shared" si="370"/>
        <v>-11093.787399999997</v>
      </c>
      <c r="AN118" s="118">
        <f t="shared" si="371"/>
        <v>-8543</v>
      </c>
      <c r="AO118" s="118">
        <f t="shared" si="372"/>
        <v>-20543</v>
      </c>
      <c r="AP118" s="118">
        <f t="shared" si="373"/>
        <v>-11093.787399999997</v>
      </c>
      <c r="AQ118" s="118">
        <f t="shared" si="374"/>
        <v>-8543</v>
      </c>
      <c r="AR118" s="118">
        <f t="shared" si="375"/>
        <v>-20543</v>
      </c>
    </row>
    <row r="119" spans="1:44" ht="11.25" customHeight="1">
      <c r="A119" s="149" t="s">
        <v>379</v>
      </c>
      <c r="B119" s="189">
        <v>628</v>
      </c>
      <c r="C119" s="189"/>
      <c r="D119" s="149" t="s">
        <v>353</v>
      </c>
      <c r="E119" s="149" t="s">
        <v>354</v>
      </c>
      <c r="F119" s="149" t="s">
        <v>59</v>
      </c>
      <c r="G119" s="191" t="s">
        <v>386</v>
      </c>
      <c r="H119" s="130" t="s">
        <v>49</v>
      </c>
      <c r="I119" s="25" t="s">
        <v>387</v>
      </c>
      <c r="J119" s="118">
        <v>4315</v>
      </c>
      <c r="K119" s="118"/>
      <c r="L119" s="119">
        <f t="shared" si="367"/>
        <v>4315</v>
      </c>
      <c r="M119" s="118">
        <v>23840</v>
      </c>
      <c r="N119" s="118"/>
      <c r="O119" s="119">
        <f t="shared" si="368"/>
        <v>23840</v>
      </c>
      <c r="P119" s="132"/>
      <c r="Q119" s="132" t="s">
        <v>96</v>
      </c>
      <c r="R119" s="18"/>
      <c r="S119" s="18"/>
      <c r="T119" s="19"/>
      <c r="W119" s="132"/>
      <c r="X119" s="132"/>
      <c r="Y119" s="73">
        <v>45447</v>
      </c>
      <c r="Z119" s="134"/>
      <c r="AA119" s="132">
        <v>1</v>
      </c>
      <c r="AB119" s="132">
        <v>1</v>
      </c>
      <c r="AC119" s="132">
        <v>0</v>
      </c>
      <c r="AD119" s="132">
        <v>0</v>
      </c>
      <c r="AE119" s="193" t="s">
        <v>388</v>
      </c>
      <c r="AF119" s="12"/>
      <c r="AG119" s="12"/>
      <c r="AH119" s="195">
        <v>20753</v>
      </c>
      <c r="AI119" s="196" t="s">
        <v>354</v>
      </c>
      <c r="AJ119" s="197">
        <f t="shared" si="376"/>
        <v>23778.787399999997</v>
      </c>
      <c r="AK119" s="198">
        <v>1769</v>
      </c>
      <c r="AL119" s="198">
        <f t="shared" si="377"/>
        <v>21228</v>
      </c>
      <c r="AM119" s="118"/>
      <c r="AN119" s="118"/>
      <c r="AO119" s="132"/>
      <c r="AP119" s="118"/>
      <c r="AQ119" s="118"/>
      <c r="AR119" s="118"/>
    </row>
    <row r="120" spans="1:44" ht="11.25" customHeight="1">
      <c r="A120" s="149" t="s">
        <v>379</v>
      </c>
      <c r="B120" s="189">
        <v>628</v>
      </c>
      <c r="C120" s="189"/>
      <c r="D120" s="149" t="s">
        <v>353</v>
      </c>
      <c r="E120" s="149" t="s">
        <v>354</v>
      </c>
      <c r="F120" s="149" t="s">
        <v>59</v>
      </c>
      <c r="G120" s="191" t="s">
        <v>386</v>
      </c>
      <c r="H120" s="130" t="s">
        <v>58</v>
      </c>
      <c r="I120" s="132"/>
      <c r="J120" s="118">
        <v>4315</v>
      </c>
      <c r="K120" s="118"/>
      <c r="L120" s="119">
        <f t="shared" si="367"/>
        <v>4315</v>
      </c>
      <c r="M120" s="118">
        <v>4315</v>
      </c>
      <c r="N120" s="118"/>
      <c r="O120" s="119">
        <f t="shared" si="368"/>
        <v>4315</v>
      </c>
      <c r="P120" s="132"/>
      <c r="Q120" s="132" t="s">
        <v>51</v>
      </c>
      <c r="R120" s="18"/>
      <c r="S120" s="18">
        <v>13000</v>
      </c>
      <c r="T120" s="19">
        <f>S120-L120</f>
        <v>8685</v>
      </c>
      <c r="W120" s="132"/>
      <c r="X120" s="132"/>
      <c r="Y120" s="73">
        <v>45447</v>
      </c>
      <c r="Z120" s="134"/>
      <c r="AA120" s="132">
        <v>1</v>
      </c>
      <c r="AB120" s="132">
        <v>1</v>
      </c>
      <c r="AC120" s="132">
        <v>0</v>
      </c>
      <c r="AD120" s="132">
        <v>0</v>
      </c>
      <c r="AF120" s="12"/>
      <c r="AG120" s="12"/>
      <c r="AH120" s="195">
        <v>20753</v>
      </c>
      <c r="AI120" s="196" t="s">
        <v>354</v>
      </c>
      <c r="AJ120" s="197">
        <f t="shared" si="376"/>
        <v>23778.787399999997</v>
      </c>
      <c r="AK120" s="198">
        <v>1769</v>
      </c>
      <c r="AL120" s="198">
        <f t="shared" si="377"/>
        <v>21228</v>
      </c>
      <c r="AM120" s="118">
        <f>T120-$AJ$117</f>
        <v>-15093.787399999997</v>
      </c>
      <c r="AN120" s="118">
        <f>T120-$AL$117</f>
        <v>-12543</v>
      </c>
      <c r="AO120" s="118">
        <f>AN120-12000</f>
        <v>-24543</v>
      </c>
      <c r="AP120" s="118">
        <f>S120-O120-$AJ$117</f>
        <v>-15093.787399999997</v>
      </c>
      <c r="AQ120" s="118">
        <f>S120-O120-$AL$117</f>
        <v>-12543</v>
      </c>
      <c r="AR120" s="118">
        <f>AQ120-12000</f>
        <v>-24543</v>
      </c>
    </row>
    <row r="121" spans="1:44" ht="11.25" customHeight="1">
      <c r="A121" s="149" t="s">
        <v>389</v>
      </c>
      <c r="B121" s="189">
        <v>1125</v>
      </c>
      <c r="C121" s="189">
        <v>34</v>
      </c>
      <c r="D121" s="149" t="s">
        <v>353</v>
      </c>
      <c r="E121" s="149" t="s">
        <v>390</v>
      </c>
      <c r="F121" s="190" t="s">
        <v>47</v>
      </c>
      <c r="G121" s="191" t="s">
        <v>391</v>
      </c>
      <c r="H121" s="130" t="s">
        <v>49</v>
      </c>
      <c r="I121" s="21" t="s">
        <v>392</v>
      </c>
      <c r="J121" s="118">
        <f t="shared" ref="J121:J124" si="378">1152.36*2</f>
        <v>2304.7199999999998</v>
      </c>
      <c r="K121" s="118">
        <f t="shared" ref="K121:K124" si="379">89.88*2+168*2+79.2*2+150.56*2</f>
        <v>975.28</v>
      </c>
      <c r="L121" s="119">
        <f t="shared" ref="L121:L124" si="380">J121+K121</f>
        <v>3280</v>
      </c>
      <c r="M121" s="118">
        <f>1152.36*2+6738.84*2</f>
        <v>15782.4</v>
      </c>
      <c r="N121" s="118">
        <f t="shared" ref="N121:N124" si="381">89.88*2+168*2+79.2*2+150.56*2</f>
        <v>975.28</v>
      </c>
      <c r="O121" s="119">
        <f t="shared" ref="O121:O124" si="382">M121+N121</f>
        <v>16757.68</v>
      </c>
      <c r="P121" s="132"/>
      <c r="Q121" s="132" t="s">
        <v>96</v>
      </c>
      <c r="R121" s="132"/>
      <c r="S121" s="48"/>
      <c r="T121" s="48"/>
      <c r="U121" s="48"/>
      <c r="V121" s="48"/>
      <c r="W121" s="132"/>
      <c r="X121" s="132"/>
      <c r="Y121" s="73">
        <v>45447</v>
      </c>
      <c r="Z121" s="134"/>
      <c r="AA121" s="132"/>
      <c r="AB121" s="132"/>
      <c r="AC121" s="132"/>
      <c r="AD121" s="132"/>
      <c r="AE121" s="56" t="s">
        <v>393</v>
      </c>
      <c r="AF121" s="66" t="s">
        <v>394</v>
      </c>
      <c r="AG121" s="12" t="s">
        <v>395</v>
      </c>
      <c r="AH121" s="195">
        <v>20462</v>
      </c>
      <c r="AI121" s="196" t="s">
        <v>390</v>
      </c>
      <c r="AJ121" s="197">
        <f>1.1458*AH121</f>
        <v>23445.3596</v>
      </c>
      <c r="AK121" s="198">
        <v>1254</v>
      </c>
      <c r="AL121" s="198">
        <f>AK121*12</f>
        <v>15048</v>
      </c>
      <c r="AM121" s="118"/>
      <c r="AN121" s="118"/>
      <c r="AO121" s="132"/>
      <c r="AP121" s="118"/>
      <c r="AQ121" s="118"/>
      <c r="AR121" s="118"/>
    </row>
    <row r="122" spans="1:44" ht="11.25" customHeight="1">
      <c r="A122" s="149" t="s">
        <v>389</v>
      </c>
      <c r="B122" s="189">
        <v>1125</v>
      </c>
      <c r="C122" s="189">
        <v>34</v>
      </c>
      <c r="D122" s="149" t="s">
        <v>353</v>
      </c>
      <c r="E122" s="149" t="s">
        <v>390</v>
      </c>
      <c r="F122" s="190" t="s">
        <v>47</v>
      </c>
      <c r="G122" s="191" t="s">
        <v>391</v>
      </c>
      <c r="H122" s="130" t="s">
        <v>58</v>
      </c>
      <c r="I122" s="21"/>
      <c r="J122" s="118">
        <f t="shared" si="378"/>
        <v>2304.7199999999998</v>
      </c>
      <c r="K122" s="118">
        <f t="shared" si="379"/>
        <v>975.28</v>
      </c>
      <c r="L122" s="119">
        <f t="shared" si="380"/>
        <v>3280</v>
      </c>
      <c r="M122" s="118">
        <f>1152.36*2+5931*2</f>
        <v>14166.72</v>
      </c>
      <c r="N122" s="118">
        <f t="shared" si="381"/>
        <v>975.28</v>
      </c>
      <c r="O122" s="119">
        <f t="shared" si="382"/>
        <v>15142</v>
      </c>
      <c r="P122" s="132"/>
      <c r="Q122" s="132" t="s">
        <v>96</v>
      </c>
      <c r="R122" s="132"/>
      <c r="S122" s="48"/>
      <c r="T122" s="48"/>
      <c r="U122" s="48"/>
      <c r="V122" s="48"/>
      <c r="W122" s="132"/>
      <c r="X122" s="132"/>
      <c r="Y122" s="73">
        <v>45447</v>
      </c>
      <c r="Z122" s="134"/>
      <c r="AA122" s="132"/>
      <c r="AB122" s="132"/>
      <c r="AC122" s="132"/>
      <c r="AD122" s="132"/>
      <c r="AE122" s="56" t="s">
        <v>396</v>
      </c>
      <c r="AF122" s="66" t="s">
        <v>394</v>
      </c>
      <c r="AG122" s="12" t="s">
        <v>395</v>
      </c>
      <c r="AH122" s="195">
        <v>20462</v>
      </c>
      <c r="AI122" s="196" t="s">
        <v>390</v>
      </c>
      <c r="AJ122" s="197">
        <f t="shared" ref="AJ122:AJ124" si="383">1.1458*AH122</f>
        <v>23445.3596</v>
      </c>
      <c r="AK122" s="198">
        <v>1254</v>
      </c>
      <c r="AL122" s="198">
        <f t="shared" ref="AL122:AL124" si="384">AK122*12</f>
        <v>15048</v>
      </c>
      <c r="AM122" s="118"/>
      <c r="AN122" s="118"/>
      <c r="AO122" s="132"/>
      <c r="AP122" s="118"/>
      <c r="AQ122" s="118"/>
      <c r="AR122" s="118"/>
    </row>
    <row r="123" spans="1:44" ht="11.25" customHeight="1">
      <c r="A123" s="149" t="s">
        <v>389</v>
      </c>
      <c r="B123" s="189">
        <v>1125</v>
      </c>
      <c r="C123" s="189">
        <v>34</v>
      </c>
      <c r="D123" s="149" t="s">
        <v>353</v>
      </c>
      <c r="E123" s="149" t="s">
        <v>390</v>
      </c>
      <c r="F123" s="149" t="s">
        <v>59</v>
      </c>
      <c r="G123" s="191" t="s">
        <v>397</v>
      </c>
      <c r="H123" s="130" t="s">
        <v>49</v>
      </c>
      <c r="I123" s="17" t="s">
        <v>398</v>
      </c>
      <c r="J123" s="118">
        <f t="shared" si="378"/>
        <v>2304.7199999999998</v>
      </c>
      <c r="K123" s="118">
        <f t="shared" si="379"/>
        <v>975.28</v>
      </c>
      <c r="L123" s="119">
        <f t="shared" si="380"/>
        <v>3280</v>
      </c>
      <c r="M123" s="118">
        <f>1152.36*2+6738.84*2</f>
        <v>15782.4</v>
      </c>
      <c r="N123" s="118">
        <f t="shared" si="381"/>
        <v>975.28</v>
      </c>
      <c r="O123" s="119">
        <f t="shared" si="382"/>
        <v>16757.68</v>
      </c>
      <c r="P123" s="132"/>
      <c r="Q123" s="132" t="s">
        <v>399</v>
      </c>
      <c r="R123" s="18">
        <v>2</v>
      </c>
      <c r="S123" s="18">
        <v>16000</v>
      </c>
      <c r="T123" s="19">
        <f t="shared" ref="T123:T124" si="385">S123-L123</f>
        <v>12720</v>
      </c>
      <c r="U123" s="204"/>
      <c r="W123" s="132"/>
      <c r="X123" s="132"/>
      <c r="Y123" s="73">
        <v>45447</v>
      </c>
      <c r="Z123" s="134" t="s">
        <v>358</v>
      </c>
      <c r="AA123" s="132">
        <v>0</v>
      </c>
      <c r="AB123" s="132">
        <v>0</v>
      </c>
      <c r="AC123" s="132">
        <v>0</v>
      </c>
      <c r="AD123" s="132">
        <v>0</v>
      </c>
      <c r="AE123" s="75" t="s">
        <v>400</v>
      </c>
      <c r="AF123" s="12"/>
      <c r="AG123" s="12" t="s">
        <v>401</v>
      </c>
      <c r="AH123" s="195">
        <v>20462</v>
      </c>
      <c r="AI123" s="196" t="s">
        <v>390</v>
      </c>
      <c r="AJ123" s="197">
        <f t="shared" si="383"/>
        <v>23445.3596</v>
      </c>
      <c r="AK123" s="198">
        <v>1254</v>
      </c>
      <c r="AL123" s="198">
        <f t="shared" si="384"/>
        <v>15048</v>
      </c>
      <c r="AM123" s="118">
        <f t="shared" ref="AM123:AM124" si="386">T123-$AJ$121</f>
        <v>-10725.3596</v>
      </c>
      <c r="AN123" s="118">
        <f t="shared" ref="AN123:AN124" si="387">T123-$AL$121</f>
        <v>-2328</v>
      </c>
      <c r="AO123" s="118">
        <f t="shared" ref="AO123:AO124" si="388">AN123-12000</f>
        <v>-14328</v>
      </c>
      <c r="AP123" s="118">
        <f t="shared" ref="AP123:AP124" si="389">S123-O123-$AJ$121</f>
        <v>-24203.0396</v>
      </c>
      <c r="AQ123" s="118">
        <f t="shared" ref="AQ123:AQ124" si="390">S123-O123-$AL$121</f>
        <v>-15805.68</v>
      </c>
      <c r="AR123" s="118">
        <f t="shared" ref="AR123:AR124" si="391">AQ123-12000</f>
        <v>-27805.68</v>
      </c>
    </row>
    <row r="124" spans="1:44" ht="11.25" customHeight="1">
      <c r="A124" s="149" t="s">
        <v>389</v>
      </c>
      <c r="B124" s="189">
        <v>1125</v>
      </c>
      <c r="C124" s="189">
        <v>34</v>
      </c>
      <c r="D124" s="149" t="s">
        <v>353</v>
      </c>
      <c r="E124" s="149" t="s">
        <v>390</v>
      </c>
      <c r="F124" s="149" t="s">
        <v>59</v>
      </c>
      <c r="G124" s="191" t="s">
        <v>397</v>
      </c>
      <c r="H124" s="130" t="s">
        <v>58</v>
      </c>
      <c r="I124" s="132"/>
      <c r="J124" s="118">
        <f t="shared" si="378"/>
        <v>2304.7199999999998</v>
      </c>
      <c r="K124" s="118">
        <f t="shared" si="379"/>
        <v>975.28</v>
      </c>
      <c r="L124" s="119">
        <f t="shared" si="380"/>
        <v>3280</v>
      </c>
      <c r="M124" s="118">
        <f>1152.36*2+5931*2</f>
        <v>14166.72</v>
      </c>
      <c r="N124" s="118">
        <f t="shared" si="381"/>
        <v>975.28</v>
      </c>
      <c r="O124" s="119">
        <f t="shared" si="382"/>
        <v>15142</v>
      </c>
      <c r="P124" s="132"/>
      <c r="Q124" s="132" t="s">
        <v>402</v>
      </c>
      <c r="R124" s="18">
        <v>4</v>
      </c>
      <c r="S124" s="18">
        <v>16000</v>
      </c>
      <c r="T124" s="19">
        <f t="shared" si="385"/>
        <v>12720</v>
      </c>
      <c r="W124" s="132"/>
      <c r="X124" s="132"/>
      <c r="Y124" s="73">
        <v>45447</v>
      </c>
      <c r="Z124" s="134" t="s">
        <v>358</v>
      </c>
      <c r="AA124" s="132">
        <v>0</v>
      </c>
      <c r="AB124" s="132">
        <v>0</v>
      </c>
      <c r="AC124" s="132">
        <v>0</v>
      </c>
      <c r="AD124" s="132">
        <v>0</v>
      </c>
      <c r="AF124" s="12"/>
      <c r="AG124" s="12"/>
      <c r="AH124" s="195">
        <v>20462</v>
      </c>
      <c r="AI124" s="196" t="s">
        <v>390</v>
      </c>
      <c r="AJ124" s="197">
        <f t="shared" si="383"/>
        <v>23445.3596</v>
      </c>
      <c r="AK124" s="198">
        <v>1254</v>
      </c>
      <c r="AL124" s="198">
        <f t="shared" si="384"/>
        <v>15048</v>
      </c>
      <c r="AM124" s="118">
        <f t="shared" si="386"/>
        <v>-10725.3596</v>
      </c>
      <c r="AN124" s="118">
        <f t="shared" si="387"/>
        <v>-2328</v>
      </c>
      <c r="AO124" s="118">
        <f t="shared" si="388"/>
        <v>-14328</v>
      </c>
      <c r="AP124" s="118">
        <f t="shared" si="389"/>
        <v>-22587.3596</v>
      </c>
      <c r="AQ124" s="118">
        <f t="shared" si="390"/>
        <v>-14190</v>
      </c>
      <c r="AR124" s="118">
        <f t="shared" si="391"/>
        <v>-26190</v>
      </c>
    </row>
    <row r="125" spans="1:44" ht="11.25" customHeight="1">
      <c r="A125" s="149" t="s">
        <v>403</v>
      </c>
      <c r="B125" s="189">
        <v>771</v>
      </c>
      <c r="C125" s="189"/>
      <c r="D125" s="149" t="s">
        <v>353</v>
      </c>
      <c r="E125" s="149" t="s">
        <v>403</v>
      </c>
      <c r="F125" s="190" t="s">
        <v>47</v>
      </c>
      <c r="G125" s="191" t="s">
        <v>404</v>
      </c>
      <c r="H125" s="130" t="s">
        <v>49</v>
      </c>
      <c r="I125" s="21"/>
      <c r="J125" s="118">
        <f t="shared" ref="J125:J128" si="392">1440.45*3</f>
        <v>4321.3500000000004</v>
      </c>
      <c r="K125" s="118">
        <f t="shared" ref="K125:K128" si="393">(39.71+334.92+50+18.5)*3</f>
        <v>1329.3899999999999</v>
      </c>
      <c r="L125" s="119">
        <f t="shared" ref="L125:L128" si="394">J125+K125</f>
        <v>5650.74</v>
      </c>
      <c r="M125" s="118">
        <f>9865*3</f>
        <v>29595</v>
      </c>
      <c r="N125" s="118">
        <f t="shared" ref="N125:N128" si="395">445*3</f>
        <v>1335</v>
      </c>
      <c r="O125" s="119">
        <f t="shared" ref="O125:O128" si="396">M125+N125</f>
        <v>30930</v>
      </c>
      <c r="P125" s="132" t="s">
        <v>405</v>
      </c>
      <c r="Q125" s="132"/>
      <c r="R125" s="132"/>
      <c r="S125" s="208"/>
      <c r="W125" s="132"/>
      <c r="X125" s="132"/>
      <c r="Y125" s="73">
        <v>45447</v>
      </c>
      <c r="Z125" s="134"/>
      <c r="AA125" s="132">
        <v>0</v>
      </c>
      <c r="AB125" s="132">
        <v>1</v>
      </c>
      <c r="AC125" s="132">
        <v>0</v>
      </c>
      <c r="AD125" s="132">
        <v>0</v>
      </c>
      <c r="AE125" s="56"/>
      <c r="AF125" s="66" t="s">
        <v>406</v>
      </c>
      <c r="AG125" s="12"/>
      <c r="AH125" s="195">
        <v>19601</v>
      </c>
      <c r="AI125" s="196" t="s">
        <v>407</v>
      </c>
      <c r="AJ125" s="197">
        <f>1.1458*AH125</f>
        <v>22458.825799999999</v>
      </c>
      <c r="AK125" s="202"/>
      <c r="AM125" s="202"/>
    </row>
    <row r="126" spans="1:44" ht="11.25" customHeight="1">
      <c r="A126" s="149" t="s">
        <v>403</v>
      </c>
      <c r="B126" s="189">
        <v>771</v>
      </c>
      <c r="C126" s="189"/>
      <c r="D126" s="149" t="s">
        <v>353</v>
      </c>
      <c r="E126" s="149" t="s">
        <v>403</v>
      </c>
      <c r="F126" s="190" t="s">
        <v>47</v>
      </c>
      <c r="G126" s="191" t="s">
        <v>404</v>
      </c>
      <c r="H126" s="130" t="s">
        <v>58</v>
      </c>
      <c r="I126" s="21"/>
      <c r="J126" s="118">
        <f t="shared" si="392"/>
        <v>4321.3500000000004</v>
      </c>
      <c r="K126" s="118">
        <f t="shared" si="393"/>
        <v>1329.3899999999999</v>
      </c>
      <c r="L126" s="119">
        <f t="shared" si="394"/>
        <v>5650.74</v>
      </c>
      <c r="M126" s="118">
        <f>1440*3</f>
        <v>4320</v>
      </c>
      <c r="N126" s="118">
        <f t="shared" si="395"/>
        <v>1335</v>
      </c>
      <c r="O126" s="119">
        <f t="shared" si="396"/>
        <v>5655</v>
      </c>
      <c r="P126" s="132" t="s">
        <v>356</v>
      </c>
      <c r="Q126" s="132"/>
      <c r="R126" s="132"/>
      <c r="W126" s="132"/>
      <c r="X126" s="132"/>
      <c r="Y126" s="73">
        <v>45447</v>
      </c>
      <c r="Z126" s="134"/>
      <c r="AA126" s="132">
        <v>0</v>
      </c>
      <c r="AB126" s="132">
        <v>1</v>
      </c>
      <c r="AC126" s="132">
        <v>0</v>
      </c>
      <c r="AD126" s="132">
        <v>0</v>
      </c>
      <c r="AE126" s="56"/>
      <c r="AF126" s="66" t="s">
        <v>406</v>
      </c>
      <c r="AG126" s="12"/>
      <c r="AH126" s="195">
        <v>19601</v>
      </c>
      <c r="AI126" s="196" t="s">
        <v>407</v>
      </c>
      <c r="AJ126" s="197">
        <f t="shared" ref="AJ126:AJ128" si="397">1.1458*AH126</f>
        <v>22458.825799999999</v>
      </c>
    </row>
    <row r="127" spans="1:44" ht="11.25" customHeight="1">
      <c r="A127" s="149" t="s">
        <v>403</v>
      </c>
      <c r="B127" s="189">
        <v>771</v>
      </c>
      <c r="C127" s="189"/>
      <c r="D127" s="149" t="s">
        <v>353</v>
      </c>
      <c r="E127" s="149" t="s">
        <v>403</v>
      </c>
      <c r="F127" s="149" t="s">
        <v>59</v>
      </c>
      <c r="G127" s="191" t="s">
        <v>408</v>
      </c>
      <c r="H127" s="130" t="s">
        <v>49</v>
      </c>
      <c r="I127" s="17"/>
      <c r="J127" s="118">
        <f t="shared" si="392"/>
        <v>4321.3500000000004</v>
      </c>
      <c r="K127" s="118">
        <f t="shared" si="393"/>
        <v>1329.3899999999999</v>
      </c>
      <c r="L127" s="119">
        <f t="shared" si="394"/>
        <v>5650.74</v>
      </c>
      <c r="M127" s="118">
        <f>9865*3</f>
        <v>29595</v>
      </c>
      <c r="N127" s="118">
        <f t="shared" si="395"/>
        <v>1335</v>
      </c>
      <c r="O127" s="119">
        <f t="shared" si="396"/>
        <v>30930</v>
      </c>
      <c r="P127" s="132" t="s">
        <v>405</v>
      </c>
      <c r="Q127" s="132"/>
      <c r="R127" s="18"/>
      <c r="W127" s="132"/>
      <c r="X127" s="132"/>
      <c r="Y127" s="73">
        <v>45447</v>
      </c>
      <c r="Z127" s="134"/>
      <c r="AA127" s="132">
        <v>0</v>
      </c>
      <c r="AB127" s="132">
        <v>1</v>
      </c>
      <c r="AC127" s="132">
        <v>0</v>
      </c>
      <c r="AD127" s="132">
        <v>0</v>
      </c>
      <c r="AE127" s="20"/>
      <c r="AF127" s="66" t="s">
        <v>406</v>
      </c>
      <c r="AG127" s="12"/>
      <c r="AH127" s="195">
        <v>19601</v>
      </c>
      <c r="AI127" s="196" t="s">
        <v>407</v>
      </c>
      <c r="AJ127" s="197">
        <f t="shared" si="397"/>
        <v>22458.825799999999</v>
      </c>
    </row>
    <row r="128" spans="1:44" ht="11.25" customHeight="1">
      <c r="A128" s="149" t="s">
        <v>403</v>
      </c>
      <c r="B128" s="189">
        <v>771</v>
      </c>
      <c r="C128" s="189"/>
      <c r="D128" s="149" t="s">
        <v>353</v>
      </c>
      <c r="E128" s="149" t="s">
        <v>403</v>
      </c>
      <c r="F128" s="149" t="s">
        <v>59</v>
      </c>
      <c r="G128" s="191" t="s">
        <v>408</v>
      </c>
      <c r="H128" s="130" t="s">
        <v>58</v>
      </c>
      <c r="I128" s="132"/>
      <c r="J128" s="118">
        <f t="shared" si="392"/>
        <v>4321.3500000000004</v>
      </c>
      <c r="K128" s="118">
        <f t="shared" si="393"/>
        <v>1329.3899999999999</v>
      </c>
      <c r="L128" s="119">
        <f t="shared" si="394"/>
        <v>5650.74</v>
      </c>
      <c r="M128" s="118">
        <f>1440*3</f>
        <v>4320</v>
      </c>
      <c r="N128" s="118">
        <f t="shared" si="395"/>
        <v>1335</v>
      </c>
      <c r="O128" s="119">
        <f t="shared" si="396"/>
        <v>5655</v>
      </c>
      <c r="P128" s="132" t="s">
        <v>356</v>
      </c>
      <c r="Q128" s="132"/>
      <c r="R128" s="18"/>
      <c r="S128" s="18">
        <v>18000</v>
      </c>
      <c r="T128" s="19">
        <f>S128-L128</f>
        <v>12349.26</v>
      </c>
      <c r="U128" s="204"/>
      <c r="W128" s="132"/>
      <c r="X128" s="132"/>
      <c r="Y128" s="73">
        <v>45447</v>
      </c>
      <c r="Z128" s="134" t="s">
        <v>409</v>
      </c>
      <c r="AA128" s="132">
        <v>0</v>
      </c>
      <c r="AB128" s="132">
        <v>1</v>
      </c>
      <c r="AC128" s="132">
        <v>0</v>
      </c>
      <c r="AD128" s="132">
        <v>0</v>
      </c>
      <c r="AE128" s="56"/>
      <c r="AF128" s="66" t="s">
        <v>406</v>
      </c>
      <c r="AG128" s="12" t="s">
        <v>410</v>
      </c>
      <c r="AH128" s="195">
        <v>19601</v>
      </c>
      <c r="AI128" s="196" t="s">
        <v>407</v>
      </c>
      <c r="AJ128" s="197">
        <f t="shared" si="397"/>
        <v>22458.825799999999</v>
      </c>
      <c r="AM128" s="118">
        <f>T128-$AJ$125</f>
        <v>-10109.565799999998</v>
      </c>
      <c r="AN128" s="202"/>
      <c r="AP128" s="118">
        <f>S128-O128-$AJ$125</f>
        <v>-10113.825799999999</v>
      </c>
      <c r="AQ128" s="202"/>
    </row>
    <row r="129" spans="1:44" ht="11.25" customHeight="1">
      <c r="A129" s="149" t="s">
        <v>411</v>
      </c>
      <c r="B129" s="189">
        <v>326</v>
      </c>
      <c r="C129" s="189">
        <v>60</v>
      </c>
      <c r="D129" s="149" t="s">
        <v>412</v>
      </c>
      <c r="E129" s="149" t="s">
        <v>411</v>
      </c>
      <c r="F129" s="190" t="s">
        <v>47</v>
      </c>
      <c r="G129" s="191" t="s">
        <v>233</v>
      </c>
      <c r="H129" s="130" t="s">
        <v>49</v>
      </c>
      <c r="I129" s="21" t="s">
        <v>413</v>
      </c>
      <c r="J129" s="118">
        <f>1638.75*3</f>
        <v>4916.25</v>
      </c>
      <c r="K129" s="118">
        <f>287.95+287.95+200.35</f>
        <v>776.25</v>
      </c>
      <c r="L129" s="119">
        <f t="shared" ref="L129:L132" si="398">J129+K129</f>
        <v>5692.5</v>
      </c>
      <c r="M129" s="118">
        <f t="shared" ref="M129:M132" si="399">J129</f>
        <v>4916.25</v>
      </c>
      <c r="N129" s="118">
        <f>1622.45+1622.45+1534.85</f>
        <v>4779.75</v>
      </c>
      <c r="O129" s="119">
        <f t="shared" ref="O129:O132" si="400">M129+N129</f>
        <v>9696</v>
      </c>
      <c r="P129" s="132"/>
      <c r="Q129" s="132" t="s">
        <v>51</v>
      </c>
      <c r="R129" s="132">
        <v>1</v>
      </c>
      <c r="S129" s="208"/>
      <c r="W129" s="132"/>
      <c r="X129" s="132"/>
      <c r="Y129" s="10">
        <v>45488</v>
      </c>
      <c r="Z129" s="134"/>
      <c r="AA129" s="132">
        <v>0</v>
      </c>
      <c r="AB129" s="132">
        <v>0.5</v>
      </c>
      <c r="AC129" s="132">
        <v>0</v>
      </c>
      <c r="AD129" s="132">
        <v>0</v>
      </c>
      <c r="AE129" s="56"/>
      <c r="AF129" s="12" t="s">
        <v>414</v>
      </c>
      <c r="AG129" s="12"/>
      <c r="AH129" s="195">
        <v>23094</v>
      </c>
      <c r="AI129" s="196" t="s">
        <v>411</v>
      </c>
      <c r="AJ129" s="197">
        <f>1.1458*AH129</f>
        <v>26461.105199999998</v>
      </c>
      <c r="AK129" s="198">
        <v>1121</v>
      </c>
      <c r="AL129" s="198">
        <f>AK129*12</f>
        <v>13452</v>
      </c>
      <c r="AM129" s="202"/>
    </row>
    <row r="130" spans="1:44" ht="11.25" customHeight="1">
      <c r="A130" s="149" t="s">
        <v>411</v>
      </c>
      <c r="B130" s="189">
        <v>326</v>
      </c>
      <c r="C130" s="189">
        <v>60</v>
      </c>
      <c r="D130" s="149" t="s">
        <v>412</v>
      </c>
      <c r="E130" s="149" t="s">
        <v>411</v>
      </c>
      <c r="F130" s="190" t="s">
        <v>47</v>
      </c>
      <c r="G130" s="191" t="s">
        <v>233</v>
      </c>
      <c r="H130" s="130" t="s">
        <v>58</v>
      </c>
      <c r="I130" s="21"/>
      <c r="J130" s="118">
        <f>2124.75*3</f>
        <v>6374.25</v>
      </c>
      <c r="K130" s="118">
        <f>511.95+293.45+205.85</f>
        <v>1011.25</v>
      </c>
      <c r="L130" s="119">
        <f t="shared" si="398"/>
        <v>7385.5</v>
      </c>
      <c r="M130" s="118">
        <f t="shared" si="399"/>
        <v>6374.25</v>
      </c>
      <c r="N130" s="118">
        <v>5014.75</v>
      </c>
      <c r="O130" s="119">
        <f t="shared" si="400"/>
        <v>11389</v>
      </c>
      <c r="P130" s="132"/>
      <c r="Q130" s="132" t="s">
        <v>51</v>
      </c>
      <c r="R130" s="132">
        <v>1</v>
      </c>
      <c r="W130" s="132"/>
      <c r="X130" s="132"/>
      <c r="Y130" s="10">
        <v>45488</v>
      </c>
      <c r="Z130" s="134"/>
      <c r="AA130" s="132">
        <v>0</v>
      </c>
      <c r="AB130" s="132">
        <v>0.5</v>
      </c>
      <c r="AC130" s="132">
        <v>0</v>
      </c>
      <c r="AD130" s="132">
        <v>0</v>
      </c>
      <c r="AE130" s="56"/>
      <c r="AF130" s="12" t="s">
        <v>414</v>
      </c>
      <c r="AG130" s="12"/>
      <c r="AH130" s="195">
        <v>23094</v>
      </c>
      <c r="AI130" s="196" t="s">
        <v>411</v>
      </c>
      <c r="AJ130" s="197">
        <f t="shared" ref="AJ130:AJ132" si="401">1.1458*AH130</f>
        <v>26461.105199999998</v>
      </c>
      <c r="AK130" s="198">
        <v>1121</v>
      </c>
      <c r="AL130" s="198">
        <f t="shared" ref="AL130:AL132" si="402">AK130*12</f>
        <v>13452</v>
      </c>
    </row>
    <row r="131" spans="1:44" ht="11.25" customHeight="1">
      <c r="A131" s="149" t="s">
        <v>411</v>
      </c>
      <c r="B131" s="189">
        <v>326</v>
      </c>
      <c r="C131" s="189">
        <v>60</v>
      </c>
      <c r="D131" s="149" t="s">
        <v>412</v>
      </c>
      <c r="E131" s="149" t="s">
        <v>411</v>
      </c>
      <c r="F131" s="149" t="s">
        <v>59</v>
      </c>
      <c r="G131" s="191" t="s">
        <v>59</v>
      </c>
      <c r="H131" s="130" t="s">
        <v>49</v>
      </c>
      <c r="I131" s="17" t="s">
        <v>415</v>
      </c>
      <c r="J131" s="118">
        <f>1638.75*3</f>
        <v>4916.25</v>
      </c>
      <c r="K131" s="118">
        <f>287.95+287.95+200.35</f>
        <v>776.25</v>
      </c>
      <c r="L131" s="119">
        <f t="shared" si="398"/>
        <v>5692.5</v>
      </c>
      <c r="M131" s="118">
        <f t="shared" si="399"/>
        <v>4916.25</v>
      </c>
      <c r="N131" s="118">
        <f>1622.45+1622.45+1534.85</f>
        <v>4779.75</v>
      </c>
      <c r="O131" s="119">
        <f t="shared" si="400"/>
        <v>9696</v>
      </c>
      <c r="P131" s="132"/>
      <c r="Q131" s="132" t="s">
        <v>51</v>
      </c>
      <c r="R131" s="18"/>
      <c r="W131" s="132"/>
      <c r="X131" s="132"/>
      <c r="Y131" s="10">
        <v>45418</v>
      </c>
      <c r="Z131" s="134"/>
      <c r="AA131" s="132">
        <v>0</v>
      </c>
      <c r="AB131" s="132">
        <v>1</v>
      </c>
      <c r="AC131" s="132">
        <v>0</v>
      </c>
      <c r="AD131" s="132">
        <v>0</v>
      </c>
      <c r="AE131" s="20" t="s">
        <v>416</v>
      </c>
      <c r="AF131" s="12" t="s">
        <v>417</v>
      </c>
      <c r="AG131" s="12" t="s">
        <v>418</v>
      </c>
      <c r="AH131" s="195">
        <v>23094</v>
      </c>
      <c r="AI131" s="196" t="s">
        <v>411</v>
      </c>
      <c r="AJ131" s="197">
        <f t="shared" si="401"/>
        <v>26461.105199999998</v>
      </c>
      <c r="AK131" s="198">
        <v>1121</v>
      </c>
      <c r="AL131" s="198">
        <f t="shared" si="402"/>
        <v>13452</v>
      </c>
    </row>
    <row r="132" spans="1:44" ht="11.25" customHeight="1">
      <c r="A132" s="149" t="s">
        <v>411</v>
      </c>
      <c r="B132" s="189">
        <v>326</v>
      </c>
      <c r="C132" s="189">
        <v>60</v>
      </c>
      <c r="D132" s="149" t="s">
        <v>412</v>
      </c>
      <c r="E132" s="149" t="s">
        <v>411</v>
      </c>
      <c r="F132" s="149" t="s">
        <v>59</v>
      </c>
      <c r="G132" s="191" t="s">
        <v>59</v>
      </c>
      <c r="H132" s="130" t="s">
        <v>58</v>
      </c>
      <c r="I132" s="132"/>
      <c r="J132" s="118">
        <f>2124.75*3</f>
        <v>6374.25</v>
      </c>
      <c r="K132" s="118">
        <f>511.95+293.45+205.85</f>
        <v>1011.25</v>
      </c>
      <c r="L132" s="119">
        <f t="shared" si="398"/>
        <v>7385.5</v>
      </c>
      <c r="M132" s="118">
        <f t="shared" si="399"/>
        <v>6374.25</v>
      </c>
      <c r="N132" s="118">
        <v>5014.75</v>
      </c>
      <c r="O132" s="119">
        <f t="shared" si="400"/>
        <v>11389</v>
      </c>
      <c r="P132" s="132"/>
      <c r="Q132" s="132" t="s">
        <v>51</v>
      </c>
      <c r="R132" s="18"/>
      <c r="W132" s="132"/>
      <c r="X132" s="132"/>
      <c r="Y132" s="10">
        <v>45418</v>
      </c>
      <c r="Z132" s="134"/>
      <c r="AA132" s="132">
        <v>0</v>
      </c>
      <c r="AB132" s="132">
        <v>1</v>
      </c>
      <c r="AC132" s="132">
        <v>0</v>
      </c>
      <c r="AD132" s="132">
        <v>0</v>
      </c>
      <c r="AE132" s="56" t="s">
        <v>419</v>
      </c>
      <c r="AF132" s="12"/>
      <c r="AG132" s="12"/>
      <c r="AH132" s="195">
        <v>23094</v>
      </c>
      <c r="AI132" s="196" t="s">
        <v>411</v>
      </c>
      <c r="AJ132" s="197">
        <f t="shared" si="401"/>
        <v>26461.105199999998</v>
      </c>
      <c r="AK132" s="198">
        <v>1121</v>
      </c>
      <c r="AL132" s="198">
        <f t="shared" si="402"/>
        <v>13452</v>
      </c>
    </row>
    <row r="133" spans="1:44" ht="11.25" customHeight="1">
      <c r="A133" s="149" t="s">
        <v>420</v>
      </c>
      <c r="B133" s="189">
        <v>1122</v>
      </c>
      <c r="C133" s="189">
        <v>475</v>
      </c>
      <c r="D133" s="149" t="s">
        <v>412</v>
      </c>
      <c r="E133" s="149" t="s">
        <v>421</v>
      </c>
      <c r="F133" s="190" t="s">
        <v>47</v>
      </c>
      <c r="G133" s="191" t="s">
        <v>116</v>
      </c>
      <c r="H133" s="130" t="s">
        <v>49</v>
      </c>
      <c r="I133" s="21" t="s">
        <v>422</v>
      </c>
      <c r="J133" s="118">
        <v>4932</v>
      </c>
      <c r="K133" s="118">
        <f>1227.45</f>
        <v>1227.45</v>
      </c>
      <c r="L133" s="119">
        <f t="shared" ref="L133:L136" si="403">J133+K133</f>
        <v>6159.45</v>
      </c>
      <c r="M133" s="118">
        <v>11097</v>
      </c>
      <c r="N133" s="118">
        <v>1227.45</v>
      </c>
      <c r="O133" s="119">
        <f t="shared" ref="O133:O136" si="404">M133+N133</f>
        <v>12324.45</v>
      </c>
      <c r="P133" s="132" t="s">
        <v>96</v>
      </c>
      <c r="Q133" s="132" t="s">
        <v>96</v>
      </c>
      <c r="R133" s="132">
        <v>2.33</v>
      </c>
      <c r="S133" s="132">
        <v>22500</v>
      </c>
      <c r="T133" s="19">
        <f t="shared" ref="T133:T136" si="405">S133-L133</f>
        <v>16340.55</v>
      </c>
      <c r="U133" s="204"/>
      <c r="W133" s="132">
        <v>288</v>
      </c>
      <c r="X133" s="132"/>
      <c r="Y133" s="10">
        <v>45488</v>
      </c>
      <c r="Z133" s="134" t="s">
        <v>345</v>
      </c>
      <c r="AA133" s="132">
        <v>0</v>
      </c>
      <c r="AB133" s="132">
        <v>1.5</v>
      </c>
      <c r="AC133" s="132">
        <v>1</v>
      </c>
      <c r="AD133" s="132">
        <v>0</v>
      </c>
      <c r="AE133" s="56" t="s">
        <v>423</v>
      </c>
      <c r="AF133" s="23" t="s">
        <v>424</v>
      </c>
      <c r="AG133" s="23" t="s">
        <v>425</v>
      </c>
      <c r="AH133" s="195">
        <v>23513</v>
      </c>
      <c r="AI133" s="196" t="s">
        <v>421</v>
      </c>
      <c r="AJ133" s="197">
        <f>1.1458*AH133</f>
        <v>26941.195399999997</v>
      </c>
      <c r="AK133" s="198">
        <v>1055</v>
      </c>
      <c r="AL133" s="198">
        <f>AK133*12</f>
        <v>12660</v>
      </c>
      <c r="AM133" s="118">
        <f t="shared" ref="AM133:AM136" si="406">T133-$AJ$133</f>
        <v>-10600.645399999998</v>
      </c>
      <c r="AN133" s="118">
        <f t="shared" ref="AN133:AN136" si="407">T133-$AL$133</f>
        <v>3680.5499999999993</v>
      </c>
      <c r="AO133" s="118">
        <f t="shared" ref="AO133:AO136" si="408">AN133-12000</f>
        <v>-8319.4500000000007</v>
      </c>
      <c r="AP133" s="118">
        <f t="shared" ref="AP133:AP136" si="409">S133-O133-$AJ$133</f>
        <v>-16765.645399999998</v>
      </c>
      <c r="AQ133" s="118">
        <f t="shared" ref="AQ133:AQ136" si="410">S133-O133-$AL$133</f>
        <v>-2484.4500000000007</v>
      </c>
      <c r="AR133" s="118">
        <f t="shared" ref="AR133:AR136" si="411">AQ133-12000</f>
        <v>-14484.45</v>
      </c>
    </row>
    <row r="134" spans="1:44" ht="11.25" customHeight="1">
      <c r="A134" s="149" t="s">
        <v>420</v>
      </c>
      <c r="B134" s="189">
        <v>1122</v>
      </c>
      <c r="C134" s="189">
        <v>475</v>
      </c>
      <c r="D134" s="149" t="s">
        <v>412</v>
      </c>
      <c r="E134" s="149" t="s">
        <v>421</v>
      </c>
      <c r="F134" s="190" t="s">
        <v>47</v>
      </c>
      <c r="G134" s="191" t="s">
        <v>116</v>
      </c>
      <c r="H134" s="130" t="s">
        <v>58</v>
      </c>
      <c r="I134" s="21" t="s">
        <v>422</v>
      </c>
      <c r="J134" s="118">
        <v>4932</v>
      </c>
      <c r="K134" s="118">
        <v>1227.45</v>
      </c>
      <c r="L134" s="119">
        <f t="shared" si="403"/>
        <v>6159.45</v>
      </c>
      <c r="M134" s="118">
        <v>4932</v>
      </c>
      <c r="N134" s="118">
        <v>1277.45</v>
      </c>
      <c r="O134" s="119">
        <f t="shared" si="404"/>
        <v>6209.45</v>
      </c>
      <c r="P134" s="132" t="s">
        <v>96</v>
      </c>
      <c r="Q134" s="132" t="s">
        <v>96</v>
      </c>
      <c r="R134" s="132">
        <v>4.33</v>
      </c>
      <c r="S134" s="132">
        <v>24000</v>
      </c>
      <c r="T134" s="19">
        <f t="shared" si="405"/>
        <v>17840.55</v>
      </c>
      <c r="W134" s="132">
        <v>288</v>
      </c>
      <c r="X134" s="132"/>
      <c r="Y134" s="10">
        <v>45488</v>
      </c>
      <c r="Z134" s="134" t="s">
        <v>345</v>
      </c>
      <c r="AA134" s="132">
        <v>0</v>
      </c>
      <c r="AB134" s="132">
        <v>1.5</v>
      </c>
      <c r="AC134" s="132">
        <v>1</v>
      </c>
      <c r="AD134" s="132">
        <v>0</v>
      </c>
      <c r="AE134" s="56"/>
      <c r="AF134" s="23" t="s">
        <v>424</v>
      </c>
      <c r="AG134" s="23" t="s">
        <v>425</v>
      </c>
      <c r="AH134" s="195">
        <v>23513</v>
      </c>
      <c r="AI134" s="196" t="s">
        <v>421</v>
      </c>
      <c r="AJ134" s="197">
        <f t="shared" ref="AJ134:AJ136" si="412">1.1458*AH134</f>
        <v>26941.195399999997</v>
      </c>
      <c r="AK134" s="198">
        <v>1055</v>
      </c>
      <c r="AL134" s="198">
        <f t="shared" ref="AL134:AL136" si="413">AK134*12</f>
        <v>12660</v>
      </c>
      <c r="AM134" s="118">
        <f t="shared" si="406"/>
        <v>-9100.6453999999976</v>
      </c>
      <c r="AN134" s="118">
        <f t="shared" si="407"/>
        <v>5180.5499999999993</v>
      </c>
      <c r="AO134" s="118">
        <f t="shared" si="408"/>
        <v>-6819.4500000000007</v>
      </c>
      <c r="AP134" s="118">
        <f t="shared" si="409"/>
        <v>-9150.6453999999976</v>
      </c>
      <c r="AQ134" s="118">
        <f t="shared" si="410"/>
        <v>5130.5499999999993</v>
      </c>
      <c r="AR134" s="118">
        <f t="shared" si="411"/>
        <v>-6869.4500000000007</v>
      </c>
    </row>
    <row r="135" spans="1:44" ht="11.25" customHeight="1">
      <c r="A135" s="149" t="s">
        <v>420</v>
      </c>
      <c r="B135" s="189">
        <v>1122</v>
      </c>
      <c r="C135" s="189">
        <v>475</v>
      </c>
      <c r="D135" s="149" t="s">
        <v>412</v>
      </c>
      <c r="E135" s="149" t="s">
        <v>421</v>
      </c>
      <c r="F135" s="149" t="s">
        <v>59</v>
      </c>
      <c r="G135" s="191" t="s">
        <v>426</v>
      </c>
      <c r="H135" s="130" t="s">
        <v>49</v>
      </c>
      <c r="I135" s="17" t="s">
        <v>427</v>
      </c>
      <c r="J135" s="118">
        <v>4932</v>
      </c>
      <c r="K135" s="118">
        <f t="shared" ref="K135:K136" si="414">497.88+659.51+35+35</f>
        <v>1227.3899999999999</v>
      </c>
      <c r="L135" s="119">
        <f t="shared" si="403"/>
        <v>6159.3899999999994</v>
      </c>
      <c r="M135" s="118">
        <v>11097</v>
      </c>
      <c r="N135" s="118">
        <f t="shared" ref="N135:N136" si="415">497.88+659.51+35+35</f>
        <v>1227.3899999999999</v>
      </c>
      <c r="O135" s="119">
        <f t="shared" si="404"/>
        <v>12324.39</v>
      </c>
      <c r="P135" s="132"/>
      <c r="Q135" s="132" t="s">
        <v>51</v>
      </c>
      <c r="R135" s="18">
        <v>2</v>
      </c>
      <c r="S135" s="18">
        <v>18000</v>
      </c>
      <c r="T135" s="19">
        <f t="shared" si="405"/>
        <v>11840.61</v>
      </c>
      <c r="W135" s="132">
        <f t="shared" ref="W135:W136" si="416">30*2</f>
        <v>60</v>
      </c>
      <c r="X135" s="132"/>
      <c r="Y135" s="10">
        <v>45419</v>
      </c>
      <c r="Z135" s="134" t="s">
        <v>428</v>
      </c>
      <c r="AA135" s="132">
        <v>1</v>
      </c>
      <c r="AB135" s="132">
        <v>1.5</v>
      </c>
      <c r="AC135" s="132">
        <v>0</v>
      </c>
      <c r="AD135" s="132">
        <v>0</v>
      </c>
      <c r="AE135" s="20" t="s">
        <v>429</v>
      </c>
      <c r="AF135" s="12" t="s">
        <v>430</v>
      </c>
      <c r="AG135" s="12" t="s">
        <v>431</v>
      </c>
      <c r="AH135" s="195">
        <v>23513</v>
      </c>
      <c r="AI135" s="196" t="s">
        <v>421</v>
      </c>
      <c r="AJ135" s="197">
        <f t="shared" si="412"/>
        <v>26941.195399999997</v>
      </c>
      <c r="AK135" s="198">
        <v>1055</v>
      </c>
      <c r="AL135" s="198">
        <f t="shared" si="413"/>
        <v>12660</v>
      </c>
      <c r="AM135" s="118">
        <f t="shared" si="406"/>
        <v>-15100.585399999996</v>
      </c>
      <c r="AN135" s="118">
        <f t="shared" si="407"/>
        <v>-819.38999999999942</v>
      </c>
      <c r="AO135" s="118">
        <f t="shared" si="408"/>
        <v>-12819.39</v>
      </c>
      <c r="AP135" s="118">
        <f t="shared" si="409"/>
        <v>-21265.585399999996</v>
      </c>
      <c r="AQ135" s="118">
        <f t="shared" si="410"/>
        <v>-6984.3899999999994</v>
      </c>
      <c r="AR135" s="118">
        <f t="shared" si="411"/>
        <v>-18984.39</v>
      </c>
    </row>
    <row r="136" spans="1:44" ht="11.25" customHeight="1">
      <c r="A136" s="149" t="s">
        <v>420</v>
      </c>
      <c r="B136" s="189">
        <v>1122</v>
      </c>
      <c r="C136" s="189">
        <v>475</v>
      </c>
      <c r="D136" s="149" t="s">
        <v>412</v>
      </c>
      <c r="E136" s="149" t="s">
        <v>421</v>
      </c>
      <c r="F136" s="149" t="s">
        <v>59</v>
      </c>
      <c r="G136" s="191" t="s">
        <v>426</v>
      </c>
      <c r="H136" s="130" t="s">
        <v>58</v>
      </c>
      <c r="I136" s="132"/>
      <c r="J136" s="118">
        <v>4932</v>
      </c>
      <c r="K136" s="118">
        <f t="shared" si="414"/>
        <v>1227.3899999999999</v>
      </c>
      <c r="L136" s="119">
        <f t="shared" si="403"/>
        <v>6159.3899999999994</v>
      </c>
      <c r="M136" s="118">
        <v>4932</v>
      </c>
      <c r="N136" s="118">
        <f t="shared" si="415"/>
        <v>1227.3899999999999</v>
      </c>
      <c r="O136" s="119">
        <f t="shared" si="404"/>
        <v>6159.3899999999994</v>
      </c>
      <c r="P136" s="132"/>
      <c r="Q136" s="132" t="s">
        <v>51</v>
      </c>
      <c r="R136" s="18">
        <v>4</v>
      </c>
      <c r="S136" s="18">
        <v>20000</v>
      </c>
      <c r="T136" s="19">
        <f t="shared" si="405"/>
        <v>13840.61</v>
      </c>
      <c r="W136" s="132">
        <f t="shared" si="416"/>
        <v>60</v>
      </c>
      <c r="X136" s="132"/>
      <c r="Y136" s="134"/>
      <c r="Z136" s="134"/>
      <c r="AA136" s="132">
        <v>1</v>
      </c>
      <c r="AB136" s="132">
        <v>1.5</v>
      </c>
      <c r="AC136" s="132">
        <v>0</v>
      </c>
      <c r="AD136" s="132">
        <v>0</v>
      </c>
      <c r="AE136" s="56" t="s">
        <v>432</v>
      </c>
      <c r="AF136" s="12"/>
      <c r="AG136" s="12"/>
      <c r="AH136" s="195">
        <v>23513</v>
      </c>
      <c r="AI136" s="196" t="s">
        <v>421</v>
      </c>
      <c r="AJ136" s="197">
        <f t="shared" si="412"/>
        <v>26941.195399999997</v>
      </c>
      <c r="AK136" s="198">
        <v>1055</v>
      </c>
      <c r="AL136" s="198">
        <f t="shared" si="413"/>
        <v>12660</v>
      </c>
      <c r="AM136" s="118">
        <f t="shared" si="406"/>
        <v>-13100.585399999996</v>
      </c>
      <c r="AN136" s="118">
        <f t="shared" si="407"/>
        <v>1180.6100000000006</v>
      </c>
      <c r="AO136" s="118">
        <f t="shared" si="408"/>
        <v>-10819.39</v>
      </c>
      <c r="AP136" s="118">
        <f t="shared" si="409"/>
        <v>-13100.585399999996</v>
      </c>
      <c r="AQ136" s="118">
        <f t="shared" si="410"/>
        <v>1180.6100000000006</v>
      </c>
      <c r="AR136" s="118">
        <f t="shared" si="411"/>
        <v>-10819.39</v>
      </c>
    </row>
    <row r="137" spans="1:44" ht="11.25" customHeight="1">
      <c r="A137" s="76" t="s">
        <v>433</v>
      </c>
      <c r="B137" s="189">
        <v>305</v>
      </c>
      <c r="C137" s="201"/>
      <c r="D137" s="149" t="s">
        <v>353</v>
      </c>
      <c r="E137" s="149" t="s">
        <v>354</v>
      </c>
      <c r="F137" s="190" t="s">
        <v>47</v>
      </c>
      <c r="G137" s="191" t="s">
        <v>434</v>
      </c>
      <c r="H137" s="130" t="s">
        <v>49</v>
      </c>
      <c r="I137" s="69" t="s">
        <v>435</v>
      </c>
      <c r="J137" s="118">
        <v>4100</v>
      </c>
      <c r="K137" s="118"/>
      <c r="L137" s="119">
        <f t="shared" ref="L137:L140" si="417">J137+K137</f>
        <v>4100</v>
      </c>
      <c r="M137" s="118">
        <v>23100</v>
      </c>
      <c r="N137" s="118"/>
      <c r="O137" s="119">
        <f t="shared" ref="O137:O140" si="418">M137+N137</f>
        <v>23100</v>
      </c>
      <c r="P137" s="132"/>
      <c r="Q137" s="132" t="s">
        <v>436</v>
      </c>
      <c r="R137" s="132">
        <v>1.66</v>
      </c>
      <c r="S137" s="132">
        <v>20500</v>
      </c>
      <c r="T137" s="119">
        <f t="shared" ref="T137:T140" si="419">S137-L137</f>
        <v>16400</v>
      </c>
      <c r="U137" s="204"/>
      <c r="W137" s="132"/>
      <c r="X137" s="132"/>
      <c r="Y137" s="10">
        <v>45453</v>
      </c>
      <c r="Z137" s="134" t="s">
        <v>358</v>
      </c>
      <c r="AA137" s="132">
        <v>1</v>
      </c>
      <c r="AB137" s="132">
        <v>1</v>
      </c>
      <c r="AC137" s="132">
        <v>1</v>
      </c>
      <c r="AD137" s="132">
        <v>0</v>
      </c>
      <c r="AE137" s="56" t="s">
        <v>437</v>
      </c>
      <c r="AF137" s="66" t="s">
        <v>438</v>
      </c>
      <c r="AG137" s="12" t="s">
        <v>439</v>
      </c>
      <c r="AH137" s="195">
        <v>20753</v>
      </c>
      <c r="AI137" s="196" t="s">
        <v>354</v>
      </c>
      <c r="AJ137" s="197">
        <f>1.1458*AH137</f>
        <v>23778.787399999997</v>
      </c>
      <c r="AK137" s="198">
        <v>1769</v>
      </c>
      <c r="AL137" s="198">
        <f>AK137*12</f>
        <v>21228</v>
      </c>
      <c r="AM137" s="118">
        <f t="shared" ref="AM137:AM140" si="420">T137-$AJ$137</f>
        <v>-7378.7873999999974</v>
      </c>
      <c r="AN137" s="118">
        <f t="shared" ref="AN137:AN140" si="421">T137-$AL$137</f>
        <v>-4828</v>
      </c>
      <c r="AO137" s="118">
        <f t="shared" ref="AO137:AO140" si="422">AN137-12000</f>
        <v>-16828</v>
      </c>
      <c r="AP137" s="118">
        <f t="shared" ref="AP137:AP140" si="423">S137-O137-$AJ$137</f>
        <v>-26378.787399999997</v>
      </c>
      <c r="AQ137" s="118">
        <f t="shared" ref="AQ137:AQ140" si="424">S137-O137-$AL$137</f>
        <v>-23828</v>
      </c>
      <c r="AR137" s="118">
        <f t="shared" ref="AR137:AR140" si="425">AQ137-12000</f>
        <v>-35828</v>
      </c>
    </row>
    <row r="138" spans="1:44" ht="11.25" customHeight="1">
      <c r="A138" s="76" t="s">
        <v>433</v>
      </c>
      <c r="B138" s="189">
        <v>305</v>
      </c>
      <c r="C138" s="201"/>
      <c r="D138" s="149" t="s">
        <v>353</v>
      </c>
      <c r="E138" s="149" t="s">
        <v>354</v>
      </c>
      <c r="F138" s="190" t="s">
        <v>47</v>
      </c>
      <c r="G138" s="191" t="s">
        <v>434</v>
      </c>
      <c r="H138" s="130" t="s">
        <v>58</v>
      </c>
      <c r="I138" s="21"/>
      <c r="J138" s="118">
        <v>4100</v>
      </c>
      <c r="K138" s="118"/>
      <c r="L138" s="119">
        <f t="shared" si="417"/>
        <v>4100</v>
      </c>
      <c r="M138" s="118">
        <v>4100</v>
      </c>
      <c r="N138" s="118"/>
      <c r="O138" s="119">
        <f t="shared" si="418"/>
        <v>4100</v>
      </c>
      <c r="P138" s="132"/>
      <c r="Q138" s="132" t="s">
        <v>436</v>
      </c>
      <c r="R138" s="132">
        <v>3</v>
      </c>
      <c r="S138" s="132">
        <v>24000</v>
      </c>
      <c r="T138" s="119">
        <f t="shared" si="419"/>
        <v>19900</v>
      </c>
      <c r="W138" s="132"/>
      <c r="X138" s="132"/>
      <c r="Y138" s="10">
        <v>45453</v>
      </c>
      <c r="Z138" s="134" t="s">
        <v>358</v>
      </c>
      <c r="AA138" s="132">
        <v>1</v>
      </c>
      <c r="AB138" s="132">
        <v>1</v>
      </c>
      <c r="AC138" s="132">
        <v>1</v>
      </c>
      <c r="AD138" s="132">
        <v>0</v>
      </c>
      <c r="AE138" s="56"/>
      <c r="AF138" s="66" t="s">
        <v>438</v>
      </c>
      <c r="AG138" s="12" t="s">
        <v>439</v>
      </c>
      <c r="AH138" s="195">
        <v>20753</v>
      </c>
      <c r="AI138" s="196" t="s">
        <v>354</v>
      </c>
      <c r="AJ138" s="197">
        <f t="shared" ref="AJ138:AJ140" si="426">1.1458*AH138</f>
        <v>23778.787399999997</v>
      </c>
      <c r="AK138" s="198">
        <v>1769</v>
      </c>
      <c r="AL138" s="198">
        <f t="shared" ref="AL138:AL140" si="427">AK138*12</f>
        <v>21228</v>
      </c>
      <c r="AM138" s="118">
        <f t="shared" si="420"/>
        <v>-3878.7873999999974</v>
      </c>
      <c r="AN138" s="118">
        <f t="shared" si="421"/>
        <v>-1328</v>
      </c>
      <c r="AO138" s="118">
        <f t="shared" si="422"/>
        <v>-13328</v>
      </c>
      <c r="AP138" s="118">
        <f t="shared" si="423"/>
        <v>-3878.7873999999974</v>
      </c>
      <c r="AQ138" s="118">
        <f t="shared" si="424"/>
        <v>-1328</v>
      </c>
      <c r="AR138" s="118">
        <f t="shared" si="425"/>
        <v>-13328</v>
      </c>
    </row>
    <row r="139" spans="1:44" ht="11.25" customHeight="1">
      <c r="A139" s="76" t="s">
        <v>433</v>
      </c>
      <c r="B139" s="189">
        <v>305</v>
      </c>
      <c r="C139" s="201"/>
      <c r="D139" s="149" t="s">
        <v>353</v>
      </c>
      <c r="E139" s="149" t="s">
        <v>354</v>
      </c>
      <c r="F139" s="149" t="s">
        <v>59</v>
      </c>
      <c r="G139" s="191" t="s">
        <v>440</v>
      </c>
      <c r="H139" s="130" t="s">
        <v>49</v>
      </c>
      <c r="I139" s="69" t="s">
        <v>441</v>
      </c>
      <c r="J139" s="118">
        <v>4100</v>
      </c>
      <c r="K139" s="118"/>
      <c r="L139" s="119">
        <f t="shared" si="417"/>
        <v>4100</v>
      </c>
      <c r="M139" s="118">
        <v>23100</v>
      </c>
      <c r="N139" s="118"/>
      <c r="O139" s="119">
        <f t="shared" si="418"/>
        <v>23100</v>
      </c>
      <c r="P139" s="132"/>
      <c r="Q139" s="132" t="s">
        <v>436</v>
      </c>
      <c r="R139" s="132">
        <v>1.66</v>
      </c>
      <c r="S139" s="132">
        <v>20500</v>
      </c>
      <c r="T139" s="119">
        <f t="shared" si="419"/>
        <v>16400</v>
      </c>
      <c r="W139" s="132"/>
      <c r="X139" s="132"/>
      <c r="Y139" s="10">
        <v>45453</v>
      </c>
      <c r="Z139" s="134" t="s">
        <v>358</v>
      </c>
      <c r="AA139" s="132">
        <v>1</v>
      </c>
      <c r="AB139" s="132">
        <v>1</v>
      </c>
      <c r="AC139" s="132">
        <v>1</v>
      </c>
      <c r="AD139" s="132">
        <v>0</v>
      </c>
      <c r="AE139" s="20"/>
      <c r="AF139" s="66" t="s">
        <v>438</v>
      </c>
      <c r="AG139" s="12" t="s">
        <v>439</v>
      </c>
      <c r="AH139" s="195">
        <v>20753</v>
      </c>
      <c r="AI139" s="196" t="s">
        <v>354</v>
      </c>
      <c r="AJ139" s="197">
        <f t="shared" si="426"/>
        <v>23778.787399999997</v>
      </c>
      <c r="AK139" s="198">
        <v>1769</v>
      </c>
      <c r="AL139" s="198">
        <f t="shared" si="427"/>
        <v>21228</v>
      </c>
      <c r="AM139" s="118">
        <f t="shared" si="420"/>
        <v>-7378.7873999999974</v>
      </c>
      <c r="AN139" s="118">
        <f t="shared" si="421"/>
        <v>-4828</v>
      </c>
      <c r="AO139" s="118">
        <f t="shared" si="422"/>
        <v>-16828</v>
      </c>
      <c r="AP139" s="118">
        <f t="shared" si="423"/>
        <v>-26378.787399999997</v>
      </c>
      <c r="AQ139" s="118">
        <f t="shared" si="424"/>
        <v>-23828</v>
      </c>
      <c r="AR139" s="118">
        <f t="shared" si="425"/>
        <v>-35828</v>
      </c>
    </row>
    <row r="140" spans="1:44" ht="11.25" customHeight="1">
      <c r="A140" s="76" t="s">
        <v>433</v>
      </c>
      <c r="B140" s="189">
        <v>305</v>
      </c>
      <c r="C140" s="201"/>
      <c r="D140" s="149" t="s">
        <v>353</v>
      </c>
      <c r="E140" s="149" t="s">
        <v>354</v>
      </c>
      <c r="F140" s="149" t="s">
        <v>59</v>
      </c>
      <c r="G140" s="191" t="s">
        <v>440</v>
      </c>
      <c r="H140" s="130" t="s">
        <v>58</v>
      </c>
      <c r="I140" s="132"/>
      <c r="J140" s="118">
        <v>4100</v>
      </c>
      <c r="K140" s="118"/>
      <c r="L140" s="119">
        <f t="shared" si="417"/>
        <v>4100</v>
      </c>
      <c r="M140" s="118">
        <v>4100</v>
      </c>
      <c r="N140" s="118"/>
      <c r="O140" s="119">
        <f t="shared" si="418"/>
        <v>4100</v>
      </c>
      <c r="P140" s="132"/>
      <c r="Q140" s="132" t="s">
        <v>436</v>
      </c>
      <c r="R140" s="132">
        <v>3</v>
      </c>
      <c r="S140" s="132">
        <v>24000</v>
      </c>
      <c r="T140" s="119">
        <f t="shared" si="419"/>
        <v>19900</v>
      </c>
      <c r="W140" s="132"/>
      <c r="X140" s="132"/>
      <c r="Y140" s="10">
        <v>45453</v>
      </c>
      <c r="Z140" s="134" t="s">
        <v>358</v>
      </c>
      <c r="AA140" s="132">
        <v>1</v>
      </c>
      <c r="AB140" s="132">
        <v>1</v>
      </c>
      <c r="AC140" s="132">
        <v>1</v>
      </c>
      <c r="AD140" s="132">
        <v>0</v>
      </c>
      <c r="AE140" s="56"/>
      <c r="AF140" s="66" t="s">
        <v>438</v>
      </c>
      <c r="AG140" s="12" t="s">
        <v>439</v>
      </c>
      <c r="AH140" s="195">
        <v>20753</v>
      </c>
      <c r="AI140" s="196" t="s">
        <v>354</v>
      </c>
      <c r="AJ140" s="197">
        <f t="shared" si="426"/>
        <v>23778.787399999997</v>
      </c>
      <c r="AK140" s="198">
        <v>1769</v>
      </c>
      <c r="AL140" s="198">
        <f t="shared" si="427"/>
        <v>21228</v>
      </c>
      <c r="AM140" s="118">
        <f t="shared" si="420"/>
        <v>-3878.7873999999974</v>
      </c>
      <c r="AN140" s="118">
        <f t="shared" si="421"/>
        <v>-1328</v>
      </c>
      <c r="AO140" s="118">
        <f t="shared" si="422"/>
        <v>-13328</v>
      </c>
      <c r="AP140" s="118">
        <f t="shared" si="423"/>
        <v>-3878.7873999999974</v>
      </c>
      <c r="AQ140" s="118">
        <f t="shared" si="424"/>
        <v>-1328</v>
      </c>
      <c r="AR140" s="118">
        <f t="shared" si="425"/>
        <v>-13328</v>
      </c>
    </row>
    <row r="141" spans="1:44" ht="11.25" customHeight="1">
      <c r="A141" s="114" t="s">
        <v>442</v>
      </c>
      <c r="B141" s="3">
        <v>172</v>
      </c>
      <c r="C141" s="3">
        <v>86</v>
      </c>
      <c r="D141" s="114" t="s">
        <v>128</v>
      </c>
      <c r="E141" s="114" t="s">
        <v>129</v>
      </c>
      <c r="F141" s="4" t="s">
        <v>47</v>
      </c>
      <c r="G141" s="27" t="s">
        <v>233</v>
      </c>
      <c r="H141" s="130" t="s">
        <v>49</v>
      </c>
      <c r="I141" s="6" t="s">
        <v>443</v>
      </c>
      <c r="J141" s="118">
        <f>2461.84*3</f>
        <v>7385.52</v>
      </c>
      <c r="K141" s="118">
        <f>288.34+288.34+288.34+223.6+223.6</f>
        <v>1312.2199999999998</v>
      </c>
      <c r="L141" s="119">
        <f>J141+K141</f>
        <v>8697.74</v>
      </c>
      <c r="M141" s="118">
        <v>15205.02</v>
      </c>
      <c r="N141" s="118">
        <f>288.34*3+223.6*2+368+736+330</f>
        <v>2746.2200000000003</v>
      </c>
      <c r="O141" s="119">
        <f>M141+N141</f>
        <v>17951.240000000002</v>
      </c>
      <c r="P141" s="132"/>
      <c r="Q141" s="132"/>
      <c r="R141" s="132"/>
      <c r="S141" s="208"/>
      <c r="W141" s="132"/>
      <c r="X141" s="132"/>
      <c r="Y141" s="10">
        <v>45488</v>
      </c>
      <c r="Z141" s="134" t="s">
        <v>358</v>
      </c>
      <c r="AA141" s="132">
        <v>1</v>
      </c>
      <c r="AB141" s="132">
        <v>1.5</v>
      </c>
      <c r="AC141" s="132"/>
      <c r="AD141" s="132">
        <v>0</v>
      </c>
      <c r="AE141" s="56"/>
      <c r="AF141" s="12"/>
      <c r="AG141" s="12"/>
      <c r="AH141" s="38">
        <v>22714</v>
      </c>
      <c r="AI141" s="13" t="s">
        <v>129</v>
      </c>
      <c r="AJ141" s="14">
        <f>1.1458*AH141</f>
        <v>26025.7012</v>
      </c>
      <c r="AK141" s="15">
        <v>1232</v>
      </c>
      <c r="AL141" s="15">
        <f>AK141*12</f>
        <v>14784</v>
      </c>
      <c r="AM141" s="202"/>
    </row>
  </sheetData>
  <hyperlinks>
    <hyperlink ref="I2" r:id="rId1"/>
    <hyperlink ref="AF2" r:id="rId2"/>
    <hyperlink ref="AG2" r:id="rId3"/>
    <hyperlink ref="I4" r:id="rId4"/>
    <hyperlink ref="AF4" r:id="rId5"/>
    <hyperlink ref="AG4" r:id="rId6"/>
    <hyperlink ref="I6" r:id="rId7"/>
    <hyperlink ref="AF6" r:id="rId8"/>
    <hyperlink ref="I7" r:id="rId9"/>
    <hyperlink ref="AF7" r:id="rId10"/>
    <hyperlink ref="AF8" r:id="rId11"/>
    <hyperlink ref="AF9" r:id="rId12"/>
    <hyperlink ref="I10" r:id="rId13"/>
    <hyperlink ref="AF10" r:id="rId14"/>
    <hyperlink ref="AG10" r:id="rId15"/>
    <hyperlink ref="I12" r:id="rId16"/>
    <hyperlink ref="AG12" r:id="rId17"/>
    <hyperlink ref="AG13" r:id="rId18"/>
    <hyperlink ref="I14" r:id="rId19"/>
    <hyperlink ref="I16" r:id="rId20"/>
    <hyperlink ref="I18" r:id="rId21"/>
    <hyperlink ref="AF18" r:id="rId22" location="domestic-graduate"/>
    <hyperlink ref="I19" r:id="rId23"/>
    <hyperlink ref="I20" r:id="rId24"/>
    <hyperlink ref="AF20" r:id="rId25"/>
    <hyperlink ref="I21" r:id="rId26"/>
    <hyperlink ref="AG21" r:id="rId27" location="funding-policy"/>
    <hyperlink ref="AG22" r:id="rId28" location="funding-policy"/>
    <hyperlink ref="I23" r:id="rId29"/>
    <hyperlink ref="AF23" r:id="rId30"/>
    <hyperlink ref="AG23" r:id="rId31"/>
    <hyperlink ref="I25" r:id="rId32"/>
    <hyperlink ref="I27" r:id="rId33"/>
    <hyperlink ref="AG27" r:id="rId34"/>
    <hyperlink ref="AG28" r:id="rId35"/>
    <hyperlink ref="I29" r:id="rId36"/>
    <hyperlink ref="I30" r:id="rId37"/>
    <hyperlink ref="I31" r:id="rId38"/>
    <hyperlink ref="AF31" r:id="rId39"/>
    <hyperlink ref="AG31" r:id="rId40"/>
    <hyperlink ref="I32" r:id="rId41"/>
    <hyperlink ref="AF32" r:id="rId42"/>
    <hyperlink ref="AG32" r:id="rId43"/>
    <hyperlink ref="I33" r:id="rId44"/>
    <hyperlink ref="AF33" r:id="rId45"/>
    <hyperlink ref="AG33" r:id="rId46"/>
    <hyperlink ref="I34" r:id="rId47"/>
    <hyperlink ref="AF34" r:id="rId48"/>
    <hyperlink ref="AG34" r:id="rId49"/>
    <hyperlink ref="AF35" r:id="rId50"/>
    <hyperlink ref="AG35" r:id="rId51"/>
    <hyperlink ref="AF36" r:id="rId52"/>
    <hyperlink ref="AG36" r:id="rId53"/>
    <hyperlink ref="I37" r:id="rId54"/>
    <hyperlink ref="AF37" r:id="rId55"/>
    <hyperlink ref="I38" r:id="rId56"/>
    <hyperlink ref="AF38" r:id="rId57"/>
    <hyperlink ref="I39" r:id="rId58"/>
    <hyperlink ref="AF39" r:id="rId59"/>
    <hyperlink ref="AG39" r:id="rId60"/>
    <hyperlink ref="I40" r:id="rId61"/>
    <hyperlink ref="AF40" r:id="rId62"/>
    <hyperlink ref="AG40" r:id="rId63"/>
    <hyperlink ref="I41" r:id="rId64"/>
    <hyperlink ref="AF41" r:id="rId65"/>
    <hyperlink ref="AF42" r:id="rId66"/>
    <hyperlink ref="I43" r:id="rId67"/>
    <hyperlink ref="AF43" r:id="rId68"/>
    <hyperlink ref="AG43" r:id="rId69"/>
    <hyperlink ref="AF44" r:id="rId70"/>
    <hyperlink ref="AG44" r:id="rId71"/>
    <hyperlink ref="I45" r:id="rId72"/>
    <hyperlink ref="AF45" r:id="rId73"/>
    <hyperlink ref="AG45" r:id="rId74"/>
    <hyperlink ref="I46" r:id="rId75"/>
    <hyperlink ref="AF46" r:id="rId76"/>
    <hyperlink ref="AG46" r:id="rId77"/>
    <hyperlink ref="I47" r:id="rId78"/>
    <hyperlink ref="AF47" r:id="rId79"/>
    <hyperlink ref="I48" r:id="rId80"/>
    <hyperlink ref="AF48" r:id="rId81"/>
    <hyperlink ref="I49" r:id="rId82"/>
    <hyperlink ref="AF49" r:id="rId83" location="tab-00"/>
    <hyperlink ref="AG49" r:id="rId84"/>
    <hyperlink ref="I50" r:id="rId85"/>
    <hyperlink ref="AF50" r:id="rId86" location="tab-00"/>
    <hyperlink ref="AG50" r:id="rId87"/>
    <hyperlink ref="I51" r:id="rId88"/>
    <hyperlink ref="AG51" r:id="rId89"/>
    <hyperlink ref="I52" r:id="rId90"/>
    <hyperlink ref="AG52" r:id="rId91"/>
    <hyperlink ref="I53" r:id="rId92"/>
    <hyperlink ref="AF53" r:id="rId93"/>
    <hyperlink ref="AG53" r:id="rId94"/>
    <hyperlink ref="I54" r:id="rId95"/>
    <hyperlink ref="AF54" r:id="rId96"/>
    <hyperlink ref="AG54" r:id="rId97"/>
    <hyperlink ref="I55" r:id="rId98"/>
    <hyperlink ref="AF55" r:id="rId99"/>
    <hyperlink ref="AG55" r:id="rId100"/>
    <hyperlink ref="I56" r:id="rId101"/>
    <hyperlink ref="AF56" r:id="rId102"/>
    <hyperlink ref="AG56" r:id="rId103"/>
    <hyperlink ref="I57" r:id="rId104"/>
    <hyperlink ref="AE57" r:id="rId105"/>
    <hyperlink ref="AG57" r:id="rId106"/>
    <hyperlink ref="I58" r:id="rId107"/>
    <hyperlink ref="AG58" r:id="rId108"/>
    <hyperlink ref="I59" r:id="rId109"/>
    <hyperlink ref="AF59" r:id="rId110"/>
    <hyperlink ref="I60" r:id="rId111"/>
    <hyperlink ref="AF61" r:id="rId112"/>
    <hyperlink ref="AG61" r:id="rId113"/>
    <hyperlink ref="I63" r:id="rId114"/>
    <hyperlink ref="AF63" r:id="rId115"/>
    <hyperlink ref="I65" r:id="rId116"/>
    <hyperlink ref="AF65" r:id="rId117"/>
    <hyperlink ref="AF66" r:id="rId118"/>
    <hyperlink ref="I67" r:id="rId119"/>
    <hyperlink ref="AF67" r:id="rId120"/>
    <hyperlink ref="I68" r:id="rId121"/>
    <hyperlink ref="AF68" r:id="rId122"/>
    <hyperlink ref="I69" r:id="rId123"/>
    <hyperlink ref="AF69" r:id="rId124"/>
    <hyperlink ref="AG69" r:id="rId125"/>
    <hyperlink ref="I70" r:id="rId126"/>
    <hyperlink ref="AF70" r:id="rId127"/>
    <hyperlink ref="AG70" r:id="rId128"/>
    <hyperlink ref="I71" r:id="rId129"/>
    <hyperlink ref="AF71" r:id="rId130"/>
    <hyperlink ref="I72" r:id="rId131"/>
    <hyperlink ref="AF72" r:id="rId132"/>
    <hyperlink ref="I73" r:id="rId133"/>
    <hyperlink ref="AF73" r:id="rId134"/>
    <hyperlink ref="AG73" r:id="rId135"/>
    <hyperlink ref="I74" r:id="rId136"/>
    <hyperlink ref="AF74" r:id="rId137"/>
    <hyperlink ref="AG74" r:id="rId138"/>
    <hyperlink ref="I75" r:id="rId139"/>
    <hyperlink ref="AF75" r:id="rId140"/>
    <hyperlink ref="AG75" r:id="rId141"/>
    <hyperlink ref="I76" r:id="rId142"/>
    <hyperlink ref="AF76" r:id="rId143"/>
    <hyperlink ref="AG76" r:id="rId144"/>
    <hyperlink ref="I77" r:id="rId145"/>
    <hyperlink ref="AF77" r:id="rId146"/>
    <hyperlink ref="AF78" r:id="rId147"/>
    <hyperlink ref="I79" r:id="rId148"/>
    <hyperlink ref="AF79" r:id="rId149" location="2023-gr-fees-per-termd620-80b21bef-7b87c659-fdd83416-d107861d-79adfd50-8a0fd1c3-6c58"/>
    <hyperlink ref="AG79" r:id="rId150"/>
    <hyperlink ref="I80" r:id="rId151"/>
    <hyperlink ref="AF80" r:id="rId152" location="2023-gr-fees-per-termd620-80b21bef-7b87c659-fdd83416-d107861d-79adfd50-8a0fd1c3-6c58"/>
    <hyperlink ref="AG80" r:id="rId153"/>
    <hyperlink ref="I81" r:id="rId154"/>
    <hyperlink ref="AF81" r:id="rId155" location="2023-gr-fees-per-termd620-80b21bef-7b87c659-fdd83416-d107861d-79adfd50-8a0fd1c3-6c58"/>
    <hyperlink ref="AG81" r:id="rId156"/>
    <hyperlink ref="AF82" r:id="rId157" location="2023-gr-fees-per-termd620-80b21bef-7b87c659-fdd83416-d107861d-79adfd50-8a0fd1c3-6c58"/>
    <hyperlink ref="AG82" r:id="rId158"/>
    <hyperlink ref="I83" r:id="rId159"/>
    <hyperlink ref="AF83" r:id="rId160"/>
    <hyperlink ref="AG83" r:id="rId161"/>
    <hyperlink ref="I84" r:id="rId162"/>
    <hyperlink ref="AF84" r:id="rId163"/>
    <hyperlink ref="AG84" r:id="rId164"/>
    <hyperlink ref="I85" r:id="rId165"/>
    <hyperlink ref="AF85" r:id="rId166"/>
    <hyperlink ref="AG85" r:id="rId167"/>
    <hyperlink ref="I86" r:id="rId168"/>
    <hyperlink ref="AF86" r:id="rId169"/>
    <hyperlink ref="AG86" r:id="rId170"/>
    <hyperlink ref="I87" r:id="rId171" location="msc"/>
    <hyperlink ref="AG87" r:id="rId172"/>
    <hyperlink ref="I88" r:id="rId173" location="phd"/>
    <hyperlink ref="AG88" r:id="rId174"/>
    <hyperlink ref="I89" r:id="rId175"/>
    <hyperlink ref="AF89" r:id="rId176"/>
    <hyperlink ref="AG89" r:id="rId177"/>
    <hyperlink ref="AG90" r:id="rId178"/>
    <hyperlink ref="I91" r:id="rId179"/>
    <hyperlink ref="AF91" r:id="rId180"/>
    <hyperlink ref="AG91" r:id="rId181"/>
    <hyperlink ref="I92" r:id="rId182"/>
    <hyperlink ref="AF92" r:id="rId183"/>
    <hyperlink ref="AG92" r:id="rId184"/>
    <hyperlink ref="I93" r:id="rId185"/>
    <hyperlink ref="AF93" r:id="rId186"/>
    <hyperlink ref="AG93" r:id="rId187"/>
    <hyperlink ref="I94" r:id="rId188"/>
    <hyperlink ref="AF94" r:id="rId189"/>
    <hyperlink ref="AG94" r:id="rId190"/>
    <hyperlink ref="I95" r:id="rId191"/>
    <hyperlink ref="AF95" r:id="rId192"/>
    <hyperlink ref="AG95" r:id="rId193"/>
    <hyperlink ref="I96" r:id="rId194"/>
    <hyperlink ref="AF96" r:id="rId195"/>
    <hyperlink ref="AG96" r:id="rId196"/>
    <hyperlink ref="I97" r:id="rId197"/>
    <hyperlink ref="AF97" r:id="rId198"/>
    <hyperlink ref="AG97" r:id="rId199"/>
    <hyperlink ref="I98" r:id="rId200"/>
    <hyperlink ref="AF98" r:id="rId201"/>
    <hyperlink ref="AG98" r:id="rId202"/>
    <hyperlink ref="I99" r:id="rId203"/>
    <hyperlink ref="AF99" r:id="rId204"/>
    <hyperlink ref="AG99" r:id="rId205"/>
    <hyperlink ref="I100" r:id="rId206"/>
    <hyperlink ref="AF100" r:id="rId207"/>
    <hyperlink ref="AG100" r:id="rId208"/>
    <hyperlink ref="I101" r:id="rId209"/>
    <hyperlink ref="AF101" r:id="rId210"/>
    <hyperlink ref="I102" r:id="rId211"/>
    <hyperlink ref="AF102" r:id="rId212"/>
    <hyperlink ref="I103" r:id="rId213"/>
    <hyperlink ref="AG103" r:id="rId214"/>
    <hyperlink ref="AG104" r:id="rId215"/>
    <hyperlink ref="I105" r:id="rId216"/>
    <hyperlink ref="AF105" r:id="rId217"/>
    <hyperlink ref="AG105" r:id="rId218"/>
    <hyperlink ref="I106" r:id="rId219"/>
    <hyperlink ref="AF106" r:id="rId220"/>
    <hyperlink ref="AG106" r:id="rId221"/>
    <hyperlink ref="I107" r:id="rId222"/>
    <hyperlink ref="AF107" r:id="rId223"/>
    <hyperlink ref="AG107" r:id="rId224"/>
    <hyperlink ref="I108" r:id="rId225"/>
    <hyperlink ref="AF108" r:id="rId226"/>
    <hyperlink ref="AG108" r:id="rId227"/>
    <hyperlink ref="I109" r:id="rId228" location="c83414"/>
    <hyperlink ref="AF109" r:id="rId229"/>
    <hyperlink ref="AG109" r:id="rId230"/>
    <hyperlink ref="I110" r:id="rId231" location="c83414"/>
    <hyperlink ref="AF110" r:id="rId232"/>
    <hyperlink ref="AG110" r:id="rId233"/>
    <hyperlink ref="I111" r:id="rId234"/>
    <hyperlink ref="AF111" r:id="rId235"/>
    <hyperlink ref="AG111" r:id="rId236"/>
    <hyperlink ref="I112" r:id="rId237"/>
    <hyperlink ref="AF112" r:id="rId238"/>
    <hyperlink ref="AG112" r:id="rId239"/>
    <hyperlink ref="I113" r:id="rId240"/>
    <hyperlink ref="AG113" r:id="rId241"/>
    <hyperlink ref="AG114" r:id="rId242"/>
    <hyperlink ref="I115" r:id="rId243"/>
    <hyperlink ref="AG115" r:id="rId244"/>
    <hyperlink ref="AG116" r:id="rId245"/>
    <hyperlink ref="I117" r:id="rId246"/>
    <hyperlink ref="AF117" r:id="rId247"/>
    <hyperlink ref="AG118" r:id="rId248"/>
    <hyperlink ref="I119" r:id="rId249"/>
    <hyperlink ref="I121" r:id="rId250"/>
    <hyperlink ref="AF121" r:id="rId251"/>
    <hyperlink ref="AG121" r:id="rId252" location="c41560"/>
    <hyperlink ref="AF122" r:id="rId253"/>
    <hyperlink ref="AG122" r:id="rId254" location="c41560"/>
    <hyperlink ref="I123" r:id="rId255"/>
    <hyperlink ref="AF125" r:id="rId256"/>
    <hyperlink ref="AF126" r:id="rId257"/>
    <hyperlink ref="AF127" r:id="rId258"/>
    <hyperlink ref="AF128" r:id="rId259"/>
    <hyperlink ref="AG128" r:id="rId260"/>
    <hyperlink ref="I129" r:id="rId261"/>
    <hyperlink ref="AF129" r:id="rId262"/>
    <hyperlink ref="AF130" r:id="rId263"/>
    <hyperlink ref="I131" r:id="rId264"/>
    <hyperlink ref="AF131" r:id="rId265"/>
    <hyperlink ref="AG131" r:id="rId266"/>
    <hyperlink ref="I133" r:id="rId267"/>
    <hyperlink ref="AF133" r:id="rId268"/>
    <hyperlink ref="AG133" r:id="rId269"/>
    <hyperlink ref="I134" r:id="rId270"/>
    <hyperlink ref="AF134" r:id="rId271"/>
    <hyperlink ref="AG134" r:id="rId272"/>
    <hyperlink ref="I135" r:id="rId273"/>
    <hyperlink ref="AF135" r:id="rId274"/>
    <hyperlink ref="I137" r:id="rId275"/>
    <hyperlink ref="AF137" r:id="rId276"/>
    <hyperlink ref="AG137" r:id="rId277"/>
    <hyperlink ref="AF138" r:id="rId278"/>
    <hyperlink ref="AG138" r:id="rId279"/>
    <hyperlink ref="I139" r:id="rId280"/>
    <hyperlink ref="AF139" r:id="rId281"/>
    <hyperlink ref="AG139" r:id="rId282"/>
    <hyperlink ref="AF140" r:id="rId283"/>
    <hyperlink ref="AG140" r:id="rId284"/>
    <hyperlink ref="I141" r:id="rId285"/>
  </hyperlinks>
  <pageMargins left="0.7" right="0.7" top="0.75" bottom="0.75" header="0.3" footer="0.3"/>
  <legacyDrawing r:id="rId28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I5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20.140625" customWidth="1"/>
    <col min="2" max="2" width="6.85546875" customWidth="1"/>
    <col min="3" max="3" width="11.7109375" customWidth="1"/>
    <col min="4" max="4" width="8.7109375" customWidth="1"/>
    <col min="5" max="5" width="18.42578125" customWidth="1"/>
    <col min="6" max="6" width="16.28515625" customWidth="1"/>
    <col min="7" max="7" width="28.85546875" customWidth="1"/>
    <col min="8" max="8" width="6.85546875" customWidth="1"/>
    <col min="10" max="13" width="10.7109375" customWidth="1"/>
    <col min="14" max="14" width="12.140625" customWidth="1"/>
    <col min="15" max="15" width="10.7109375" customWidth="1"/>
    <col min="16" max="16" width="10.85546875" customWidth="1"/>
    <col min="17" max="17" width="9.85546875" customWidth="1"/>
    <col min="18" max="18" width="9.42578125" customWidth="1"/>
    <col min="19" max="19" width="14.140625" customWidth="1"/>
    <col min="21" max="21" width="11.140625" customWidth="1"/>
    <col min="22" max="22" width="9.5703125" customWidth="1"/>
    <col min="23" max="23" width="14.5703125" customWidth="1"/>
    <col min="24" max="24" width="12.85546875" customWidth="1"/>
    <col min="27" max="27" width="19.28515625" customWidth="1"/>
    <col min="28" max="28" width="11.5703125" customWidth="1"/>
    <col min="29" max="29" width="13.85546875" customWidth="1"/>
    <col min="30" max="30" width="12.7109375" customWidth="1"/>
  </cols>
  <sheetData>
    <row r="1" spans="1:35" ht="12.75">
      <c r="A1" s="138" t="s">
        <v>0</v>
      </c>
      <c r="B1" s="138" t="s">
        <v>3</v>
      </c>
      <c r="C1" s="138" t="s">
        <v>4</v>
      </c>
      <c r="D1" s="139" t="s">
        <v>444</v>
      </c>
      <c r="E1" s="139" t="s">
        <v>5</v>
      </c>
      <c r="F1" s="139" t="s">
        <v>445</v>
      </c>
      <c r="G1" s="140" t="s">
        <v>6</v>
      </c>
      <c r="H1" s="139" t="s">
        <v>7</v>
      </c>
      <c r="I1" s="141" t="s">
        <v>8</v>
      </c>
      <c r="J1" s="179" t="s">
        <v>446</v>
      </c>
      <c r="K1" s="155"/>
      <c r="L1" s="140" t="s">
        <v>447</v>
      </c>
      <c r="M1" s="140" t="s">
        <v>448</v>
      </c>
      <c r="N1" s="142" t="s">
        <v>9</v>
      </c>
      <c r="O1" s="142" t="s">
        <v>10</v>
      </c>
      <c r="P1" s="143" t="s">
        <v>11</v>
      </c>
      <c r="Q1" s="144" t="s">
        <v>449</v>
      </c>
      <c r="R1" s="145" t="s">
        <v>450</v>
      </c>
      <c r="S1" s="142" t="s">
        <v>12</v>
      </c>
      <c r="T1" s="142" t="s">
        <v>13</v>
      </c>
      <c r="U1" s="143" t="s">
        <v>14</v>
      </c>
      <c r="V1" s="140" t="s">
        <v>15</v>
      </c>
      <c r="W1" s="140" t="s">
        <v>16</v>
      </c>
      <c r="X1" s="140" t="s">
        <v>17</v>
      </c>
      <c r="Y1" s="140" t="s">
        <v>18</v>
      </c>
      <c r="Z1" s="139" t="s">
        <v>19</v>
      </c>
      <c r="AA1" s="140" t="s">
        <v>20</v>
      </c>
      <c r="AB1" s="139" t="s">
        <v>21</v>
      </c>
      <c r="AC1" s="145" t="s">
        <v>451</v>
      </c>
      <c r="AD1" s="146" t="s">
        <v>452</v>
      </c>
      <c r="AE1" s="140" t="s">
        <v>22</v>
      </c>
      <c r="AF1" s="140" t="s">
        <v>23</v>
      </c>
      <c r="AG1" s="140" t="s">
        <v>24</v>
      </c>
      <c r="AH1" s="140" t="s">
        <v>25</v>
      </c>
      <c r="AI1" s="140" t="s">
        <v>26</v>
      </c>
    </row>
    <row r="2" spans="1:35" ht="12.75">
      <c r="A2" s="162" t="s">
        <v>44</v>
      </c>
      <c r="B2" s="162" t="s">
        <v>45</v>
      </c>
      <c r="C2" s="162" t="s">
        <v>46</v>
      </c>
      <c r="D2" s="162" t="s">
        <v>453</v>
      </c>
      <c r="E2" s="160" t="s">
        <v>47</v>
      </c>
      <c r="F2" s="162" t="s">
        <v>454</v>
      </c>
      <c r="G2" s="164"/>
      <c r="H2" s="77" t="s">
        <v>49</v>
      </c>
      <c r="I2" s="108"/>
      <c r="J2" s="78"/>
      <c r="K2" s="78"/>
      <c r="L2" s="79" t="b">
        <v>0</v>
      </c>
      <c r="M2" s="79" t="b">
        <v>0</v>
      </c>
      <c r="N2" s="81"/>
      <c r="O2" s="81"/>
      <c r="P2" s="80">
        <f t="shared" ref="P2:P13" si="0">N2+O2</f>
        <v>0</v>
      </c>
      <c r="Q2" s="81"/>
      <c r="R2" s="78"/>
      <c r="S2" s="81"/>
      <c r="T2" s="81"/>
      <c r="U2" s="80">
        <f t="shared" ref="U2:U13" si="1">S2+T2</f>
        <v>0</v>
      </c>
      <c r="V2" s="78"/>
      <c r="W2" s="78"/>
      <c r="X2" s="78"/>
      <c r="Y2" s="78"/>
      <c r="Z2" s="77"/>
      <c r="AA2" s="78"/>
      <c r="AB2" s="77"/>
      <c r="AC2" s="77"/>
      <c r="AD2" s="77"/>
      <c r="AE2" s="78"/>
      <c r="AF2" s="78"/>
      <c r="AG2" s="109"/>
      <c r="AH2" s="109"/>
      <c r="AI2" s="78"/>
    </row>
    <row r="3" spans="1:35" ht="12.75">
      <c r="A3" s="155"/>
      <c r="B3" s="155"/>
      <c r="C3" s="155"/>
      <c r="D3" s="155"/>
      <c r="E3" s="155"/>
      <c r="F3" s="155"/>
      <c r="G3" s="155"/>
      <c r="H3" s="85" t="s">
        <v>58</v>
      </c>
      <c r="I3" s="112"/>
      <c r="J3" s="84"/>
      <c r="K3" s="84"/>
      <c r="L3" s="86" t="b">
        <v>0</v>
      </c>
      <c r="M3" s="86" t="b">
        <v>0</v>
      </c>
      <c r="N3" s="83"/>
      <c r="O3" s="83"/>
      <c r="P3" s="87">
        <f t="shared" si="0"/>
        <v>0</v>
      </c>
      <c r="Q3" s="83"/>
      <c r="R3" s="84"/>
      <c r="S3" s="83"/>
      <c r="T3" s="83"/>
      <c r="U3" s="87">
        <f t="shared" si="1"/>
        <v>0</v>
      </c>
      <c r="V3" s="84"/>
      <c r="W3" s="84"/>
      <c r="X3" s="84"/>
      <c r="Y3" s="84"/>
      <c r="Z3" s="85"/>
      <c r="AA3" s="84"/>
      <c r="AB3" s="85"/>
      <c r="AC3" s="85"/>
      <c r="AD3" s="85"/>
      <c r="AE3" s="84"/>
      <c r="AF3" s="84"/>
      <c r="AG3" s="110"/>
      <c r="AH3" s="110"/>
      <c r="AI3" s="84"/>
    </row>
    <row r="4" spans="1:35" ht="12.75">
      <c r="A4" s="155"/>
      <c r="B4" s="155"/>
      <c r="C4" s="155"/>
      <c r="D4" s="157" t="s">
        <v>453</v>
      </c>
      <c r="E4" s="157" t="s">
        <v>59</v>
      </c>
      <c r="F4" s="157" t="s">
        <v>454</v>
      </c>
      <c r="G4" s="158"/>
      <c r="H4" s="5" t="s">
        <v>49</v>
      </c>
      <c r="I4" s="17"/>
      <c r="J4" s="9"/>
      <c r="K4" s="9"/>
      <c r="L4" s="11" t="b">
        <v>0</v>
      </c>
      <c r="M4" s="11" t="b">
        <v>0</v>
      </c>
      <c r="N4" s="7"/>
      <c r="O4" s="7"/>
      <c r="P4" s="8">
        <f t="shared" si="0"/>
        <v>0</v>
      </c>
      <c r="Q4" s="7"/>
      <c r="R4" s="9"/>
      <c r="S4" s="7"/>
      <c r="T4" s="7"/>
      <c r="U4" s="8">
        <f t="shared" si="1"/>
        <v>0</v>
      </c>
      <c r="V4" s="9"/>
      <c r="W4" s="9"/>
      <c r="X4" s="18"/>
      <c r="Y4" s="18"/>
      <c r="Z4" s="19"/>
      <c r="AA4" s="18"/>
      <c r="AB4" s="19"/>
      <c r="AC4" s="19"/>
      <c r="AD4" s="19"/>
      <c r="AE4" s="9"/>
      <c r="AF4" s="9"/>
      <c r="AG4" s="26"/>
      <c r="AH4" s="26"/>
      <c r="AI4" s="89"/>
    </row>
    <row r="5" spans="1:35" ht="12.75">
      <c r="A5" s="155"/>
      <c r="B5" s="155"/>
      <c r="C5" s="155"/>
      <c r="D5" s="155"/>
      <c r="E5" s="155"/>
      <c r="F5" s="155"/>
      <c r="G5" s="155"/>
      <c r="H5" s="5" t="s">
        <v>58</v>
      </c>
      <c r="I5" s="22"/>
      <c r="J5" s="9"/>
      <c r="K5" s="9"/>
      <c r="L5" s="11" t="b">
        <v>0</v>
      </c>
      <c r="M5" s="11" t="b">
        <v>0</v>
      </c>
      <c r="N5" s="7"/>
      <c r="O5" s="7"/>
      <c r="P5" s="8">
        <f t="shared" si="0"/>
        <v>0</v>
      </c>
      <c r="Q5" s="7"/>
      <c r="R5" s="9"/>
      <c r="S5" s="7"/>
      <c r="T5" s="7"/>
      <c r="U5" s="8">
        <f t="shared" si="1"/>
        <v>0</v>
      </c>
      <c r="V5" s="9"/>
      <c r="W5" s="9"/>
      <c r="X5" s="18"/>
      <c r="Y5" s="18"/>
      <c r="Z5" s="19"/>
      <c r="AA5" s="18"/>
      <c r="AB5" s="19"/>
      <c r="AC5" s="19"/>
      <c r="AD5" s="19"/>
      <c r="AE5" s="9"/>
      <c r="AF5" s="9"/>
      <c r="AG5" s="26"/>
      <c r="AH5" s="26"/>
      <c r="AI5" s="9"/>
    </row>
    <row r="6" spans="1:35" ht="15">
      <c r="A6" s="90"/>
      <c r="B6" s="90"/>
      <c r="C6" s="90"/>
      <c r="D6" s="159" t="s">
        <v>455</v>
      </c>
      <c r="E6" s="159" t="s">
        <v>456</v>
      </c>
      <c r="F6" s="163" t="s">
        <v>457</v>
      </c>
      <c r="G6" s="165"/>
      <c r="H6" s="91" t="s">
        <v>458</v>
      </c>
      <c r="I6" s="92"/>
      <c r="J6" s="93"/>
      <c r="K6" s="93"/>
      <c r="L6" s="94" t="b">
        <v>0</v>
      </c>
      <c r="M6" s="94" t="b">
        <v>0</v>
      </c>
      <c r="N6" s="95"/>
      <c r="O6" s="95"/>
      <c r="P6" s="96">
        <f t="shared" si="0"/>
        <v>0</v>
      </c>
      <c r="Q6" s="95"/>
      <c r="R6" s="93"/>
      <c r="S6" s="95"/>
      <c r="T6" s="95"/>
      <c r="U6" s="96">
        <f t="shared" si="1"/>
        <v>0</v>
      </c>
      <c r="V6" s="93"/>
      <c r="W6" s="93"/>
      <c r="X6" s="97"/>
      <c r="Y6" s="97"/>
      <c r="Z6" s="98"/>
      <c r="AA6" s="97"/>
      <c r="AB6" s="98"/>
      <c r="AC6" s="98"/>
      <c r="AD6" s="98"/>
      <c r="AE6" s="93"/>
      <c r="AF6" s="93"/>
      <c r="AG6" s="99"/>
      <c r="AH6" s="99"/>
      <c r="AI6" s="93"/>
    </row>
    <row r="7" spans="1:35" ht="15">
      <c r="A7" s="90"/>
      <c r="B7" s="90"/>
      <c r="C7" s="90"/>
      <c r="D7" s="155"/>
      <c r="E7" s="155"/>
      <c r="F7" s="155"/>
      <c r="G7" s="155"/>
      <c r="H7" s="91" t="s">
        <v>58</v>
      </c>
      <c r="I7" s="92"/>
      <c r="J7" s="93"/>
      <c r="K7" s="93"/>
      <c r="L7" s="94" t="b">
        <v>0</v>
      </c>
      <c r="M7" s="94" t="b">
        <v>0</v>
      </c>
      <c r="N7" s="95"/>
      <c r="O7" s="95"/>
      <c r="P7" s="96">
        <f t="shared" si="0"/>
        <v>0</v>
      </c>
      <c r="Q7" s="95"/>
      <c r="R7" s="93"/>
      <c r="S7" s="95"/>
      <c r="T7" s="95"/>
      <c r="U7" s="96">
        <f t="shared" si="1"/>
        <v>0</v>
      </c>
      <c r="V7" s="93"/>
      <c r="W7" s="93"/>
      <c r="X7" s="97"/>
      <c r="Y7" s="97"/>
      <c r="Z7" s="98"/>
      <c r="AA7" s="97"/>
      <c r="AB7" s="98"/>
      <c r="AC7" s="98"/>
      <c r="AD7" s="98"/>
      <c r="AE7" s="93"/>
      <c r="AF7" s="93"/>
      <c r="AG7" s="99"/>
      <c r="AH7" s="99"/>
      <c r="AI7" s="100"/>
    </row>
    <row r="8" spans="1:35" ht="15">
      <c r="A8" s="90"/>
      <c r="B8" s="90"/>
      <c r="C8" s="90"/>
      <c r="D8" s="159" t="s">
        <v>455</v>
      </c>
      <c r="E8" s="166" t="s">
        <v>459</v>
      </c>
      <c r="F8" s="163" t="s">
        <v>457</v>
      </c>
      <c r="G8" s="165"/>
      <c r="H8" s="91" t="s">
        <v>458</v>
      </c>
      <c r="I8" s="92"/>
      <c r="J8" s="93"/>
      <c r="K8" s="93"/>
      <c r="L8" s="94" t="b">
        <v>0</v>
      </c>
      <c r="M8" s="94" t="b">
        <v>0</v>
      </c>
      <c r="N8" s="95"/>
      <c r="O8" s="95"/>
      <c r="P8" s="96">
        <f t="shared" si="0"/>
        <v>0</v>
      </c>
      <c r="Q8" s="95"/>
      <c r="R8" s="93"/>
      <c r="S8" s="95"/>
      <c r="T8" s="95"/>
      <c r="U8" s="96">
        <f t="shared" si="1"/>
        <v>0</v>
      </c>
      <c r="V8" s="93"/>
      <c r="W8" s="93"/>
      <c r="X8" s="93"/>
      <c r="Y8" s="93"/>
      <c r="Z8" s="91"/>
      <c r="AA8" s="93"/>
      <c r="AB8" s="91"/>
      <c r="AC8" s="91"/>
      <c r="AD8" s="91"/>
      <c r="AE8" s="93"/>
      <c r="AF8" s="93"/>
      <c r="AG8" s="99"/>
      <c r="AH8" s="99"/>
      <c r="AI8" s="101"/>
    </row>
    <row r="9" spans="1:35" ht="12.75">
      <c r="A9" s="90"/>
      <c r="B9" s="90"/>
      <c r="C9" s="90"/>
      <c r="D9" s="155"/>
      <c r="E9" s="155"/>
      <c r="F9" s="155"/>
      <c r="G9" s="155"/>
      <c r="H9" s="91" t="s">
        <v>58</v>
      </c>
      <c r="I9" s="102"/>
      <c r="J9" s="93"/>
      <c r="K9" s="93"/>
      <c r="L9" s="94" t="b">
        <v>0</v>
      </c>
      <c r="M9" s="94" t="b">
        <v>0</v>
      </c>
      <c r="N9" s="95"/>
      <c r="O9" s="95"/>
      <c r="P9" s="96">
        <f t="shared" si="0"/>
        <v>0</v>
      </c>
      <c r="Q9" s="95"/>
      <c r="R9" s="93"/>
      <c r="S9" s="95"/>
      <c r="T9" s="95"/>
      <c r="U9" s="96">
        <f t="shared" si="1"/>
        <v>0</v>
      </c>
      <c r="V9" s="93"/>
      <c r="W9" s="93"/>
      <c r="X9" s="93"/>
      <c r="Y9" s="93"/>
      <c r="Z9" s="91"/>
      <c r="AA9" s="93"/>
      <c r="AB9" s="91"/>
      <c r="AC9" s="91"/>
      <c r="AD9" s="91"/>
      <c r="AE9" s="93"/>
      <c r="AF9" s="93"/>
      <c r="AG9" s="99"/>
      <c r="AH9" s="99"/>
      <c r="AI9" s="99"/>
    </row>
    <row r="10" spans="1:35" ht="15">
      <c r="A10" s="90"/>
      <c r="B10" s="90"/>
      <c r="C10" s="90"/>
      <c r="D10" s="159" t="s">
        <v>460</v>
      </c>
      <c r="E10" s="163" t="s">
        <v>461</v>
      </c>
      <c r="F10" s="159" t="s">
        <v>462</v>
      </c>
      <c r="G10" s="165"/>
      <c r="H10" s="91" t="s">
        <v>49</v>
      </c>
      <c r="I10" s="103"/>
      <c r="J10" s="93"/>
      <c r="K10" s="93"/>
      <c r="L10" s="94" t="b">
        <v>0</v>
      </c>
      <c r="M10" s="94" t="b">
        <v>0</v>
      </c>
      <c r="N10" s="95"/>
      <c r="O10" s="95"/>
      <c r="P10" s="96">
        <f t="shared" si="0"/>
        <v>0</v>
      </c>
      <c r="Q10" s="95"/>
      <c r="R10" s="93"/>
      <c r="S10" s="95"/>
      <c r="T10" s="95"/>
      <c r="U10" s="96">
        <f t="shared" si="1"/>
        <v>0</v>
      </c>
      <c r="V10" s="93"/>
      <c r="W10" s="93"/>
      <c r="X10" s="93"/>
      <c r="Y10" s="93"/>
      <c r="Z10" s="91"/>
      <c r="AA10" s="93"/>
      <c r="AB10" s="91"/>
      <c r="AC10" s="91"/>
      <c r="AD10" s="91"/>
      <c r="AE10" s="93"/>
      <c r="AF10" s="93"/>
      <c r="AG10" s="99"/>
      <c r="AH10" s="99"/>
      <c r="AI10" s="101"/>
    </row>
    <row r="11" spans="1:35" ht="15">
      <c r="A11" s="90"/>
      <c r="B11" s="90"/>
      <c r="C11" s="90"/>
      <c r="D11" s="155"/>
      <c r="E11" s="155"/>
      <c r="F11" s="155"/>
      <c r="G11" s="155"/>
      <c r="H11" s="91" t="s">
        <v>58</v>
      </c>
      <c r="I11" s="103"/>
      <c r="J11" s="93"/>
      <c r="K11" s="93"/>
      <c r="L11" s="94" t="b">
        <v>0</v>
      </c>
      <c r="M11" s="94" t="b">
        <v>0</v>
      </c>
      <c r="N11" s="95"/>
      <c r="O11" s="95"/>
      <c r="P11" s="96">
        <f t="shared" si="0"/>
        <v>0</v>
      </c>
      <c r="Q11" s="95"/>
      <c r="R11" s="93"/>
      <c r="S11" s="95"/>
      <c r="T11" s="95"/>
      <c r="U11" s="96">
        <f t="shared" si="1"/>
        <v>0</v>
      </c>
      <c r="V11" s="93"/>
      <c r="W11" s="93"/>
      <c r="X11" s="97"/>
      <c r="Y11" s="97"/>
      <c r="Z11" s="98"/>
      <c r="AA11" s="97"/>
      <c r="AB11" s="98"/>
      <c r="AC11" s="98"/>
      <c r="AD11" s="98"/>
      <c r="AE11" s="93"/>
      <c r="AF11" s="93"/>
      <c r="AG11" s="99"/>
      <c r="AH11" s="99"/>
      <c r="AI11" s="101"/>
    </row>
    <row r="12" spans="1:35" ht="15">
      <c r="A12" s="90"/>
      <c r="B12" s="90"/>
      <c r="C12" s="90"/>
      <c r="D12" s="159" t="s">
        <v>453</v>
      </c>
      <c r="E12" s="159" t="s">
        <v>463</v>
      </c>
      <c r="F12" s="159" t="s">
        <v>464</v>
      </c>
      <c r="G12" s="165"/>
      <c r="H12" s="91" t="s">
        <v>465</v>
      </c>
      <c r="I12" s="103"/>
      <c r="J12" s="93"/>
      <c r="K12" s="93"/>
      <c r="L12" s="94" t="b">
        <v>0</v>
      </c>
      <c r="M12" s="94" t="b">
        <v>0</v>
      </c>
      <c r="N12" s="95"/>
      <c r="O12" s="95"/>
      <c r="P12" s="96">
        <f t="shared" si="0"/>
        <v>0</v>
      </c>
      <c r="Q12" s="95"/>
      <c r="R12" s="93"/>
      <c r="S12" s="95"/>
      <c r="T12" s="95"/>
      <c r="U12" s="96">
        <f t="shared" si="1"/>
        <v>0</v>
      </c>
      <c r="V12" s="93"/>
      <c r="W12" s="93"/>
      <c r="X12" s="97"/>
      <c r="Y12" s="97"/>
      <c r="Z12" s="98"/>
      <c r="AA12" s="97"/>
      <c r="AB12" s="98"/>
      <c r="AC12" s="98"/>
      <c r="AD12" s="98"/>
      <c r="AE12" s="93"/>
      <c r="AF12" s="93"/>
      <c r="AG12" s="99"/>
      <c r="AH12" s="99"/>
      <c r="AI12" s="101"/>
    </row>
    <row r="13" spans="1:35" ht="15">
      <c r="A13" s="90"/>
      <c r="B13" s="90"/>
      <c r="C13" s="90"/>
      <c r="D13" s="155"/>
      <c r="E13" s="155"/>
      <c r="F13" s="155"/>
      <c r="G13" s="155"/>
      <c r="H13" s="91" t="s">
        <v>58</v>
      </c>
      <c r="I13" s="103"/>
      <c r="J13" s="93"/>
      <c r="K13" s="93"/>
      <c r="L13" s="94" t="b">
        <v>0</v>
      </c>
      <c r="M13" s="94" t="b">
        <v>0</v>
      </c>
      <c r="N13" s="95"/>
      <c r="O13" s="95"/>
      <c r="P13" s="96">
        <f t="shared" si="0"/>
        <v>0</v>
      </c>
      <c r="Q13" s="95"/>
      <c r="R13" s="93"/>
      <c r="S13" s="95"/>
      <c r="T13" s="95"/>
      <c r="U13" s="96">
        <f t="shared" si="1"/>
        <v>0</v>
      </c>
      <c r="V13" s="93"/>
      <c r="W13" s="93"/>
      <c r="X13" s="97"/>
      <c r="Y13" s="97"/>
      <c r="Z13" s="98"/>
      <c r="AA13" s="97"/>
      <c r="AB13" s="98"/>
      <c r="AC13" s="98"/>
      <c r="AD13" s="98"/>
      <c r="AE13" s="93"/>
      <c r="AF13" s="93"/>
      <c r="AG13" s="99"/>
      <c r="AH13" s="99"/>
      <c r="AI13" s="101"/>
    </row>
    <row r="14" spans="1:35" ht="9.75" customHeight="1">
      <c r="A14" s="104"/>
      <c r="B14" s="104"/>
      <c r="C14" s="104"/>
      <c r="D14" s="105"/>
      <c r="E14" s="105"/>
      <c r="F14" s="105"/>
      <c r="G14" s="26"/>
      <c r="H14" s="105"/>
      <c r="I14" s="106"/>
      <c r="J14" s="26"/>
      <c r="K14" s="26"/>
      <c r="L14" s="26"/>
      <c r="M14" s="26"/>
      <c r="N14" s="16"/>
      <c r="O14" s="16"/>
      <c r="P14" s="107"/>
      <c r="Q14" s="16"/>
      <c r="R14" s="26"/>
      <c r="S14" s="16"/>
      <c r="T14" s="16"/>
      <c r="U14" s="107"/>
      <c r="V14" s="26"/>
      <c r="W14" s="26"/>
      <c r="X14" s="26"/>
      <c r="Y14" s="26"/>
      <c r="Z14" s="105"/>
      <c r="AA14" s="26"/>
      <c r="AB14" s="105"/>
      <c r="AC14" s="105"/>
      <c r="AD14" s="105"/>
      <c r="AE14" s="26"/>
      <c r="AF14" s="26"/>
      <c r="AG14" s="26"/>
      <c r="AH14" s="26"/>
      <c r="AI14" s="26"/>
    </row>
    <row r="15" spans="1:35" ht="12.75">
      <c r="A15" s="162" t="s">
        <v>66</v>
      </c>
      <c r="B15" s="162" t="s">
        <v>67</v>
      </c>
      <c r="C15" s="162" t="s">
        <v>66</v>
      </c>
      <c r="D15" s="162" t="s">
        <v>453</v>
      </c>
      <c r="E15" s="160" t="s">
        <v>47</v>
      </c>
      <c r="F15" s="162" t="s">
        <v>454</v>
      </c>
      <c r="G15" s="164"/>
      <c r="H15" s="77" t="s">
        <v>49</v>
      </c>
      <c r="I15" s="108"/>
      <c r="J15" s="78"/>
      <c r="K15" s="78"/>
      <c r="L15" s="79" t="b">
        <v>0</v>
      </c>
      <c r="M15" s="79" t="b">
        <v>0</v>
      </c>
      <c r="N15" s="81"/>
      <c r="O15" s="81"/>
      <c r="P15" s="80">
        <f t="shared" ref="P15:P26" si="2">N15+O15</f>
        <v>0</v>
      </c>
      <c r="Q15" s="81"/>
      <c r="R15" s="78"/>
      <c r="S15" s="81"/>
      <c r="T15" s="81"/>
      <c r="U15" s="80">
        <f t="shared" ref="U15:U26" si="3">S15+T15</f>
        <v>0</v>
      </c>
      <c r="V15" s="78"/>
      <c r="W15" s="78"/>
      <c r="X15" s="78"/>
      <c r="Y15" s="78"/>
      <c r="Z15" s="77"/>
      <c r="AA15" s="78"/>
      <c r="AB15" s="77"/>
      <c r="AC15" s="77"/>
      <c r="AD15" s="77"/>
      <c r="AE15" s="78"/>
      <c r="AF15" s="78"/>
      <c r="AG15" s="109"/>
      <c r="AH15" s="109"/>
      <c r="AI15" s="78"/>
    </row>
    <row r="16" spans="1:35" ht="12.75">
      <c r="A16" s="155"/>
      <c r="B16" s="155"/>
      <c r="C16" s="155"/>
      <c r="D16" s="155"/>
      <c r="E16" s="155"/>
      <c r="F16" s="155"/>
      <c r="G16" s="155"/>
      <c r="H16" s="85" t="s">
        <v>58</v>
      </c>
      <c r="I16" s="112"/>
      <c r="J16" s="84"/>
      <c r="K16" s="84"/>
      <c r="L16" s="86" t="b">
        <v>0</v>
      </c>
      <c r="M16" s="86" t="b">
        <v>0</v>
      </c>
      <c r="N16" s="83"/>
      <c r="O16" s="83"/>
      <c r="P16" s="87">
        <f t="shared" si="2"/>
        <v>0</v>
      </c>
      <c r="Q16" s="83"/>
      <c r="R16" s="84"/>
      <c r="S16" s="83"/>
      <c r="T16" s="83"/>
      <c r="U16" s="87">
        <f t="shared" si="3"/>
        <v>0</v>
      </c>
      <c r="V16" s="84"/>
      <c r="W16" s="84"/>
      <c r="X16" s="84"/>
      <c r="Y16" s="84"/>
      <c r="Z16" s="85"/>
      <c r="AA16" s="84"/>
      <c r="AB16" s="85"/>
      <c r="AC16" s="85"/>
      <c r="AD16" s="85"/>
      <c r="AE16" s="84"/>
      <c r="AF16" s="84"/>
      <c r="AG16" s="110"/>
      <c r="AH16" s="110"/>
      <c r="AI16" s="84"/>
    </row>
    <row r="17" spans="1:35" ht="12.75">
      <c r="A17" s="155"/>
      <c r="B17" s="155"/>
      <c r="C17" s="155"/>
      <c r="D17" s="157" t="s">
        <v>453</v>
      </c>
      <c r="E17" s="157" t="s">
        <v>59</v>
      </c>
      <c r="F17" s="157" t="s">
        <v>454</v>
      </c>
      <c r="G17" s="158"/>
      <c r="H17" s="5" t="s">
        <v>49</v>
      </c>
      <c r="I17" s="17"/>
      <c r="J17" s="9"/>
      <c r="K17" s="9"/>
      <c r="L17" s="11" t="b">
        <v>0</v>
      </c>
      <c r="M17" s="11" t="b">
        <v>0</v>
      </c>
      <c r="N17" s="7"/>
      <c r="O17" s="7"/>
      <c r="P17" s="8">
        <f t="shared" si="2"/>
        <v>0</v>
      </c>
      <c r="Q17" s="7"/>
      <c r="R17" s="9"/>
      <c r="S17" s="7"/>
      <c r="T17" s="7"/>
      <c r="U17" s="8">
        <f t="shared" si="3"/>
        <v>0</v>
      </c>
      <c r="V17" s="9"/>
      <c r="W17" s="9"/>
      <c r="X17" s="18"/>
      <c r="Y17" s="18"/>
      <c r="Z17" s="19"/>
      <c r="AA17" s="18"/>
      <c r="AB17" s="19"/>
      <c r="AC17" s="19"/>
      <c r="AD17" s="19"/>
      <c r="AE17" s="9"/>
      <c r="AF17" s="9"/>
      <c r="AG17" s="26"/>
      <c r="AH17" s="26"/>
      <c r="AI17" s="89"/>
    </row>
    <row r="18" spans="1:35" ht="12.75">
      <c r="A18" s="155"/>
      <c r="B18" s="155"/>
      <c r="C18" s="155"/>
      <c r="D18" s="155"/>
      <c r="E18" s="155"/>
      <c r="F18" s="155"/>
      <c r="G18" s="155"/>
      <c r="H18" s="5" t="s">
        <v>58</v>
      </c>
      <c r="I18" s="22"/>
      <c r="J18" s="9"/>
      <c r="K18" s="9"/>
      <c r="L18" s="11" t="b">
        <v>0</v>
      </c>
      <c r="M18" s="11" t="b">
        <v>0</v>
      </c>
      <c r="N18" s="7"/>
      <c r="O18" s="7"/>
      <c r="P18" s="8">
        <f t="shared" si="2"/>
        <v>0</v>
      </c>
      <c r="Q18" s="7"/>
      <c r="R18" s="9"/>
      <c r="S18" s="7"/>
      <c r="T18" s="7"/>
      <c r="U18" s="8">
        <f t="shared" si="3"/>
        <v>0</v>
      </c>
      <c r="V18" s="9"/>
      <c r="W18" s="9"/>
      <c r="X18" s="18"/>
      <c r="Y18" s="18"/>
      <c r="Z18" s="19"/>
      <c r="AA18" s="18"/>
      <c r="AB18" s="19"/>
      <c r="AC18" s="19"/>
      <c r="AD18" s="19"/>
      <c r="AE18" s="9"/>
      <c r="AF18" s="9"/>
      <c r="AG18" s="26"/>
      <c r="AH18" s="26"/>
      <c r="AI18" s="9"/>
    </row>
    <row r="19" spans="1:35" ht="15">
      <c r="A19" s="90"/>
      <c r="B19" s="90"/>
      <c r="C19" s="90"/>
      <c r="D19" s="159" t="s">
        <v>455</v>
      </c>
      <c r="E19" s="159" t="s">
        <v>456</v>
      </c>
      <c r="F19" s="163" t="s">
        <v>457</v>
      </c>
      <c r="G19" s="165"/>
      <c r="H19" s="91" t="s">
        <v>458</v>
      </c>
      <c r="I19" s="92"/>
      <c r="J19" s="93"/>
      <c r="K19" s="93"/>
      <c r="L19" s="94" t="b">
        <v>0</v>
      </c>
      <c r="M19" s="94" t="b">
        <v>0</v>
      </c>
      <c r="N19" s="95"/>
      <c r="O19" s="95"/>
      <c r="P19" s="96">
        <f t="shared" si="2"/>
        <v>0</v>
      </c>
      <c r="Q19" s="95"/>
      <c r="R19" s="93"/>
      <c r="S19" s="95"/>
      <c r="T19" s="95"/>
      <c r="U19" s="96">
        <f t="shared" si="3"/>
        <v>0</v>
      </c>
      <c r="V19" s="93"/>
      <c r="W19" s="93"/>
      <c r="X19" s="97"/>
      <c r="Y19" s="97"/>
      <c r="Z19" s="98"/>
      <c r="AA19" s="97"/>
      <c r="AB19" s="98"/>
      <c r="AC19" s="98"/>
      <c r="AD19" s="98"/>
      <c r="AE19" s="93"/>
      <c r="AF19" s="93"/>
      <c r="AG19" s="99"/>
      <c r="AH19" s="99"/>
      <c r="AI19" s="93"/>
    </row>
    <row r="20" spans="1:35" ht="15">
      <c r="A20" s="90"/>
      <c r="B20" s="90"/>
      <c r="C20" s="90"/>
      <c r="D20" s="155"/>
      <c r="E20" s="155"/>
      <c r="F20" s="155"/>
      <c r="G20" s="155"/>
      <c r="H20" s="91" t="s">
        <v>58</v>
      </c>
      <c r="I20" s="92"/>
      <c r="J20" s="93"/>
      <c r="K20" s="93"/>
      <c r="L20" s="94" t="b">
        <v>0</v>
      </c>
      <c r="M20" s="94" t="b">
        <v>0</v>
      </c>
      <c r="N20" s="95"/>
      <c r="O20" s="95"/>
      <c r="P20" s="96">
        <f t="shared" si="2"/>
        <v>0</v>
      </c>
      <c r="Q20" s="95"/>
      <c r="R20" s="93"/>
      <c r="S20" s="95"/>
      <c r="T20" s="95"/>
      <c r="U20" s="96">
        <f t="shared" si="3"/>
        <v>0</v>
      </c>
      <c r="V20" s="93"/>
      <c r="W20" s="93"/>
      <c r="X20" s="97"/>
      <c r="Y20" s="97"/>
      <c r="Z20" s="98"/>
      <c r="AA20" s="97"/>
      <c r="AB20" s="98"/>
      <c r="AC20" s="98"/>
      <c r="AD20" s="98"/>
      <c r="AE20" s="93"/>
      <c r="AF20" s="93"/>
      <c r="AG20" s="99"/>
      <c r="AH20" s="99"/>
      <c r="AI20" s="100"/>
    </row>
    <row r="21" spans="1:35" ht="15">
      <c r="A21" s="90"/>
      <c r="B21" s="90"/>
      <c r="C21" s="90"/>
      <c r="D21" s="159" t="s">
        <v>455</v>
      </c>
      <c r="E21" s="166" t="s">
        <v>459</v>
      </c>
      <c r="F21" s="163" t="s">
        <v>457</v>
      </c>
      <c r="G21" s="165"/>
      <c r="H21" s="91" t="s">
        <v>458</v>
      </c>
      <c r="I21" s="92"/>
      <c r="J21" s="93"/>
      <c r="K21" s="93"/>
      <c r="L21" s="94" t="b">
        <v>0</v>
      </c>
      <c r="M21" s="94" t="b">
        <v>0</v>
      </c>
      <c r="N21" s="95"/>
      <c r="O21" s="95"/>
      <c r="P21" s="96">
        <f t="shared" si="2"/>
        <v>0</v>
      </c>
      <c r="Q21" s="95"/>
      <c r="R21" s="93"/>
      <c r="S21" s="95"/>
      <c r="T21" s="95"/>
      <c r="U21" s="96">
        <f t="shared" si="3"/>
        <v>0</v>
      </c>
      <c r="V21" s="93"/>
      <c r="W21" s="93"/>
      <c r="X21" s="93"/>
      <c r="Y21" s="93"/>
      <c r="Z21" s="91"/>
      <c r="AA21" s="93"/>
      <c r="AB21" s="91"/>
      <c r="AC21" s="91"/>
      <c r="AD21" s="91"/>
      <c r="AE21" s="93"/>
      <c r="AF21" s="93"/>
      <c r="AG21" s="99"/>
      <c r="AH21" s="99"/>
      <c r="AI21" s="101"/>
    </row>
    <row r="22" spans="1:35" ht="12.75">
      <c r="A22" s="90"/>
      <c r="B22" s="90"/>
      <c r="C22" s="90"/>
      <c r="D22" s="155"/>
      <c r="E22" s="155"/>
      <c r="F22" s="155"/>
      <c r="G22" s="155"/>
      <c r="H22" s="91" t="s">
        <v>58</v>
      </c>
      <c r="I22" s="102"/>
      <c r="J22" s="93"/>
      <c r="K22" s="93"/>
      <c r="L22" s="94" t="b">
        <v>0</v>
      </c>
      <c r="M22" s="94" t="b">
        <v>0</v>
      </c>
      <c r="N22" s="95"/>
      <c r="O22" s="95"/>
      <c r="P22" s="96">
        <f t="shared" si="2"/>
        <v>0</v>
      </c>
      <c r="Q22" s="95"/>
      <c r="R22" s="93"/>
      <c r="S22" s="95"/>
      <c r="T22" s="95"/>
      <c r="U22" s="96">
        <f t="shared" si="3"/>
        <v>0</v>
      </c>
      <c r="V22" s="93"/>
      <c r="W22" s="93"/>
      <c r="X22" s="93"/>
      <c r="Y22" s="93"/>
      <c r="Z22" s="91"/>
      <c r="AA22" s="93"/>
      <c r="AB22" s="91"/>
      <c r="AC22" s="91"/>
      <c r="AD22" s="91"/>
      <c r="AE22" s="93"/>
      <c r="AF22" s="93"/>
      <c r="AG22" s="99"/>
      <c r="AH22" s="99"/>
      <c r="AI22" s="99"/>
    </row>
    <row r="23" spans="1:35" ht="15">
      <c r="A23" s="90"/>
      <c r="B23" s="90"/>
      <c r="C23" s="90"/>
      <c r="D23" s="159" t="s">
        <v>460</v>
      </c>
      <c r="E23" s="163" t="s">
        <v>461</v>
      </c>
      <c r="F23" s="159" t="s">
        <v>462</v>
      </c>
      <c r="G23" s="165"/>
      <c r="H23" s="91" t="s">
        <v>49</v>
      </c>
      <c r="I23" s="103"/>
      <c r="J23" s="93"/>
      <c r="K23" s="93"/>
      <c r="L23" s="94" t="b">
        <v>0</v>
      </c>
      <c r="M23" s="94" t="b">
        <v>0</v>
      </c>
      <c r="N23" s="95"/>
      <c r="O23" s="95"/>
      <c r="P23" s="96">
        <f t="shared" si="2"/>
        <v>0</v>
      </c>
      <c r="Q23" s="95"/>
      <c r="R23" s="93"/>
      <c r="S23" s="95"/>
      <c r="T23" s="95"/>
      <c r="U23" s="96">
        <f t="shared" si="3"/>
        <v>0</v>
      </c>
      <c r="V23" s="93"/>
      <c r="W23" s="93"/>
      <c r="X23" s="93"/>
      <c r="Y23" s="93"/>
      <c r="Z23" s="91"/>
      <c r="AA23" s="93"/>
      <c r="AB23" s="91"/>
      <c r="AC23" s="91"/>
      <c r="AD23" s="91"/>
      <c r="AE23" s="93"/>
      <c r="AF23" s="93"/>
      <c r="AG23" s="99"/>
      <c r="AH23" s="99"/>
      <c r="AI23" s="101"/>
    </row>
    <row r="24" spans="1:35" ht="15">
      <c r="A24" s="90"/>
      <c r="B24" s="90"/>
      <c r="C24" s="90"/>
      <c r="D24" s="155"/>
      <c r="E24" s="155"/>
      <c r="F24" s="155"/>
      <c r="G24" s="155"/>
      <c r="H24" s="91" t="s">
        <v>58</v>
      </c>
      <c r="I24" s="103"/>
      <c r="J24" s="93"/>
      <c r="K24" s="93"/>
      <c r="L24" s="94" t="b">
        <v>0</v>
      </c>
      <c r="M24" s="94" t="b">
        <v>0</v>
      </c>
      <c r="N24" s="95"/>
      <c r="O24" s="95"/>
      <c r="P24" s="96">
        <f t="shared" si="2"/>
        <v>0</v>
      </c>
      <c r="Q24" s="95"/>
      <c r="R24" s="93"/>
      <c r="S24" s="95"/>
      <c r="T24" s="95"/>
      <c r="U24" s="96">
        <f t="shared" si="3"/>
        <v>0</v>
      </c>
      <c r="V24" s="93"/>
      <c r="W24" s="93"/>
      <c r="X24" s="97"/>
      <c r="Y24" s="97"/>
      <c r="Z24" s="98"/>
      <c r="AA24" s="97"/>
      <c r="AB24" s="98"/>
      <c r="AC24" s="98"/>
      <c r="AD24" s="98"/>
      <c r="AE24" s="93"/>
      <c r="AF24" s="93"/>
      <c r="AG24" s="99"/>
      <c r="AH24" s="99"/>
      <c r="AI24" s="101"/>
    </row>
    <row r="25" spans="1:35" ht="15">
      <c r="A25" s="90"/>
      <c r="B25" s="90"/>
      <c r="C25" s="90"/>
      <c r="D25" s="159" t="s">
        <v>453</v>
      </c>
      <c r="E25" s="159" t="s">
        <v>463</v>
      </c>
      <c r="F25" s="159" t="s">
        <v>464</v>
      </c>
      <c r="G25" s="165"/>
      <c r="H25" s="91" t="s">
        <v>465</v>
      </c>
      <c r="I25" s="103"/>
      <c r="J25" s="93"/>
      <c r="K25" s="93"/>
      <c r="L25" s="94" t="b">
        <v>0</v>
      </c>
      <c r="M25" s="94" t="b">
        <v>0</v>
      </c>
      <c r="N25" s="95"/>
      <c r="O25" s="95"/>
      <c r="P25" s="96">
        <f t="shared" si="2"/>
        <v>0</v>
      </c>
      <c r="Q25" s="95"/>
      <c r="R25" s="93"/>
      <c r="S25" s="95"/>
      <c r="T25" s="95"/>
      <c r="U25" s="96">
        <f t="shared" si="3"/>
        <v>0</v>
      </c>
      <c r="V25" s="93"/>
      <c r="W25" s="93"/>
      <c r="X25" s="97"/>
      <c r="Y25" s="97"/>
      <c r="Z25" s="98"/>
      <c r="AA25" s="97"/>
      <c r="AB25" s="98"/>
      <c r="AC25" s="98"/>
      <c r="AD25" s="98"/>
      <c r="AE25" s="93"/>
      <c r="AF25" s="93"/>
      <c r="AG25" s="99"/>
      <c r="AH25" s="99"/>
      <c r="AI25" s="101"/>
    </row>
    <row r="26" spans="1:35" ht="15">
      <c r="A26" s="90"/>
      <c r="B26" s="90"/>
      <c r="C26" s="90"/>
      <c r="D26" s="155"/>
      <c r="E26" s="155"/>
      <c r="F26" s="155"/>
      <c r="G26" s="155"/>
      <c r="H26" s="91" t="s">
        <v>58</v>
      </c>
      <c r="I26" s="103"/>
      <c r="J26" s="93"/>
      <c r="K26" s="93"/>
      <c r="L26" s="94" t="b">
        <v>0</v>
      </c>
      <c r="M26" s="94" t="b">
        <v>0</v>
      </c>
      <c r="N26" s="95"/>
      <c r="O26" s="95"/>
      <c r="P26" s="96">
        <f t="shared" si="2"/>
        <v>0</v>
      </c>
      <c r="Q26" s="95"/>
      <c r="R26" s="93"/>
      <c r="S26" s="95"/>
      <c r="T26" s="95"/>
      <c r="U26" s="96">
        <f t="shared" si="3"/>
        <v>0</v>
      </c>
      <c r="V26" s="93"/>
      <c r="W26" s="93"/>
      <c r="X26" s="97"/>
      <c r="Y26" s="97"/>
      <c r="Z26" s="98"/>
      <c r="AA26" s="97"/>
      <c r="AB26" s="98"/>
      <c r="AC26" s="98"/>
      <c r="AD26" s="98"/>
      <c r="AE26" s="93"/>
      <c r="AF26" s="93"/>
      <c r="AG26" s="99"/>
      <c r="AH26" s="99"/>
      <c r="AI26" s="101"/>
    </row>
    <row r="27" spans="1:35" ht="8.25" customHeight="1">
      <c r="A27" s="104"/>
      <c r="B27" s="104"/>
      <c r="C27" s="104"/>
      <c r="D27" s="105"/>
      <c r="E27" s="105"/>
      <c r="F27" s="105"/>
      <c r="G27" s="26"/>
      <c r="H27" s="105"/>
      <c r="I27" s="111"/>
      <c r="J27" s="26"/>
      <c r="K27" s="26"/>
      <c r="L27" s="26"/>
      <c r="M27" s="26"/>
      <c r="N27" s="16"/>
      <c r="O27" s="16"/>
      <c r="P27" s="107"/>
      <c r="Q27" s="16"/>
      <c r="R27" s="26"/>
      <c r="S27" s="16"/>
      <c r="T27" s="16"/>
      <c r="U27" s="107"/>
      <c r="V27" s="26"/>
      <c r="W27" s="26"/>
      <c r="X27" s="26"/>
      <c r="Y27" s="26"/>
      <c r="Z27" s="105"/>
      <c r="AA27" s="26"/>
      <c r="AB27" s="105"/>
      <c r="AC27" s="105"/>
      <c r="AD27" s="105"/>
      <c r="AE27" s="26"/>
      <c r="AF27" s="26"/>
      <c r="AG27" s="26"/>
      <c r="AH27" s="26"/>
      <c r="AI27" s="26"/>
    </row>
    <row r="28" spans="1:35" ht="12.75">
      <c r="A28" s="162" t="s">
        <v>73</v>
      </c>
      <c r="B28" s="162" t="s">
        <v>67</v>
      </c>
      <c r="C28" s="162" t="s">
        <v>74</v>
      </c>
      <c r="D28" s="162" t="s">
        <v>453</v>
      </c>
      <c r="E28" s="160" t="s">
        <v>47</v>
      </c>
      <c r="F28" s="162" t="s">
        <v>454</v>
      </c>
      <c r="G28" s="164"/>
      <c r="H28" s="77" t="s">
        <v>49</v>
      </c>
      <c r="I28" s="108"/>
      <c r="J28" s="78"/>
      <c r="K28" s="78"/>
      <c r="L28" s="79" t="b">
        <v>0</v>
      </c>
      <c r="M28" s="79" t="b">
        <v>0</v>
      </c>
      <c r="N28" s="81"/>
      <c r="O28" s="81"/>
      <c r="P28" s="80">
        <f t="shared" ref="P28:P39" si="4">N28+O28</f>
        <v>0</v>
      </c>
      <c r="Q28" s="81"/>
      <c r="R28" s="78"/>
      <c r="S28" s="81"/>
      <c r="T28" s="81"/>
      <c r="U28" s="80">
        <f t="shared" ref="U28:U39" si="5">S28+T28</f>
        <v>0</v>
      </c>
      <c r="V28" s="78"/>
      <c r="W28" s="78"/>
      <c r="X28" s="78"/>
      <c r="Y28" s="78"/>
      <c r="Z28" s="77"/>
      <c r="AA28" s="78"/>
      <c r="AB28" s="77"/>
      <c r="AC28" s="77"/>
      <c r="AD28" s="77"/>
      <c r="AE28" s="78"/>
      <c r="AF28" s="78"/>
      <c r="AG28" s="109"/>
      <c r="AH28" s="109"/>
      <c r="AI28" s="78"/>
    </row>
    <row r="29" spans="1:35" ht="12.75">
      <c r="A29" s="155"/>
      <c r="B29" s="155"/>
      <c r="C29" s="155"/>
      <c r="D29" s="155"/>
      <c r="E29" s="155"/>
      <c r="F29" s="155"/>
      <c r="G29" s="155"/>
      <c r="H29" s="85" t="s">
        <v>58</v>
      </c>
      <c r="I29" s="112"/>
      <c r="J29" s="84"/>
      <c r="K29" s="84"/>
      <c r="L29" s="86" t="b">
        <v>0</v>
      </c>
      <c r="M29" s="86" t="b">
        <v>0</v>
      </c>
      <c r="N29" s="83"/>
      <c r="O29" s="83"/>
      <c r="P29" s="87">
        <f t="shared" si="4"/>
        <v>0</v>
      </c>
      <c r="Q29" s="83"/>
      <c r="R29" s="84"/>
      <c r="S29" s="83"/>
      <c r="T29" s="83"/>
      <c r="U29" s="87">
        <f t="shared" si="5"/>
        <v>0</v>
      </c>
      <c r="V29" s="84"/>
      <c r="W29" s="84"/>
      <c r="X29" s="84"/>
      <c r="Y29" s="84"/>
      <c r="Z29" s="85"/>
      <c r="AA29" s="84"/>
      <c r="AB29" s="85"/>
      <c r="AC29" s="85"/>
      <c r="AD29" s="85"/>
      <c r="AE29" s="84"/>
      <c r="AF29" s="84"/>
      <c r="AG29" s="110"/>
      <c r="AH29" s="110"/>
      <c r="AI29" s="84"/>
    </row>
    <row r="30" spans="1:35" ht="12.75">
      <c r="A30" s="155"/>
      <c r="B30" s="155"/>
      <c r="C30" s="155"/>
      <c r="D30" s="157" t="s">
        <v>453</v>
      </c>
      <c r="E30" s="157" t="s">
        <v>59</v>
      </c>
      <c r="F30" s="157" t="s">
        <v>454</v>
      </c>
      <c r="G30" s="158"/>
      <c r="H30" s="5" t="s">
        <v>49</v>
      </c>
      <c r="I30" s="17"/>
      <c r="J30" s="9"/>
      <c r="K30" s="9"/>
      <c r="L30" s="11" t="b">
        <v>0</v>
      </c>
      <c r="M30" s="11" t="b">
        <v>0</v>
      </c>
      <c r="N30" s="7"/>
      <c r="O30" s="7"/>
      <c r="P30" s="8">
        <f t="shared" si="4"/>
        <v>0</v>
      </c>
      <c r="Q30" s="7"/>
      <c r="R30" s="9"/>
      <c r="S30" s="7"/>
      <c r="T30" s="7"/>
      <c r="U30" s="8">
        <f t="shared" si="5"/>
        <v>0</v>
      </c>
      <c r="V30" s="9"/>
      <c r="W30" s="9"/>
      <c r="X30" s="18"/>
      <c r="Y30" s="18"/>
      <c r="Z30" s="19"/>
      <c r="AA30" s="18"/>
      <c r="AB30" s="19"/>
      <c r="AC30" s="19"/>
      <c r="AD30" s="19"/>
      <c r="AE30" s="9"/>
      <c r="AF30" s="9"/>
      <c r="AG30" s="26"/>
      <c r="AH30" s="26"/>
      <c r="AI30" s="89"/>
    </row>
    <row r="31" spans="1:35" ht="12.75">
      <c r="A31" s="155"/>
      <c r="B31" s="155"/>
      <c r="C31" s="155"/>
      <c r="D31" s="155"/>
      <c r="E31" s="155"/>
      <c r="F31" s="155"/>
      <c r="G31" s="155"/>
      <c r="H31" s="5" t="s">
        <v>58</v>
      </c>
      <c r="I31" s="22"/>
      <c r="J31" s="9"/>
      <c r="K31" s="9"/>
      <c r="L31" s="11" t="b">
        <v>0</v>
      </c>
      <c r="M31" s="11" t="b">
        <v>0</v>
      </c>
      <c r="N31" s="7"/>
      <c r="O31" s="7"/>
      <c r="P31" s="8">
        <f t="shared" si="4"/>
        <v>0</v>
      </c>
      <c r="Q31" s="7"/>
      <c r="R31" s="9"/>
      <c r="S31" s="7"/>
      <c r="T31" s="7"/>
      <c r="U31" s="8">
        <f t="shared" si="5"/>
        <v>0</v>
      </c>
      <c r="V31" s="9"/>
      <c r="W31" s="9"/>
      <c r="X31" s="18"/>
      <c r="Y31" s="18"/>
      <c r="Z31" s="19"/>
      <c r="AA31" s="18"/>
      <c r="AB31" s="19"/>
      <c r="AC31" s="19"/>
      <c r="AD31" s="19"/>
      <c r="AE31" s="9"/>
      <c r="AF31" s="9"/>
      <c r="AG31" s="26"/>
      <c r="AH31" s="26"/>
      <c r="AI31" s="9"/>
    </row>
    <row r="32" spans="1:35" ht="15">
      <c r="A32" s="90"/>
      <c r="B32" s="90"/>
      <c r="C32" s="90"/>
      <c r="D32" s="159" t="s">
        <v>455</v>
      </c>
      <c r="E32" s="159" t="s">
        <v>456</v>
      </c>
      <c r="F32" s="163" t="s">
        <v>457</v>
      </c>
      <c r="G32" s="165"/>
      <c r="H32" s="91" t="s">
        <v>458</v>
      </c>
      <c r="I32" s="92"/>
      <c r="J32" s="93"/>
      <c r="K32" s="93"/>
      <c r="L32" s="94" t="b">
        <v>0</v>
      </c>
      <c r="M32" s="94" t="b">
        <v>0</v>
      </c>
      <c r="N32" s="95"/>
      <c r="O32" s="95"/>
      <c r="P32" s="96">
        <f t="shared" si="4"/>
        <v>0</v>
      </c>
      <c r="Q32" s="95"/>
      <c r="R32" s="93"/>
      <c r="S32" s="95"/>
      <c r="T32" s="95"/>
      <c r="U32" s="96">
        <f t="shared" si="5"/>
        <v>0</v>
      </c>
      <c r="V32" s="93"/>
      <c r="W32" s="93"/>
      <c r="X32" s="97"/>
      <c r="Y32" s="97"/>
      <c r="Z32" s="98"/>
      <c r="AA32" s="97"/>
      <c r="AB32" s="98"/>
      <c r="AC32" s="98"/>
      <c r="AD32" s="98"/>
      <c r="AE32" s="93"/>
      <c r="AF32" s="93"/>
      <c r="AG32" s="99"/>
      <c r="AH32" s="99"/>
      <c r="AI32" s="93"/>
    </row>
    <row r="33" spans="1:35" ht="15">
      <c r="A33" s="90"/>
      <c r="B33" s="90"/>
      <c r="C33" s="90"/>
      <c r="D33" s="155"/>
      <c r="E33" s="155"/>
      <c r="F33" s="155"/>
      <c r="G33" s="155"/>
      <c r="H33" s="91" t="s">
        <v>58</v>
      </c>
      <c r="I33" s="92"/>
      <c r="J33" s="93"/>
      <c r="K33" s="93"/>
      <c r="L33" s="94" t="b">
        <v>0</v>
      </c>
      <c r="M33" s="94" t="b">
        <v>0</v>
      </c>
      <c r="N33" s="95"/>
      <c r="O33" s="95"/>
      <c r="P33" s="96">
        <f t="shared" si="4"/>
        <v>0</v>
      </c>
      <c r="Q33" s="95"/>
      <c r="R33" s="93"/>
      <c r="S33" s="95"/>
      <c r="T33" s="95"/>
      <c r="U33" s="96">
        <f t="shared" si="5"/>
        <v>0</v>
      </c>
      <c r="V33" s="93"/>
      <c r="W33" s="93"/>
      <c r="X33" s="97"/>
      <c r="Y33" s="97"/>
      <c r="Z33" s="98"/>
      <c r="AA33" s="97"/>
      <c r="AB33" s="98"/>
      <c r="AC33" s="98"/>
      <c r="AD33" s="98"/>
      <c r="AE33" s="93"/>
      <c r="AF33" s="93"/>
      <c r="AG33" s="99"/>
      <c r="AH33" s="99"/>
      <c r="AI33" s="100"/>
    </row>
    <row r="34" spans="1:35" ht="15">
      <c r="A34" s="90"/>
      <c r="B34" s="90"/>
      <c r="C34" s="90"/>
      <c r="D34" s="159" t="s">
        <v>455</v>
      </c>
      <c r="E34" s="166" t="s">
        <v>459</v>
      </c>
      <c r="F34" s="163" t="s">
        <v>457</v>
      </c>
      <c r="G34" s="165"/>
      <c r="H34" s="91" t="s">
        <v>458</v>
      </c>
      <c r="I34" s="92"/>
      <c r="J34" s="93"/>
      <c r="K34" s="93"/>
      <c r="L34" s="94" t="b">
        <v>0</v>
      </c>
      <c r="M34" s="94" t="b">
        <v>0</v>
      </c>
      <c r="N34" s="95"/>
      <c r="O34" s="95"/>
      <c r="P34" s="96">
        <f t="shared" si="4"/>
        <v>0</v>
      </c>
      <c r="Q34" s="95"/>
      <c r="R34" s="93"/>
      <c r="S34" s="95"/>
      <c r="T34" s="95"/>
      <c r="U34" s="96">
        <f t="shared" si="5"/>
        <v>0</v>
      </c>
      <c r="V34" s="93"/>
      <c r="W34" s="93"/>
      <c r="X34" s="93"/>
      <c r="Y34" s="93"/>
      <c r="Z34" s="91"/>
      <c r="AA34" s="93"/>
      <c r="AB34" s="91"/>
      <c r="AC34" s="91"/>
      <c r="AD34" s="91"/>
      <c r="AE34" s="93"/>
      <c r="AF34" s="93"/>
      <c r="AG34" s="99"/>
      <c r="AH34" s="99"/>
      <c r="AI34" s="101"/>
    </row>
    <row r="35" spans="1:35" ht="12.75">
      <c r="A35" s="90"/>
      <c r="B35" s="90"/>
      <c r="C35" s="90"/>
      <c r="D35" s="155"/>
      <c r="E35" s="155"/>
      <c r="F35" s="155"/>
      <c r="G35" s="155"/>
      <c r="H35" s="91" t="s">
        <v>58</v>
      </c>
      <c r="I35" s="102"/>
      <c r="J35" s="93"/>
      <c r="K35" s="93"/>
      <c r="L35" s="94" t="b">
        <v>0</v>
      </c>
      <c r="M35" s="94" t="b">
        <v>0</v>
      </c>
      <c r="N35" s="95"/>
      <c r="O35" s="95"/>
      <c r="P35" s="96">
        <f t="shared" si="4"/>
        <v>0</v>
      </c>
      <c r="Q35" s="95"/>
      <c r="R35" s="93"/>
      <c r="S35" s="95"/>
      <c r="T35" s="95"/>
      <c r="U35" s="96">
        <f t="shared" si="5"/>
        <v>0</v>
      </c>
      <c r="V35" s="93"/>
      <c r="W35" s="93"/>
      <c r="X35" s="93"/>
      <c r="Y35" s="93"/>
      <c r="Z35" s="91"/>
      <c r="AA35" s="93"/>
      <c r="AB35" s="91"/>
      <c r="AC35" s="91"/>
      <c r="AD35" s="91"/>
      <c r="AE35" s="93"/>
      <c r="AF35" s="93"/>
      <c r="AG35" s="99"/>
      <c r="AH35" s="99"/>
      <c r="AI35" s="99"/>
    </row>
    <row r="36" spans="1:35" ht="15">
      <c r="A36" s="90"/>
      <c r="B36" s="90"/>
      <c r="C36" s="90"/>
      <c r="D36" s="159" t="s">
        <v>460</v>
      </c>
      <c r="E36" s="163" t="s">
        <v>461</v>
      </c>
      <c r="F36" s="159" t="s">
        <v>462</v>
      </c>
      <c r="G36" s="165"/>
      <c r="H36" s="91" t="s">
        <v>49</v>
      </c>
      <c r="I36" s="103"/>
      <c r="J36" s="93"/>
      <c r="K36" s="93"/>
      <c r="L36" s="94" t="b">
        <v>0</v>
      </c>
      <c r="M36" s="94" t="b">
        <v>0</v>
      </c>
      <c r="N36" s="95"/>
      <c r="O36" s="95"/>
      <c r="P36" s="96">
        <f t="shared" si="4"/>
        <v>0</v>
      </c>
      <c r="Q36" s="95"/>
      <c r="R36" s="93"/>
      <c r="S36" s="95"/>
      <c r="T36" s="95"/>
      <c r="U36" s="96">
        <f t="shared" si="5"/>
        <v>0</v>
      </c>
      <c r="V36" s="93"/>
      <c r="W36" s="93"/>
      <c r="X36" s="93"/>
      <c r="Y36" s="93"/>
      <c r="Z36" s="91"/>
      <c r="AA36" s="93"/>
      <c r="AB36" s="91"/>
      <c r="AC36" s="91"/>
      <c r="AD36" s="91"/>
      <c r="AE36" s="93"/>
      <c r="AF36" s="93"/>
      <c r="AG36" s="99"/>
      <c r="AH36" s="99"/>
      <c r="AI36" s="101"/>
    </row>
    <row r="37" spans="1:35" ht="15">
      <c r="A37" s="90"/>
      <c r="B37" s="90"/>
      <c r="C37" s="90"/>
      <c r="D37" s="155"/>
      <c r="E37" s="155"/>
      <c r="F37" s="155"/>
      <c r="G37" s="155"/>
      <c r="H37" s="91" t="s">
        <v>58</v>
      </c>
      <c r="I37" s="103"/>
      <c r="J37" s="93"/>
      <c r="K37" s="93"/>
      <c r="L37" s="94" t="b">
        <v>0</v>
      </c>
      <c r="M37" s="94" t="b">
        <v>0</v>
      </c>
      <c r="N37" s="95"/>
      <c r="O37" s="95"/>
      <c r="P37" s="96">
        <f t="shared" si="4"/>
        <v>0</v>
      </c>
      <c r="Q37" s="95"/>
      <c r="R37" s="93"/>
      <c r="S37" s="95"/>
      <c r="T37" s="95"/>
      <c r="U37" s="96">
        <f t="shared" si="5"/>
        <v>0</v>
      </c>
      <c r="V37" s="93"/>
      <c r="W37" s="93"/>
      <c r="X37" s="97"/>
      <c r="Y37" s="97"/>
      <c r="Z37" s="98"/>
      <c r="AA37" s="97"/>
      <c r="AB37" s="98"/>
      <c r="AC37" s="98"/>
      <c r="AD37" s="98"/>
      <c r="AE37" s="93"/>
      <c r="AF37" s="93"/>
      <c r="AG37" s="99"/>
      <c r="AH37" s="99"/>
      <c r="AI37" s="101"/>
    </row>
    <row r="38" spans="1:35" ht="15">
      <c r="A38" s="90"/>
      <c r="B38" s="90"/>
      <c r="C38" s="90"/>
      <c r="D38" s="159" t="s">
        <v>453</v>
      </c>
      <c r="E38" s="159" t="s">
        <v>463</v>
      </c>
      <c r="F38" s="159" t="s">
        <v>464</v>
      </c>
      <c r="G38" s="165"/>
      <c r="H38" s="91" t="s">
        <v>465</v>
      </c>
      <c r="I38" s="103"/>
      <c r="J38" s="93"/>
      <c r="K38" s="93"/>
      <c r="L38" s="94" t="b">
        <v>0</v>
      </c>
      <c r="M38" s="94" t="b">
        <v>0</v>
      </c>
      <c r="N38" s="95"/>
      <c r="O38" s="95"/>
      <c r="P38" s="96">
        <f t="shared" si="4"/>
        <v>0</v>
      </c>
      <c r="Q38" s="95"/>
      <c r="R38" s="93"/>
      <c r="S38" s="95"/>
      <c r="T38" s="95"/>
      <c r="U38" s="96">
        <f t="shared" si="5"/>
        <v>0</v>
      </c>
      <c r="V38" s="93"/>
      <c r="W38" s="93"/>
      <c r="X38" s="97"/>
      <c r="Y38" s="97"/>
      <c r="Z38" s="98"/>
      <c r="AA38" s="97"/>
      <c r="AB38" s="98"/>
      <c r="AC38" s="98"/>
      <c r="AD38" s="98"/>
      <c r="AE38" s="93"/>
      <c r="AF38" s="93"/>
      <c r="AG38" s="99"/>
      <c r="AH38" s="99"/>
      <c r="AI38" s="101"/>
    </row>
    <row r="39" spans="1:35" ht="15">
      <c r="A39" s="90"/>
      <c r="B39" s="90"/>
      <c r="C39" s="90"/>
      <c r="D39" s="155"/>
      <c r="E39" s="155"/>
      <c r="F39" s="155"/>
      <c r="G39" s="155"/>
      <c r="H39" s="91" t="s">
        <v>58</v>
      </c>
      <c r="I39" s="103"/>
      <c r="J39" s="93"/>
      <c r="K39" s="93"/>
      <c r="L39" s="94" t="b">
        <v>0</v>
      </c>
      <c r="M39" s="94" t="b">
        <v>0</v>
      </c>
      <c r="N39" s="95"/>
      <c r="O39" s="95"/>
      <c r="P39" s="96">
        <f t="shared" si="4"/>
        <v>0</v>
      </c>
      <c r="Q39" s="95"/>
      <c r="R39" s="93"/>
      <c r="S39" s="95"/>
      <c r="T39" s="95"/>
      <c r="U39" s="96">
        <f t="shared" si="5"/>
        <v>0</v>
      </c>
      <c r="V39" s="93"/>
      <c r="W39" s="93"/>
      <c r="X39" s="97"/>
      <c r="Y39" s="97"/>
      <c r="Z39" s="98"/>
      <c r="AA39" s="97"/>
      <c r="AB39" s="98"/>
      <c r="AC39" s="98"/>
      <c r="AD39" s="98"/>
      <c r="AE39" s="93"/>
      <c r="AF39" s="93"/>
      <c r="AG39" s="99"/>
      <c r="AH39" s="99"/>
      <c r="AI39" s="101"/>
    </row>
    <row r="40" spans="1:35" ht="10.5" customHeight="1">
      <c r="A40" s="104"/>
      <c r="B40" s="104"/>
      <c r="C40" s="104"/>
      <c r="D40" s="105"/>
      <c r="E40" s="105"/>
      <c r="F40" s="105"/>
      <c r="G40" s="26"/>
      <c r="H40" s="105"/>
      <c r="I40" s="111"/>
      <c r="J40" s="26"/>
      <c r="K40" s="26"/>
      <c r="L40" s="26"/>
      <c r="M40" s="26"/>
      <c r="N40" s="16"/>
      <c r="O40" s="16"/>
      <c r="P40" s="107"/>
      <c r="Q40" s="16"/>
      <c r="R40" s="26"/>
      <c r="S40" s="16"/>
      <c r="T40" s="16"/>
      <c r="U40" s="107"/>
      <c r="V40" s="26"/>
      <c r="W40" s="26"/>
      <c r="X40" s="26"/>
      <c r="Y40" s="26"/>
      <c r="Z40" s="105"/>
      <c r="AA40" s="26"/>
      <c r="AB40" s="105"/>
      <c r="AC40" s="105"/>
      <c r="AD40" s="105"/>
      <c r="AE40" s="26"/>
      <c r="AF40" s="26"/>
      <c r="AG40" s="26"/>
      <c r="AH40" s="26"/>
      <c r="AI40" s="26"/>
    </row>
    <row r="41" spans="1:35" ht="12.75">
      <c r="A41" s="162" t="s">
        <v>86</v>
      </c>
      <c r="B41" s="162" t="s">
        <v>67</v>
      </c>
      <c r="C41" s="162" t="s">
        <v>86</v>
      </c>
      <c r="D41" s="162" t="s">
        <v>453</v>
      </c>
      <c r="E41" s="160" t="s">
        <v>47</v>
      </c>
      <c r="F41" s="162" t="s">
        <v>454</v>
      </c>
      <c r="G41" s="164"/>
      <c r="H41" s="77" t="s">
        <v>49</v>
      </c>
      <c r="I41" s="108"/>
      <c r="J41" s="78"/>
      <c r="K41" s="78"/>
      <c r="L41" s="79" t="b">
        <v>0</v>
      </c>
      <c r="M41" s="79" t="b">
        <v>0</v>
      </c>
      <c r="N41" s="81"/>
      <c r="O41" s="81"/>
      <c r="P41" s="80">
        <f t="shared" ref="P41:P52" si="6">N41+O41</f>
        <v>0</v>
      </c>
      <c r="Q41" s="81"/>
      <c r="R41" s="78"/>
      <c r="S41" s="81"/>
      <c r="T41" s="81"/>
      <c r="U41" s="80">
        <f t="shared" ref="U41:U52" si="7">S41+T41</f>
        <v>0</v>
      </c>
      <c r="V41" s="78"/>
      <c r="W41" s="78"/>
      <c r="X41" s="78"/>
      <c r="Y41" s="78"/>
      <c r="Z41" s="77"/>
      <c r="AA41" s="78"/>
      <c r="AB41" s="77"/>
      <c r="AC41" s="77"/>
      <c r="AD41" s="77"/>
      <c r="AE41" s="78"/>
      <c r="AF41" s="78"/>
      <c r="AG41" s="109"/>
      <c r="AH41" s="109"/>
      <c r="AI41" s="78"/>
    </row>
    <row r="42" spans="1:35" ht="12.75">
      <c r="A42" s="155"/>
      <c r="B42" s="155"/>
      <c r="C42" s="155"/>
      <c r="D42" s="155"/>
      <c r="E42" s="155"/>
      <c r="F42" s="155"/>
      <c r="G42" s="155"/>
      <c r="H42" s="85" t="s">
        <v>58</v>
      </c>
      <c r="I42" s="112"/>
      <c r="J42" s="84"/>
      <c r="K42" s="84"/>
      <c r="L42" s="86" t="b">
        <v>0</v>
      </c>
      <c r="M42" s="86" t="b">
        <v>0</v>
      </c>
      <c r="N42" s="83"/>
      <c r="O42" s="83"/>
      <c r="P42" s="87">
        <f t="shared" si="6"/>
        <v>0</v>
      </c>
      <c r="Q42" s="83"/>
      <c r="R42" s="84"/>
      <c r="S42" s="83"/>
      <c r="T42" s="83"/>
      <c r="U42" s="87">
        <f t="shared" si="7"/>
        <v>0</v>
      </c>
      <c r="V42" s="84"/>
      <c r="W42" s="84"/>
      <c r="X42" s="84"/>
      <c r="Y42" s="84"/>
      <c r="Z42" s="85"/>
      <c r="AA42" s="84"/>
      <c r="AB42" s="85"/>
      <c r="AC42" s="85"/>
      <c r="AD42" s="85"/>
      <c r="AE42" s="84"/>
      <c r="AF42" s="84"/>
      <c r="AG42" s="110"/>
      <c r="AH42" s="110"/>
      <c r="AI42" s="84"/>
    </row>
    <row r="43" spans="1:35" ht="12.75">
      <c r="A43" s="155"/>
      <c r="B43" s="155"/>
      <c r="C43" s="155"/>
      <c r="D43" s="157" t="s">
        <v>453</v>
      </c>
      <c r="E43" s="157" t="s">
        <v>59</v>
      </c>
      <c r="F43" s="157" t="s">
        <v>454</v>
      </c>
      <c r="G43" s="158"/>
      <c r="H43" s="5" t="s">
        <v>49</v>
      </c>
      <c r="I43" s="17"/>
      <c r="J43" s="9"/>
      <c r="K43" s="9"/>
      <c r="L43" s="11" t="b">
        <v>0</v>
      </c>
      <c r="M43" s="11" t="b">
        <v>0</v>
      </c>
      <c r="N43" s="7"/>
      <c r="O43" s="7"/>
      <c r="P43" s="8">
        <f t="shared" si="6"/>
        <v>0</v>
      </c>
      <c r="Q43" s="7"/>
      <c r="R43" s="9"/>
      <c r="S43" s="7"/>
      <c r="T43" s="7"/>
      <c r="U43" s="8">
        <f t="shared" si="7"/>
        <v>0</v>
      </c>
      <c r="V43" s="9"/>
      <c r="W43" s="9"/>
      <c r="X43" s="18"/>
      <c r="Y43" s="18"/>
      <c r="Z43" s="19"/>
      <c r="AA43" s="18"/>
      <c r="AB43" s="19"/>
      <c r="AC43" s="19"/>
      <c r="AD43" s="19"/>
      <c r="AE43" s="9"/>
      <c r="AF43" s="9"/>
      <c r="AG43" s="26"/>
      <c r="AH43" s="26"/>
      <c r="AI43" s="89"/>
    </row>
    <row r="44" spans="1:35" ht="12.75">
      <c r="A44" s="155"/>
      <c r="B44" s="155"/>
      <c r="C44" s="155"/>
      <c r="D44" s="155"/>
      <c r="E44" s="155"/>
      <c r="F44" s="155"/>
      <c r="G44" s="155"/>
      <c r="H44" s="5" t="s">
        <v>58</v>
      </c>
      <c r="I44" s="22"/>
      <c r="J44" s="9"/>
      <c r="K44" s="9"/>
      <c r="L44" s="11" t="b">
        <v>0</v>
      </c>
      <c r="M44" s="11" t="b">
        <v>0</v>
      </c>
      <c r="N44" s="7"/>
      <c r="O44" s="7"/>
      <c r="P44" s="8">
        <f t="shared" si="6"/>
        <v>0</v>
      </c>
      <c r="Q44" s="7"/>
      <c r="R44" s="9"/>
      <c r="S44" s="7"/>
      <c r="T44" s="7"/>
      <c r="U44" s="8">
        <f t="shared" si="7"/>
        <v>0</v>
      </c>
      <c r="V44" s="9"/>
      <c r="W44" s="9"/>
      <c r="X44" s="18"/>
      <c r="Y44" s="18"/>
      <c r="Z44" s="19"/>
      <c r="AA44" s="18"/>
      <c r="AB44" s="19"/>
      <c r="AC44" s="19"/>
      <c r="AD44" s="19"/>
      <c r="AE44" s="9"/>
      <c r="AF44" s="9"/>
      <c r="AG44" s="26"/>
      <c r="AH44" s="26"/>
      <c r="AI44" s="9"/>
    </row>
    <row r="45" spans="1:35" ht="15">
      <c r="A45" s="113"/>
      <c r="B45" s="113"/>
      <c r="C45" s="113"/>
      <c r="D45" s="159" t="s">
        <v>455</v>
      </c>
      <c r="E45" s="159" t="s">
        <v>456</v>
      </c>
      <c r="F45" s="163" t="s">
        <v>457</v>
      </c>
      <c r="G45" s="165"/>
      <c r="H45" s="91" t="s">
        <v>458</v>
      </c>
      <c r="I45" s="92"/>
      <c r="J45" s="93"/>
      <c r="K45" s="93"/>
      <c r="L45" s="94" t="b">
        <v>0</v>
      </c>
      <c r="M45" s="94" t="b">
        <v>0</v>
      </c>
      <c r="N45" s="95"/>
      <c r="O45" s="95"/>
      <c r="P45" s="96">
        <f t="shared" si="6"/>
        <v>0</v>
      </c>
      <c r="Q45" s="95"/>
      <c r="R45" s="93"/>
      <c r="S45" s="95"/>
      <c r="T45" s="95"/>
      <c r="U45" s="96">
        <f t="shared" si="7"/>
        <v>0</v>
      </c>
      <c r="V45" s="93"/>
      <c r="W45" s="93"/>
      <c r="X45" s="97"/>
      <c r="Y45" s="97"/>
      <c r="Z45" s="98"/>
      <c r="AA45" s="97"/>
      <c r="AB45" s="98"/>
      <c r="AC45" s="98"/>
      <c r="AD45" s="98"/>
      <c r="AE45" s="93"/>
      <c r="AF45" s="93"/>
      <c r="AG45" s="99"/>
      <c r="AH45" s="99"/>
      <c r="AI45" s="93"/>
    </row>
    <row r="46" spans="1:35" ht="15">
      <c r="A46" s="113"/>
      <c r="B46" s="113"/>
      <c r="C46" s="113"/>
      <c r="D46" s="155"/>
      <c r="E46" s="155"/>
      <c r="F46" s="155"/>
      <c r="G46" s="155"/>
      <c r="H46" s="91" t="s">
        <v>58</v>
      </c>
      <c r="I46" s="92"/>
      <c r="J46" s="93"/>
      <c r="K46" s="93"/>
      <c r="L46" s="94" t="b">
        <v>0</v>
      </c>
      <c r="M46" s="94" t="b">
        <v>0</v>
      </c>
      <c r="N46" s="95"/>
      <c r="O46" s="95"/>
      <c r="P46" s="96">
        <f t="shared" si="6"/>
        <v>0</v>
      </c>
      <c r="Q46" s="95"/>
      <c r="R46" s="93"/>
      <c r="S46" s="95"/>
      <c r="T46" s="95"/>
      <c r="U46" s="96">
        <f t="shared" si="7"/>
        <v>0</v>
      </c>
      <c r="V46" s="93"/>
      <c r="W46" s="93"/>
      <c r="X46" s="97"/>
      <c r="Y46" s="97"/>
      <c r="Z46" s="98"/>
      <c r="AA46" s="97"/>
      <c r="AB46" s="98"/>
      <c r="AC46" s="98"/>
      <c r="AD46" s="98"/>
      <c r="AE46" s="93"/>
      <c r="AF46" s="93"/>
      <c r="AG46" s="99"/>
      <c r="AH46" s="99"/>
      <c r="AI46" s="100"/>
    </row>
    <row r="47" spans="1:35" ht="15">
      <c r="A47" s="113"/>
      <c r="B47" s="113"/>
      <c r="C47" s="113"/>
      <c r="D47" s="159" t="s">
        <v>455</v>
      </c>
      <c r="E47" s="166" t="s">
        <v>459</v>
      </c>
      <c r="F47" s="163" t="s">
        <v>457</v>
      </c>
      <c r="G47" s="165"/>
      <c r="H47" s="91" t="s">
        <v>458</v>
      </c>
      <c r="I47" s="92"/>
      <c r="J47" s="93"/>
      <c r="K47" s="93"/>
      <c r="L47" s="94" t="b">
        <v>0</v>
      </c>
      <c r="M47" s="94" t="b">
        <v>0</v>
      </c>
      <c r="N47" s="95"/>
      <c r="O47" s="95"/>
      <c r="P47" s="96">
        <f t="shared" si="6"/>
        <v>0</v>
      </c>
      <c r="Q47" s="95"/>
      <c r="R47" s="93"/>
      <c r="S47" s="95"/>
      <c r="T47" s="95"/>
      <c r="U47" s="96">
        <f t="shared" si="7"/>
        <v>0</v>
      </c>
      <c r="V47" s="93"/>
      <c r="W47" s="93"/>
      <c r="X47" s="93"/>
      <c r="Y47" s="93"/>
      <c r="Z47" s="91"/>
      <c r="AA47" s="93"/>
      <c r="AB47" s="91"/>
      <c r="AC47" s="91"/>
      <c r="AD47" s="91"/>
      <c r="AE47" s="93"/>
      <c r="AF47" s="93"/>
      <c r="AG47" s="99"/>
      <c r="AH47" s="99"/>
      <c r="AI47" s="101"/>
    </row>
    <row r="48" spans="1:35" ht="12.75">
      <c r="A48" s="113"/>
      <c r="B48" s="113"/>
      <c r="C48" s="113"/>
      <c r="D48" s="155"/>
      <c r="E48" s="155"/>
      <c r="F48" s="155"/>
      <c r="G48" s="155"/>
      <c r="H48" s="91" t="s">
        <v>58</v>
      </c>
      <c r="I48" s="102"/>
      <c r="J48" s="93"/>
      <c r="K48" s="93"/>
      <c r="L48" s="94" t="b">
        <v>0</v>
      </c>
      <c r="M48" s="94" t="b">
        <v>0</v>
      </c>
      <c r="N48" s="95"/>
      <c r="O48" s="95"/>
      <c r="P48" s="96">
        <f t="shared" si="6"/>
        <v>0</v>
      </c>
      <c r="Q48" s="95"/>
      <c r="R48" s="93"/>
      <c r="S48" s="95"/>
      <c r="T48" s="95"/>
      <c r="U48" s="96">
        <f t="shared" si="7"/>
        <v>0</v>
      </c>
      <c r="V48" s="93"/>
      <c r="W48" s="93"/>
      <c r="X48" s="93"/>
      <c r="Y48" s="93"/>
      <c r="Z48" s="91"/>
      <c r="AA48" s="93"/>
      <c r="AB48" s="91"/>
      <c r="AC48" s="91"/>
      <c r="AD48" s="91"/>
      <c r="AE48" s="93"/>
      <c r="AF48" s="93"/>
      <c r="AG48" s="99"/>
      <c r="AH48" s="99"/>
      <c r="AI48" s="99"/>
    </row>
    <row r="49" spans="1:35" ht="15">
      <c r="A49" s="113"/>
      <c r="B49" s="113"/>
      <c r="C49" s="113"/>
      <c r="D49" s="159" t="s">
        <v>460</v>
      </c>
      <c r="E49" s="163" t="s">
        <v>461</v>
      </c>
      <c r="F49" s="159" t="s">
        <v>462</v>
      </c>
      <c r="G49" s="165"/>
      <c r="H49" s="91" t="s">
        <v>49</v>
      </c>
      <c r="I49" s="103"/>
      <c r="J49" s="93"/>
      <c r="K49" s="93"/>
      <c r="L49" s="94" t="b">
        <v>0</v>
      </c>
      <c r="M49" s="94" t="b">
        <v>0</v>
      </c>
      <c r="N49" s="95"/>
      <c r="O49" s="95"/>
      <c r="P49" s="96">
        <f t="shared" si="6"/>
        <v>0</v>
      </c>
      <c r="Q49" s="95"/>
      <c r="R49" s="93"/>
      <c r="S49" s="95"/>
      <c r="T49" s="95"/>
      <c r="U49" s="96">
        <f t="shared" si="7"/>
        <v>0</v>
      </c>
      <c r="V49" s="93"/>
      <c r="W49" s="93"/>
      <c r="X49" s="93"/>
      <c r="Y49" s="93"/>
      <c r="Z49" s="91"/>
      <c r="AA49" s="93"/>
      <c r="AB49" s="91"/>
      <c r="AC49" s="91"/>
      <c r="AD49" s="91"/>
      <c r="AE49" s="93"/>
      <c r="AF49" s="93"/>
      <c r="AG49" s="99"/>
      <c r="AH49" s="99"/>
      <c r="AI49" s="101"/>
    </row>
    <row r="50" spans="1:35" ht="15">
      <c r="A50" s="113"/>
      <c r="B50" s="113"/>
      <c r="C50" s="113"/>
      <c r="D50" s="155"/>
      <c r="E50" s="155"/>
      <c r="F50" s="155"/>
      <c r="G50" s="155"/>
      <c r="H50" s="91" t="s">
        <v>58</v>
      </c>
      <c r="I50" s="103"/>
      <c r="J50" s="93"/>
      <c r="K50" s="93"/>
      <c r="L50" s="94" t="b">
        <v>0</v>
      </c>
      <c r="M50" s="94" t="b">
        <v>0</v>
      </c>
      <c r="N50" s="95"/>
      <c r="O50" s="95"/>
      <c r="P50" s="96">
        <f t="shared" si="6"/>
        <v>0</v>
      </c>
      <c r="Q50" s="95"/>
      <c r="R50" s="93"/>
      <c r="S50" s="95"/>
      <c r="T50" s="95"/>
      <c r="U50" s="96">
        <f t="shared" si="7"/>
        <v>0</v>
      </c>
      <c r="V50" s="93"/>
      <c r="W50" s="93"/>
      <c r="X50" s="97"/>
      <c r="Y50" s="97"/>
      <c r="Z50" s="98"/>
      <c r="AA50" s="97"/>
      <c r="AB50" s="98"/>
      <c r="AC50" s="98"/>
      <c r="AD50" s="98"/>
      <c r="AE50" s="93"/>
      <c r="AF50" s="93"/>
      <c r="AG50" s="99"/>
      <c r="AH50" s="99"/>
      <c r="AI50" s="101"/>
    </row>
    <row r="51" spans="1:35" ht="15">
      <c r="A51" s="113"/>
      <c r="B51" s="113"/>
      <c r="C51" s="113"/>
      <c r="D51" s="159" t="s">
        <v>453</v>
      </c>
      <c r="E51" s="159" t="s">
        <v>463</v>
      </c>
      <c r="F51" s="159" t="s">
        <v>464</v>
      </c>
      <c r="G51" s="165"/>
      <c r="H51" s="91" t="s">
        <v>465</v>
      </c>
      <c r="I51" s="103"/>
      <c r="J51" s="93"/>
      <c r="K51" s="93"/>
      <c r="L51" s="94" t="b">
        <v>0</v>
      </c>
      <c r="M51" s="94" t="b">
        <v>0</v>
      </c>
      <c r="N51" s="95"/>
      <c r="O51" s="95"/>
      <c r="P51" s="96">
        <f t="shared" si="6"/>
        <v>0</v>
      </c>
      <c r="Q51" s="95"/>
      <c r="R51" s="93"/>
      <c r="S51" s="95"/>
      <c r="T51" s="95"/>
      <c r="U51" s="96">
        <f t="shared" si="7"/>
        <v>0</v>
      </c>
      <c r="V51" s="93"/>
      <c r="W51" s="93"/>
      <c r="X51" s="97"/>
      <c r="Y51" s="97"/>
      <c r="Z51" s="98"/>
      <c r="AA51" s="97"/>
      <c r="AB51" s="98"/>
      <c r="AC51" s="98"/>
      <c r="AD51" s="98"/>
      <c r="AE51" s="93"/>
      <c r="AF51" s="93"/>
      <c r="AG51" s="99"/>
      <c r="AH51" s="99"/>
      <c r="AI51" s="101"/>
    </row>
    <row r="52" spans="1:35" ht="15">
      <c r="A52" s="113"/>
      <c r="B52" s="113"/>
      <c r="C52" s="113"/>
      <c r="D52" s="155"/>
      <c r="E52" s="155"/>
      <c r="F52" s="155"/>
      <c r="G52" s="155"/>
      <c r="H52" s="91" t="s">
        <v>58</v>
      </c>
      <c r="I52" s="103"/>
      <c r="J52" s="93"/>
      <c r="K52" s="93"/>
      <c r="L52" s="94" t="b">
        <v>0</v>
      </c>
      <c r="M52" s="94" t="b">
        <v>0</v>
      </c>
      <c r="N52" s="95"/>
      <c r="O52" s="95"/>
      <c r="P52" s="96">
        <f t="shared" si="6"/>
        <v>0</v>
      </c>
      <c r="Q52" s="95"/>
      <c r="R52" s="93"/>
      <c r="S52" s="95"/>
      <c r="T52" s="95"/>
      <c r="U52" s="96">
        <f t="shared" si="7"/>
        <v>0</v>
      </c>
      <c r="V52" s="93"/>
      <c r="W52" s="93"/>
      <c r="X52" s="97"/>
      <c r="Y52" s="97"/>
      <c r="Z52" s="98"/>
      <c r="AA52" s="97"/>
      <c r="AB52" s="98"/>
      <c r="AC52" s="98"/>
      <c r="AD52" s="98"/>
      <c r="AE52" s="93"/>
      <c r="AF52" s="93"/>
      <c r="AG52" s="99"/>
      <c r="AH52" s="99"/>
      <c r="AI52" s="101"/>
    </row>
    <row r="53" spans="1:35" ht="6.75" customHeight="1">
      <c r="A53" s="114"/>
      <c r="B53" s="114"/>
      <c r="C53" s="114"/>
      <c r="D53" s="115"/>
      <c r="E53" s="115"/>
      <c r="F53" s="115"/>
      <c r="G53" s="116"/>
      <c r="H53" s="115"/>
      <c r="I53" s="117"/>
      <c r="J53" s="116"/>
      <c r="K53" s="116"/>
      <c r="L53" s="116"/>
      <c r="M53" s="116"/>
      <c r="N53" s="118"/>
      <c r="O53" s="118"/>
      <c r="P53" s="119"/>
      <c r="Q53" s="118"/>
      <c r="R53" s="116"/>
      <c r="S53" s="118"/>
      <c r="T53" s="118"/>
      <c r="U53" s="119"/>
      <c r="V53" s="116"/>
      <c r="W53" s="116"/>
      <c r="X53" s="116"/>
      <c r="Y53" s="116"/>
      <c r="Z53" s="115"/>
      <c r="AA53" s="116"/>
      <c r="AB53" s="115"/>
      <c r="AC53" s="115"/>
      <c r="AD53" s="115"/>
      <c r="AE53" s="116"/>
      <c r="AF53" s="116"/>
      <c r="AG53" s="116"/>
      <c r="AH53" s="116"/>
      <c r="AI53" s="116"/>
    </row>
    <row r="54" spans="1:35" ht="12.75">
      <c r="A54" s="162" t="s">
        <v>466</v>
      </c>
      <c r="B54" s="162" t="s">
        <v>45</v>
      </c>
      <c r="C54" s="162" t="s">
        <v>467</v>
      </c>
      <c r="D54" s="162" t="s">
        <v>453</v>
      </c>
      <c r="E54" s="160" t="s">
        <v>47</v>
      </c>
      <c r="F54" s="162" t="s">
        <v>454</v>
      </c>
      <c r="G54" s="164"/>
      <c r="H54" s="77" t="s">
        <v>49</v>
      </c>
      <c r="I54" s="108"/>
      <c r="J54" s="78"/>
      <c r="K54" s="78"/>
      <c r="L54" s="79" t="b">
        <v>0</v>
      </c>
      <c r="M54" s="79" t="b">
        <v>0</v>
      </c>
      <c r="N54" s="81"/>
      <c r="O54" s="81"/>
      <c r="P54" s="80">
        <f t="shared" ref="P54:P65" si="8">N54+O54</f>
        <v>0</v>
      </c>
      <c r="Q54" s="81"/>
      <c r="R54" s="78"/>
      <c r="S54" s="81"/>
      <c r="T54" s="81"/>
      <c r="U54" s="80">
        <f t="shared" ref="U54:U65" si="9">S54+T54</f>
        <v>0</v>
      </c>
      <c r="V54" s="78"/>
      <c r="W54" s="78"/>
      <c r="X54" s="78"/>
      <c r="Y54" s="78"/>
      <c r="Z54" s="77"/>
      <c r="AA54" s="78"/>
      <c r="AB54" s="77"/>
      <c r="AC54" s="77"/>
      <c r="AD54" s="77"/>
      <c r="AE54" s="78"/>
      <c r="AF54" s="78"/>
      <c r="AG54" s="109"/>
      <c r="AH54" s="109"/>
      <c r="AI54" s="78"/>
    </row>
    <row r="55" spans="1:35" ht="12.75">
      <c r="A55" s="155"/>
      <c r="B55" s="155"/>
      <c r="C55" s="155"/>
      <c r="D55" s="155"/>
      <c r="E55" s="155"/>
      <c r="F55" s="155"/>
      <c r="G55" s="155"/>
      <c r="H55" s="85" t="s">
        <v>58</v>
      </c>
      <c r="I55" s="112"/>
      <c r="J55" s="84"/>
      <c r="K55" s="84"/>
      <c r="L55" s="86" t="b">
        <v>0</v>
      </c>
      <c r="M55" s="86" t="b">
        <v>0</v>
      </c>
      <c r="N55" s="83"/>
      <c r="O55" s="83"/>
      <c r="P55" s="87">
        <f t="shared" si="8"/>
        <v>0</v>
      </c>
      <c r="Q55" s="83"/>
      <c r="R55" s="84"/>
      <c r="S55" s="83"/>
      <c r="T55" s="83"/>
      <c r="U55" s="87">
        <f t="shared" si="9"/>
        <v>0</v>
      </c>
      <c r="V55" s="84"/>
      <c r="W55" s="84"/>
      <c r="X55" s="84"/>
      <c r="Y55" s="84"/>
      <c r="Z55" s="85"/>
      <c r="AA55" s="84"/>
      <c r="AB55" s="85"/>
      <c r="AC55" s="85"/>
      <c r="AD55" s="85"/>
      <c r="AE55" s="84"/>
      <c r="AF55" s="84"/>
      <c r="AG55" s="110"/>
      <c r="AH55" s="110"/>
      <c r="AI55" s="84"/>
    </row>
    <row r="56" spans="1:35" ht="12.75">
      <c r="A56" s="155"/>
      <c r="B56" s="155"/>
      <c r="C56" s="155"/>
      <c r="D56" s="157" t="s">
        <v>453</v>
      </c>
      <c r="E56" s="157" t="s">
        <v>59</v>
      </c>
      <c r="F56" s="157" t="s">
        <v>454</v>
      </c>
      <c r="G56" s="158"/>
      <c r="H56" s="5" t="s">
        <v>49</v>
      </c>
      <c r="I56" s="17"/>
      <c r="J56" s="9"/>
      <c r="K56" s="9"/>
      <c r="L56" s="11" t="b">
        <v>0</v>
      </c>
      <c r="M56" s="11" t="b">
        <v>0</v>
      </c>
      <c r="N56" s="7"/>
      <c r="O56" s="7"/>
      <c r="P56" s="8">
        <f t="shared" si="8"/>
        <v>0</v>
      </c>
      <c r="Q56" s="7"/>
      <c r="R56" s="9"/>
      <c r="S56" s="7"/>
      <c r="T56" s="7"/>
      <c r="U56" s="8">
        <f t="shared" si="9"/>
        <v>0</v>
      </c>
      <c r="V56" s="9"/>
      <c r="W56" s="9"/>
      <c r="X56" s="18"/>
      <c r="Y56" s="18"/>
      <c r="Z56" s="19"/>
      <c r="AA56" s="18"/>
      <c r="AB56" s="19"/>
      <c r="AC56" s="19"/>
      <c r="AD56" s="19"/>
      <c r="AE56" s="9"/>
      <c r="AF56" s="9"/>
      <c r="AG56" s="26"/>
      <c r="AH56" s="26"/>
      <c r="AI56" s="89"/>
    </row>
    <row r="57" spans="1:35" ht="12.75">
      <c r="A57" s="155"/>
      <c r="B57" s="155"/>
      <c r="C57" s="155"/>
      <c r="D57" s="155"/>
      <c r="E57" s="155"/>
      <c r="F57" s="155"/>
      <c r="G57" s="155"/>
      <c r="H57" s="5" t="s">
        <v>58</v>
      </c>
      <c r="I57" s="22"/>
      <c r="J57" s="9"/>
      <c r="K57" s="9"/>
      <c r="L57" s="11" t="b">
        <v>0</v>
      </c>
      <c r="M57" s="11" t="b">
        <v>0</v>
      </c>
      <c r="N57" s="7"/>
      <c r="O57" s="7"/>
      <c r="P57" s="8">
        <f t="shared" si="8"/>
        <v>0</v>
      </c>
      <c r="Q57" s="7"/>
      <c r="R57" s="9"/>
      <c r="S57" s="7"/>
      <c r="T57" s="7"/>
      <c r="U57" s="8">
        <f t="shared" si="9"/>
        <v>0</v>
      </c>
      <c r="V57" s="9"/>
      <c r="W57" s="9"/>
      <c r="X57" s="18"/>
      <c r="Y57" s="18"/>
      <c r="Z57" s="19"/>
      <c r="AA57" s="18"/>
      <c r="AB57" s="19"/>
      <c r="AC57" s="19"/>
      <c r="AD57" s="19"/>
      <c r="AE57" s="9"/>
      <c r="AF57" s="9"/>
      <c r="AG57" s="26"/>
      <c r="AH57" s="26"/>
      <c r="AI57" s="9"/>
    </row>
    <row r="58" spans="1:35" ht="15">
      <c r="A58" s="113"/>
      <c r="B58" s="113"/>
      <c r="C58" s="113"/>
      <c r="D58" s="176" t="s">
        <v>455</v>
      </c>
      <c r="E58" s="176" t="s">
        <v>456</v>
      </c>
      <c r="F58" s="177" t="s">
        <v>457</v>
      </c>
      <c r="G58" s="178"/>
      <c r="H58" s="85" t="s">
        <v>458</v>
      </c>
      <c r="I58" s="147"/>
      <c r="J58" s="84"/>
      <c r="K58" s="84"/>
      <c r="L58" s="86" t="b">
        <v>0</v>
      </c>
      <c r="M58" s="86" t="b">
        <v>0</v>
      </c>
      <c r="N58" s="83"/>
      <c r="O58" s="83"/>
      <c r="P58" s="87">
        <f t="shared" si="8"/>
        <v>0</v>
      </c>
      <c r="Q58" s="83"/>
      <c r="R58" s="84"/>
      <c r="S58" s="83"/>
      <c r="T58" s="83"/>
      <c r="U58" s="87">
        <f t="shared" si="9"/>
        <v>0</v>
      </c>
      <c r="V58" s="84"/>
      <c r="W58" s="84"/>
      <c r="X58" s="133"/>
      <c r="Y58" s="133"/>
      <c r="Z58" s="121"/>
      <c r="AA58" s="133"/>
      <c r="AB58" s="121"/>
      <c r="AC58" s="121"/>
      <c r="AD58" s="121"/>
      <c r="AE58" s="84"/>
      <c r="AF58" s="84"/>
      <c r="AG58" s="122"/>
      <c r="AH58" s="122"/>
      <c r="AI58" s="84"/>
    </row>
    <row r="59" spans="1:35" ht="15">
      <c r="A59" s="113"/>
      <c r="B59" s="113"/>
      <c r="C59" s="113"/>
      <c r="D59" s="155"/>
      <c r="E59" s="155"/>
      <c r="F59" s="155"/>
      <c r="G59" s="155"/>
      <c r="H59" s="85" t="s">
        <v>58</v>
      </c>
      <c r="I59" s="147"/>
      <c r="J59" s="84"/>
      <c r="K59" s="84"/>
      <c r="L59" s="86" t="b">
        <v>0</v>
      </c>
      <c r="M59" s="86" t="b">
        <v>0</v>
      </c>
      <c r="N59" s="83"/>
      <c r="O59" s="83"/>
      <c r="P59" s="87">
        <f t="shared" si="8"/>
        <v>0</v>
      </c>
      <c r="Q59" s="83"/>
      <c r="R59" s="84"/>
      <c r="S59" s="83"/>
      <c r="T59" s="83"/>
      <c r="U59" s="87">
        <f t="shared" si="9"/>
        <v>0</v>
      </c>
      <c r="V59" s="84"/>
      <c r="W59" s="84"/>
      <c r="X59" s="133"/>
      <c r="Y59" s="133"/>
      <c r="Z59" s="121"/>
      <c r="AA59" s="133"/>
      <c r="AB59" s="121"/>
      <c r="AC59" s="121"/>
      <c r="AD59" s="121"/>
      <c r="AE59" s="84"/>
      <c r="AF59" s="84"/>
      <c r="AG59" s="122"/>
      <c r="AH59" s="122"/>
      <c r="AI59" s="148"/>
    </row>
    <row r="60" spans="1:35" ht="15">
      <c r="A60" s="113"/>
      <c r="B60" s="113"/>
      <c r="C60" s="113"/>
      <c r="D60" s="157" t="s">
        <v>455</v>
      </c>
      <c r="E60" s="175" t="s">
        <v>459</v>
      </c>
      <c r="F60" s="156" t="s">
        <v>457</v>
      </c>
      <c r="G60" s="158"/>
      <c r="H60" s="5" t="s">
        <v>458</v>
      </c>
      <c r="I60" s="150"/>
      <c r="J60" s="9"/>
      <c r="K60" s="9"/>
      <c r="L60" s="11" t="b">
        <v>0</v>
      </c>
      <c r="M60" s="11" t="b">
        <v>0</v>
      </c>
      <c r="N60" s="7"/>
      <c r="O60" s="7"/>
      <c r="P60" s="8">
        <f t="shared" si="8"/>
        <v>0</v>
      </c>
      <c r="Q60" s="7"/>
      <c r="R60" s="9"/>
      <c r="S60" s="7"/>
      <c r="T60" s="7"/>
      <c r="U60" s="8">
        <f t="shared" si="9"/>
        <v>0</v>
      </c>
      <c r="V60" s="9"/>
      <c r="W60" s="9"/>
      <c r="X60" s="9"/>
      <c r="Y60" s="9"/>
      <c r="Z60" s="5"/>
      <c r="AA60" s="9"/>
      <c r="AB60" s="5"/>
      <c r="AC60" s="5"/>
      <c r="AD60" s="5"/>
      <c r="AE60" s="9"/>
      <c r="AF60" s="9"/>
      <c r="AG60" s="26"/>
      <c r="AH60" s="26"/>
      <c r="AI60" s="151"/>
    </row>
    <row r="61" spans="1:35" ht="12.75">
      <c r="A61" s="113"/>
      <c r="B61" s="113"/>
      <c r="C61" s="113"/>
      <c r="D61" s="155"/>
      <c r="E61" s="155"/>
      <c r="F61" s="155"/>
      <c r="G61" s="155"/>
      <c r="H61" s="5" t="s">
        <v>58</v>
      </c>
      <c r="I61" s="152"/>
      <c r="J61" s="9"/>
      <c r="K61" s="9"/>
      <c r="L61" s="11" t="b">
        <v>0</v>
      </c>
      <c r="M61" s="11" t="b">
        <v>0</v>
      </c>
      <c r="N61" s="7"/>
      <c r="O61" s="7"/>
      <c r="P61" s="8">
        <f t="shared" si="8"/>
        <v>0</v>
      </c>
      <c r="Q61" s="7"/>
      <c r="R61" s="9"/>
      <c r="S61" s="7"/>
      <c r="T61" s="7"/>
      <c r="U61" s="8">
        <f t="shared" si="9"/>
        <v>0</v>
      </c>
      <c r="V61" s="9"/>
      <c r="W61" s="9"/>
      <c r="X61" s="9"/>
      <c r="Y61" s="9"/>
      <c r="Z61" s="5"/>
      <c r="AA61" s="9"/>
      <c r="AB61" s="5"/>
      <c r="AC61" s="5"/>
      <c r="AD61" s="5"/>
      <c r="AE61" s="9"/>
      <c r="AF61" s="9"/>
      <c r="AG61" s="26"/>
      <c r="AH61" s="26"/>
      <c r="AI61" s="26"/>
    </row>
    <row r="62" spans="1:35" ht="15">
      <c r="A62" s="113"/>
      <c r="B62" s="113"/>
      <c r="C62" s="113"/>
      <c r="D62" s="176" t="s">
        <v>460</v>
      </c>
      <c r="E62" s="177" t="s">
        <v>461</v>
      </c>
      <c r="F62" s="176" t="s">
        <v>462</v>
      </c>
      <c r="G62" s="178"/>
      <c r="H62" s="85" t="s">
        <v>49</v>
      </c>
      <c r="I62" s="135"/>
      <c r="J62" s="84"/>
      <c r="K62" s="84"/>
      <c r="L62" s="86" t="b">
        <v>0</v>
      </c>
      <c r="M62" s="86" t="b">
        <v>0</v>
      </c>
      <c r="N62" s="83"/>
      <c r="O62" s="83"/>
      <c r="P62" s="87">
        <f t="shared" si="8"/>
        <v>0</v>
      </c>
      <c r="Q62" s="83"/>
      <c r="R62" s="84"/>
      <c r="S62" s="83"/>
      <c r="T62" s="83"/>
      <c r="U62" s="87">
        <f t="shared" si="9"/>
        <v>0</v>
      </c>
      <c r="V62" s="84"/>
      <c r="W62" s="84"/>
      <c r="X62" s="84"/>
      <c r="Y62" s="84"/>
      <c r="Z62" s="85"/>
      <c r="AA62" s="84"/>
      <c r="AB62" s="85"/>
      <c r="AC62" s="85"/>
      <c r="AD62" s="85"/>
      <c r="AE62" s="84"/>
      <c r="AF62" s="84"/>
      <c r="AG62" s="122"/>
      <c r="AH62" s="122"/>
      <c r="AI62" s="153"/>
    </row>
    <row r="63" spans="1:35" ht="15">
      <c r="A63" s="113"/>
      <c r="B63" s="113"/>
      <c r="C63" s="113"/>
      <c r="D63" s="155"/>
      <c r="E63" s="155"/>
      <c r="F63" s="155"/>
      <c r="G63" s="155"/>
      <c r="H63" s="85" t="s">
        <v>58</v>
      </c>
      <c r="I63" s="135"/>
      <c r="J63" s="84"/>
      <c r="K63" s="84"/>
      <c r="L63" s="86" t="b">
        <v>0</v>
      </c>
      <c r="M63" s="86" t="b">
        <v>0</v>
      </c>
      <c r="N63" s="83"/>
      <c r="O63" s="83"/>
      <c r="P63" s="87">
        <f t="shared" si="8"/>
        <v>0</v>
      </c>
      <c r="Q63" s="83"/>
      <c r="R63" s="84"/>
      <c r="S63" s="83"/>
      <c r="T63" s="83"/>
      <c r="U63" s="87">
        <f t="shared" si="9"/>
        <v>0</v>
      </c>
      <c r="V63" s="84"/>
      <c r="W63" s="84"/>
      <c r="X63" s="133"/>
      <c r="Y63" s="133"/>
      <c r="Z63" s="121"/>
      <c r="AA63" s="133"/>
      <c r="AB63" s="121"/>
      <c r="AC63" s="121"/>
      <c r="AD63" s="121"/>
      <c r="AE63" s="84"/>
      <c r="AF63" s="84"/>
      <c r="AG63" s="122"/>
      <c r="AH63" s="122"/>
      <c r="AI63" s="153"/>
    </row>
    <row r="64" spans="1:35" ht="15">
      <c r="A64" s="113"/>
      <c r="B64" s="113"/>
      <c r="C64" s="113"/>
      <c r="D64" s="157" t="s">
        <v>453</v>
      </c>
      <c r="E64" s="157" t="s">
        <v>463</v>
      </c>
      <c r="F64" s="157" t="s">
        <v>464</v>
      </c>
      <c r="G64" s="158"/>
      <c r="H64" s="5" t="s">
        <v>465</v>
      </c>
      <c r="I64" s="22"/>
      <c r="J64" s="9"/>
      <c r="K64" s="9"/>
      <c r="L64" s="11" t="b">
        <v>0</v>
      </c>
      <c r="M64" s="11" t="b">
        <v>0</v>
      </c>
      <c r="N64" s="7"/>
      <c r="O64" s="7"/>
      <c r="P64" s="8">
        <f t="shared" si="8"/>
        <v>0</v>
      </c>
      <c r="Q64" s="7"/>
      <c r="R64" s="9"/>
      <c r="S64" s="7"/>
      <c r="T64" s="7"/>
      <c r="U64" s="8">
        <f t="shared" si="9"/>
        <v>0</v>
      </c>
      <c r="V64" s="9"/>
      <c r="W64" s="9"/>
      <c r="X64" s="18"/>
      <c r="Y64" s="18"/>
      <c r="Z64" s="19"/>
      <c r="AA64" s="18"/>
      <c r="AB64" s="19"/>
      <c r="AC64" s="19"/>
      <c r="AD64" s="19"/>
      <c r="AE64" s="9"/>
      <c r="AF64" s="9"/>
      <c r="AG64" s="26"/>
      <c r="AH64" s="26"/>
      <c r="AI64" s="151"/>
    </row>
    <row r="65" spans="1:35" ht="15">
      <c r="A65" s="113"/>
      <c r="B65" s="113"/>
      <c r="C65" s="113"/>
      <c r="D65" s="155"/>
      <c r="E65" s="155"/>
      <c r="F65" s="155"/>
      <c r="G65" s="155"/>
      <c r="H65" s="5" t="s">
        <v>58</v>
      </c>
      <c r="I65" s="22"/>
      <c r="J65" s="9"/>
      <c r="K65" s="9"/>
      <c r="L65" s="11" t="b">
        <v>0</v>
      </c>
      <c r="M65" s="11" t="b">
        <v>0</v>
      </c>
      <c r="N65" s="7"/>
      <c r="O65" s="7"/>
      <c r="P65" s="8">
        <f t="shared" si="8"/>
        <v>0</v>
      </c>
      <c r="Q65" s="7"/>
      <c r="R65" s="9"/>
      <c r="S65" s="7"/>
      <c r="T65" s="7"/>
      <c r="U65" s="8">
        <f t="shared" si="9"/>
        <v>0</v>
      </c>
      <c r="V65" s="9"/>
      <c r="W65" s="9"/>
      <c r="X65" s="18"/>
      <c r="Y65" s="18"/>
      <c r="Z65" s="19"/>
      <c r="AA65" s="18"/>
      <c r="AB65" s="19"/>
      <c r="AC65" s="19"/>
      <c r="AD65" s="19"/>
      <c r="AE65" s="9"/>
      <c r="AF65" s="9"/>
      <c r="AG65" s="26"/>
      <c r="AH65" s="26"/>
      <c r="AI65" s="151"/>
    </row>
    <row r="66" spans="1:35" ht="5.25" customHeight="1">
      <c r="A66" s="114"/>
      <c r="B66" s="114"/>
      <c r="C66" s="114"/>
      <c r="D66" s="115"/>
      <c r="E66" s="115"/>
      <c r="F66" s="115"/>
      <c r="G66" s="116"/>
      <c r="H66" s="115"/>
      <c r="I66" s="117"/>
      <c r="J66" s="116"/>
      <c r="K66" s="116"/>
      <c r="L66" s="116"/>
      <c r="M66" s="116"/>
      <c r="N66" s="118"/>
      <c r="O66" s="118"/>
      <c r="P66" s="119"/>
      <c r="Q66" s="118"/>
      <c r="R66" s="116"/>
      <c r="S66" s="118"/>
      <c r="T66" s="118"/>
      <c r="U66" s="119"/>
      <c r="V66" s="116"/>
      <c r="W66" s="116"/>
      <c r="X66" s="116"/>
      <c r="Y66" s="116"/>
      <c r="Z66" s="115"/>
      <c r="AA66" s="116"/>
      <c r="AB66" s="115"/>
      <c r="AC66" s="115"/>
      <c r="AD66" s="115"/>
      <c r="AE66" s="116"/>
      <c r="AF66" s="116"/>
      <c r="AG66" s="116"/>
      <c r="AH66" s="116"/>
      <c r="AI66" s="116"/>
    </row>
    <row r="67" spans="1:35" ht="12.75">
      <c r="A67" s="162" t="s">
        <v>92</v>
      </c>
      <c r="B67" s="162" t="s">
        <v>45</v>
      </c>
      <c r="C67" s="162" t="s">
        <v>93</v>
      </c>
      <c r="D67" s="162" t="s">
        <v>453</v>
      </c>
      <c r="E67" s="160" t="s">
        <v>47</v>
      </c>
      <c r="F67" s="162" t="s">
        <v>454</v>
      </c>
      <c r="G67" s="164"/>
      <c r="H67" s="77" t="s">
        <v>49</v>
      </c>
      <c r="I67" s="108"/>
      <c r="J67" s="78"/>
      <c r="K67" s="78"/>
      <c r="L67" s="79" t="b">
        <v>0</v>
      </c>
      <c r="M67" s="79" t="b">
        <v>0</v>
      </c>
      <c r="N67" s="81"/>
      <c r="O67" s="81"/>
      <c r="P67" s="80">
        <f t="shared" ref="P67:P78" si="10">N67+O67</f>
        <v>0</v>
      </c>
      <c r="Q67" s="81"/>
      <c r="R67" s="78"/>
      <c r="S67" s="81"/>
      <c r="T67" s="81"/>
      <c r="U67" s="80">
        <f t="shared" ref="U67:U78" si="11">S67+T67</f>
        <v>0</v>
      </c>
      <c r="V67" s="78"/>
      <c r="W67" s="78"/>
      <c r="X67" s="78"/>
      <c r="Y67" s="78"/>
      <c r="Z67" s="77"/>
      <c r="AA67" s="78"/>
      <c r="AB67" s="77"/>
      <c r="AC67" s="77"/>
      <c r="AD67" s="77"/>
      <c r="AE67" s="78"/>
      <c r="AF67" s="78"/>
      <c r="AG67" s="109"/>
      <c r="AH67" s="109"/>
      <c r="AI67" s="78"/>
    </row>
    <row r="68" spans="1:35" ht="12.75">
      <c r="A68" s="155"/>
      <c r="B68" s="155"/>
      <c r="C68" s="155"/>
      <c r="D68" s="155"/>
      <c r="E68" s="155"/>
      <c r="F68" s="155"/>
      <c r="G68" s="155"/>
      <c r="H68" s="85" t="s">
        <v>58</v>
      </c>
      <c r="I68" s="112"/>
      <c r="J68" s="84"/>
      <c r="K68" s="84"/>
      <c r="L68" s="86" t="b">
        <v>0</v>
      </c>
      <c r="M68" s="86" t="b">
        <v>0</v>
      </c>
      <c r="N68" s="83"/>
      <c r="O68" s="83"/>
      <c r="P68" s="87">
        <f t="shared" si="10"/>
        <v>0</v>
      </c>
      <c r="Q68" s="83"/>
      <c r="R68" s="84"/>
      <c r="S68" s="83"/>
      <c r="T68" s="83"/>
      <c r="U68" s="87">
        <f t="shared" si="11"/>
        <v>0</v>
      </c>
      <c r="V68" s="84"/>
      <c r="W68" s="84"/>
      <c r="X68" s="84"/>
      <c r="Y68" s="84"/>
      <c r="Z68" s="85"/>
      <c r="AA68" s="84"/>
      <c r="AB68" s="85"/>
      <c r="AC68" s="85"/>
      <c r="AD68" s="85"/>
      <c r="AE68" s="84"/>
      <c r="AF68" s="84"/>
      <c r="AG68" s="110"/>
      <c r="AH68" s="110"/>
      <c r="AI68" s="84"/>
    </row>
    <row r="69" spans="1:35" ht="12.75">
      <c r="A69" s="155"/>
      <c r="B69" s="155"/>
      <c r="C69" s="155"/>
      <c r="D69" s="157" t="s">
        <v>453</v>
      </c>
      <c r="E69" s="157" t="s">
        <v>59</v>
      </c>
      <c r="F69" s="157" t="s">
        <v>454</v>
      </c>
      <c r="G69" s="158"/>
      <c r="H69" s="5" t="s">
        <v>49</v>
      </c>
      <c r="I69" s="17"/>
      <c r="J69" s="9"/>
      <c r="K69" s="9"/>
      <c r="L69" s="11" t="b">
        <v>0</v>
      </c>
      <c r="M69" s="11" t="b">
        <v>0</v>
      </c>
      <c r="N69" s="7"/>
      <c r="O69" s="7"/>
      <c r="P69" s="8">
        <f t="shared" si="10"/>
        <v>0</v>
      </c>
      <c r="Q69" s="7"/>
      <c r="R69" s="9"/>
      <c r="S69" s="7"/>
      <c r="T69" s="7"/>
      <c r="U69" s="8">
        <f t="shared" si="11"/>
        <v>0</v>
      </c>
      <c r="V69" s="9"/>
      <c r="W69" s="9"/>
      <c r="X69" s="18"/>
      <c r="Y69" s="18"/>
      <c r="Z69" s="19"/>
      <c r="AA69" s="18"/>
      <c r="AB69" s="19"/>
      <c r="AC69" s="19"/>
      <c r="AD69" s="19"/>
      <c r="AE69" s="9"/>
      <c r="AF69" s="9"/>
      <c r="AG69" s="26"/>
      <c r="AH69" s="26"/>
      <c r="AI69" s="89"/>
    </row>
    <row r="70" spans="1:35" ht="12.75">
      <c r="A70" s="155"/>
      <c r="B70" s="155"/>
      <c r="C70" s="155"/>
      <c r="D70" s="155"/>
      <c r="E70" s="155"/>
      <c r="F70" s="155"/>
      <c r="G70" s="155"/>
      <c r="H70" s="5" t="s">
        <v>58</v>
      </c>
      <c r="I70" s="22"/>
      <c r="J70" s="9"/>
      <c r="K70" s="9"/>
      <c r="L70" s="11" t="b">
        <v>0</v>
      </c>
      <c r="M70" s="11" t="b">
        <v>0</v>
      </c>
      <c r="N70" s="7"/>
      <c r="O70" s="7"/>
      <c r="P70" s="8">
        <f t="shared" si="10"/>
        <v>0</v>
      </c>
      <c r="Q70" s="7"/>
      <c r="R70" s="9"/>
      <c r="S70" s="7"/>
      <c r="T70" s="7"/>
      <c r="U70" s="8">
        <f t="shared" si="11"/>
        <v>0</v>
      </c>
      <c r="V70" s="9"/>
      <c r="W70" s="9"/>
      <c r="X70" s="18"/>
      <c r="Y70" s="18"/>
      <c r="Z70" s="19"/>
      <c r="AA70" s="18"/>
      <c r="AB70" s="19"/>
      <c r="AC70" s="19"/>
      <c r="AD70" s="19"/>
      <c r="AE70" s="9"/>
      <c r="AF70" s="9"/>
      <c r="AG70" s="26"/>
      <c r="AH70" s="26"/>
      <c r="AI70" s="9"/>
    </row>
    <row r="71" spans="1:35" ht="15">
      <c r="A71" s="113"/>
      <c r="B71" s="113"/>
      <c r="C71" s="113"/>
      <c r="D71" s="159" t="s">
        <v>455</v>
      </c>
      <c r="E71" s="159" t="s">
        <v>456</v>
      </c>
      <c r="F71" s="163" t="s">
        <v>457</v>
      </c>
      <c r="G71" s="165"/>
      <c r="H71" s="91" t="s">
        <v>458</v>
      </c>
      <c r="I71" s="92"/>
      <c r="J71" s="93"/>
      <c r="K71" s="93"/>
      <c r="L71" s="94" t="b">
        <v>0</v>
      </c>
      <c r="M71" s="94" t="b">
        <v>0</v>
      </c>
      <c r="N71" s="95"/>
      <c r="O71" s="95"/>
      <c r="P71" s="96">
        <f t="shared" si="10"/>
        <v>0</v>
      </c>
      <c r="Q71" s="95"/>
      <c r="R71" s="93"/>
      <c r="S71" s="95"/>
      <c r="T71" s="95"/>
      <c r="U71" s="96">
        <f t="shared" si="11"/>
        <v>0</v>
      </c>
      <c r="V71" s="93"/>
      <c r="W71" s="93"/>
      <c r="X71" s="97"/>
      <c r="Y71" s="97"/>
      <c r="Z71" s="98"/>
      <c r="AA71" s="97"/>
      <c r="AB71" s="98"/>
      <c r="AC71" s="98"/>
      <c r="AD71" s="98"/>
      <c r="AE71" s="93"/>
      <c r="AF71" s="93"/>
      <c r="AG71" s="99"/>
      <c r="AH71" s="99"/>
      <c r="AI71" s="93"/>
    </row>
    <row r="72" spans="1:35" ht="15">
      <c r="A72" s="113"/>
      <c r="B72" s="113"/>
      <c r="C72" s="113"/>
      <c r="D72" s="155"/>
      <c r="E72" s="155"/>
      <c r="F72" s="155"/>
      <c r="G72" s="155"/>
      <c r="H72" s="91" t="s">
        <v>58</v>
      </c>
      <c r="I72" s="92"/>
      <c r="J72" s="93"/>
      <c r="K72" s="93"/>
      <c r="L72" s="94" t="b">
        <v>0</v>
      </c>
      <c r="M72" s="94" t="b">
        <v>0</v>
      </c>
      <c r="N72" s="95"/>
      <c r="O72" s="95"/>
      <c r="P72" s="96">
        <f t="shared" si="10"/>
        <v>0</v>
      </c>
      <c r="Q72" s="95"/>
      <c r="R72" s="93"/>
      <c r="S72" s="95"/>
      <c r="T72" s="95"/>
      <c r="U72" s="96">
        <f t="shared" si="11"/>
        <v>0</v>
      </c>
      <c r="V72" s="93"/>
      <c r="W72" s="93"/>
      <c r="X72" s="97"/>
      <c r="Y72" s="97"/>
      <c r="Z72" s="98"/>
      <c r="AA72" s="97"/>
      <c r="AB72" s="98"/>
      <c r="AC72" s="98"/>
      <c r="AD72" s="98"/>
      <c r="AE72" s="93"/>
      <c r="AF72" s="93"/>
      <c r="AG72" s="99"/>
      <c r="AH72" s="99"/>
      <c r="AI72" s="100"/>
    </row>
    <row r="73" spans="1:35" ht="15">
      <c r="A73" s="113"/>
      <c r="B73" s="113"/>
      <c r="C73" s="113"/>
      <c r="D73" s="159" t="s">
        <v>455</v>
      </c>
      <c r="E73" s="166" t="s">
        <v>459</v>
      </c>
      <c r="F73" s="163" t="s">
        <v>457</v>
      </c>
      <c r="G73" s="165"/>
      <c r="H73" s="91" t="s">
        <v>458</v>
      </c>
      <c r="I73" s="92"/>
      <c r="J73" s="93"/>
      <c r="K73" s="93"/>
      <c r="L73" s="94" t="b">
        <v>0</v>
      </c>
      <c r="M73" s="94" t="b">
        <v>0</v>
      </c>
      <c r="N73" s="95"/>
      <c r="O73" s="95"/>
      <c r="P73" s="96">
        <f t="shared" si="10"/>
        <v>0</v>
      </c>
      <c r="Q73" s="95"/>
      <c r="R73" s="93"/>
      <c r="S73" s="95"/>
      <c r="T73" s="95"/>
      <c r="U73" s="96">
        <f t="shared" si="11"/>
        <v>0</v>
      </c>
      <c r="V73" s="93"/>
      <c r="W73" s="93"/>
      <c r="X73" s="93"/>
      <c r="Y73" s="93"/>
      <c r="Z73" s="91"/>
      <c r="AA73" s="93"/>
      <c r="AB73" s="91"/>
      <c r="AC73" s="91"/>
      <c r="AD73" s="91"/>
      <c r="AE73" s="93"/>
      <c r="AF73" s="93"/>
      <c r="AG73" s="99"/>
      <c r="AH73" s="99"/>
      <c r="AI73" s="101"/>
    </row>
    <row r="74" spans="1:35" ht="12.75">
      <c r="A74" s="113"/>
      <c r="B74" s="113"/>
      <c r="C74" s="113"/>
      <c r="D74" s="155"/>
      <c r="E74" s="155"/>
      <c r="F74" s="155"/>
      <c r="G74" s="155"/>
      <c r="H74" s="91" t="s">
        <v>58</v>
      </c>
      <c r="I74" s="102"/>
      <c r="J74" s="93"/>
      <c r="K74" s="93"/>
      <c r="L74" s="94" t="b">
        <v>0</v>
      </c>
      <c r="M74" s="94" t="b">
        <v>0</v>
      </c>
      <c r="N74" s="95"/>
      <c r="O74" s="95"/>
      <c r="P74" s="96">
        <f t="shared" si="10"/>
        <v>0</v>
      </c>
      <c r="Q74" s="95"/>
      <c r="R74" s="93"/>
      <c r="S74" s="95"/>
      <c r="T74" s="95"/>
      <c r="U74" s="96">
        <f t="shared" si="11"/>
        <v>0</v>
      </c>
      <c r="V74" s="93"/>
      <c r="W74" s="93"/>
      <c r="X74" s="93"/>
      <c r="Y74" s="93"/>
      <c r="Z74" s="91"/>
      <c r="AA74" s="93"/>
      <c r="AB74" s="91"/>
      <c r="AC74" s="91"/>
      <c r="AD74" s="91"/>
      <c r="AE74" s="93"/>
      <c r="AF74" s="93"/>
      <c r="AG74" s="99"/>
      <c r="AH74" s="99"/>
      <c r="AI74" s="99"/>
    </row>
    <row r="75" spans="1:35" ht="15">
      <c r="A75" s="113"/>
      <c r="B75" s="113"/>
      <c r="C75" s="113"/>
      <c r="D75" s="159" t="s">
        <v>460</v>
      </c>
      <c r="E75" s="163" t="s">
        <v>461</v>
      </c>
      <c r="F75" s="159" t="s">
        <v>462</v>
      </c>
      <c r="G75" s="165"/>
      <c r="H75" s="91" t="s">
        <v>49</v>
      </c>
      <c r="I75" s="103"/>
      <c r="J75" s="93"/>
      <c r="K75" s="93"/>
      <c r="L75" s="94" t="b">
        <v>0</v>
      </c>
      <c r="M75" s="94" t="b">
        <v>0</v>
      </c>
      <c r="N75" s="95"/>
      <c r="O75" s="95"/>
      <c r="P75" s="96">
        <f t="shared" si="10"/>
        <v>0</v>
      </c>
      <c r="Q75" s="95"/>
      <c r="R75" s="93"/>
      <c r="S75" s="95"/>
      <c r="T75" s="95"/>
      <c r="U75" s="96">
        <f t="shared" si="11"/>
        <v>0</v>
      </c>
      <c r="V75" s="93"/>
      <c r="W75" s="93"/>
      <c r="X75" s="93"/>
      <c r="Y75" s="93"/>
      <c r="Z75" s="91"/>
      <c r="AA75" s="93"/>
      <c r="AB75" s="91"/>
      <c r="AC75" s="91"/>
      <c r="AD75" s="91"/>
      <c r="AE75" s="93"/>
      <c r="AF75" s="93"/>
      <c r="AG75" s="99"/>
      <c r="AH75" s="99"/>
      <c r="AI75" s="101"/>
    </row>
    <row r="76" spans="1:35" ht="15">
      <c r="A76" s="113"/>
      <c r="B76" s="113"/>
      <c r="C76" s="113"/>
      <c r="D76" s="155"/>
      <c r="E76" s="155"/>
      <c r="F76" s="155"/>
      <c r="G76" s="155"/>
      <c r="H76" s="91" t="s">
        <v>58</v>
      </c>
      <c r="I76" s="103"/>
      <c r="J76" s="93"/>
      <c r="K76" s="93"/>
      <c r="L76" s="94" t="b">
        <v>0</v>
      </c>
      <c r="M76" s="94" t="b">
        <v>0</v>
      </c>
      <c r="N76" s="95"/>
      <c r="O76" s="95"/>
      <c r="P76" s="96">
        <f t="shared" si="10"/>
        <v>0</v>
      </c>
      <c r="Q76" s="95"/>
      <c r="R76" s="93"/>
      <c r="S76" s="95"/>
      <c r="T76" s="95"/>
      <c r="U76" s="96">
        <f t="shared" si="11"/>
        <v>0</v>
      </c>
      <c r="V76" s="93"/>
      <c r="W76" s="93"/>
      <c r="X76" s="97"/>
      <c r="Y76" s="97"/>
      <c r="Z76" s="98"/>
      <c r="AA76" s="97"/>
      <c r="AB76" s="98"/>
      <c r="AC76" s="98"/>
      <c r="AD76" s="98"/>
      <c r="AE76" s="93"/>
      <c r="AF76" s="93"/>
      <c r="AG76" s="99"/>
      <c r="AH76" s="99"/>
      <c r="AI76" s="101"/>
    </row>
    <row r="77" spans="1:35" ht="15">
      <c r="A77" s="113"/>
      <c r="B77" s="113"/>
      <c r="C77" s="113"/>
      <c r="D77" s="159" t="s">
        <v>453</v>
      </c>
      <c r="E77" s="159" t="s">
        <v>463</v>
      </c>
      <c r="F77" s="159" t="s">
        <v>464</v>
      </c>
      <c r="G77" s="165"/>
      <c r="H77" s="91" t="s">
        <v>465</v>
      </c>
      <c r="I77" s="103"/>
      <c r="J77" s="93"/>
      <c r="K77" s="93"/>
      <c r="L77" s="94" t="b">
        <v>0</v>
      </c>
      <c r="M77" s="94" t="b">
        <v>0</v>
      </c>
      <c r="N77" s="95"/>
      <c r="O77" s="95"/>
      <c r="P77" s="96">
        <f t="shared" si="10"/>
        <v>0</v>
      </c>
      <c r="Q77" s="95"/>
      <c r="R77" s="93"/>
      <c r="S77" s="95"/>
      <c r="T77" s="95"/>
      <c r="U77" s="96">
        <f t="shared" si="11"/>
        <v>0</v>
      </c>
      <c r="V77" s="93"/>
      <c r="W77" s="93"/>
      <c r="X77" s="97"/>
      <c r="Y77" s="97"/>
      <c r="Z77" s="98"/>
      <c r="AA77" s="97"/>
      <c r="AB77" s="98"/>
      <c r="AC77" s="98"/>
      <c r="AD77" s="98"/>
      <c r="AE77" s="93"/>
      <c r="AF77" s="93"/>
      <c r="AG77" s="99"/>
      <c r="AH77" s="99"/>
      <c r="AI77" s="101"/>
    </row>
    <row r="78" spans="1:35" ht="15">
      <c r="A78" s="113"/>
      <c r="B78" s="113"/>
      <c r="C78" s="113"/>
      <c r="D78" s="155"/>
      <c r="E78" s="155"/>
      <c r="F78" s="155"/>
      <c r="G78" s="155"/>
      <c r="H78" s="91" t="s">
        <v>58</v>
      </c>
      <c r="I78" s="103"/>
      <c r="J78" s="93"/>
      <c r="K78" s="93"/>
      <c r="L78" s="94" t="b">
        <v>0</v>
      </c>
      <c r="M78" s="94" t="b">
        <v>0</v>
      </c>
      <c r="N78" s="95"/>
      <c r="O78" s="95"/>
      <c r="P78" s="96">
        <f t="shared" si="10"/>
        <v>0</v>
      </c>
      <c r="Q78" s="95"/>
      <c r="R78" s="93"/>
      <c r="S78" s="95"/>
      <c r="T78" s="95"/>
      <c r="U78" s="96">
        <f t="shared" si="11"/>
        <v>0</v>
      </c>
      <c r="V78" s="93"/>
      <c r="W78" s="93"/>
      <c r="X78" s="97"/>
      <c r="Y78" s="97"/>
      <c r="Z78" s="98"/>
      <c r="AA78" s="97"/>
      <c r="AB78" s="98"/>
      <c r="AC78" s="98"/>
      <c r="AD78" s="98"/>
      <c r="AE78" s="93"/>
      <c r="AF78" s="93"/>
      <c r="AG78" s="99"/>
      <c r="AH78" s="99"/>
      <c r="AI78" s="101"/>
    </row>
    <row r="79" spans="1:35" ht="12.75">
      <c r="A79" s="114"/>
      <c r="B79" s="114"/>
      <c r="C79" s="114"/>
      <c r="D79" s="115"/>
      <c r="E79" s="115"/>
      <c r="F79" s="115"/>
      <c r="G79" s="116"/>
      <c r="H79" s="115"/>
      <c r="I79" s="117"/>
      <c r="J79" s="116"/>
      <c r="K79" s="116"/>
      <c r="L79" s="116"/>
      <c r="M79" s="116"/>
      <c r="N79" s="118"/>
      <c r="O79" s="118"/>
      <c r="P79" s="119"/>
      <c r="Q79" s="118"/>
      <c r="R79" s="116"/>
      <c r="S79" s="118"/>
      <c r="T79" s="118"/>
      <c r="U79" s="119"/>
      <c r="V79" s="116"/>
      <c r="W79" s="116"/>
      <c r="X79" s="116"/>
      <c r="Y79" s="116"/>
      <c r="Z79" s="115"/>
      <c r="AA79" s="116"/>
      <c r="AB79" s="115"/>
      <c r="AC79" s="115"/>
      <c r="AD79" s="115"/>
      <c r="AE79" s="116"/>
      <c r="AF79" s="116"/>
      <c r="AG79" s="116"/>
      <c r="AH79" s="116"/>
      <c r="AI79" s="116"/>
    </row>
    <row r="80" spans="1:35" ht="12.75">
      <c r="A80" s="162" t="s">
        <v>105</v>
      </c>
      <c r="B80" s="162" t="s">
        <v>45</v>
      </c>
      <c r="C80" s="162" t="s">
        <v>106</v>
      </c>
      <c r="D80" s="162" t="s">
        <v>453</v>
      </c>
      <c r="E80" s="160" t="s">
        <v>47</v>
      </c>
      <c r="F80" s="162" t="s">
        <v>454</v>
      </c>
      <c r="G80" s="164"/>
      <c r="H80" s="77" t="s">
        <v>49</v>
      </c>
      <c r="I80" s="108"/>
      <c r="J80" s="78"/>
      <c r="K80" s="78"/>
      <c r="L80" s="79" t="b">
        <v>0</v>
      </c>
      <c r="M80" s="79" t="b">
        <v>0</v>
      </c>
      <c r="N80" s="81"/>
      <c r="O80" s="81"/>
      <c r="P80" s="80">
        <f t="shared" ref="P80:P91" si="12">N80+O80</f>
        <v>0</v>
      </c>
      <c r="Q80" s="81"/>
      <c r="R80" s="78"/>
      <c r="S80" s="81"/>
      <c r="T80" s="81"/>
      <c r="U80" s="80">
        <f t="shared" ref="U80:U91" si="13">S80+T80</f>
        <v>0</v>
      </c>
      <c r="V80" s="78"/>
      <c r="W80" s="78"/>
      <c r="X80" s="78"/>
      <c r="Y80" s="78"/>
      <c r="Z80" s="77"/>
      <c r="AA80" s="78"/>
      <c r="AB80" s="77"/>
      <c r="AC80" s="77"/>
      <c r="AD80" s="77"/>
      <c r="AE80" s="78"/>
      <c r="AF80" s="78"/>
      <c r="AG80" s="109"/>
      <c r="AH80" s="120"/>
      <c r="AI80" s="78" t="s">
        <v>475</v>
      </c>
    </row>
    <row r="81" spans="1:35" ht="12.75">
      <c r="A81" s="155"/>
      <c r="B81" s="155"/>
      <c r="C81" s="155"/>
      <c r="D81" s="155"/>
      <c r="E81" s="155"/>
      <c r="F81" s="155"/>
      <c r="G81" s="155"/>
      <c r="H81" s="85" t="s">
        <v>58</v>
      </c>
      <c r="I81" s="112"/>
      <c r="J81" s="84"/>
      <c r="K81" s="84"/>
      <c r="L81" s="86" t="b">
        <v>0</v>
      </c>
      <c r="M81" s="86" t="b">
        <v>0</v>
      </c>
      <c r="N81" s="83"/>
      <c r="O81" s="83"/>
      <c r="P81" s="87">
        <f t="shared" si="12"/>
        <v>0</v>
      </c>
      <c r="Q81" s="83"/>
      <c r="R81" s="84"/>
      <c r="S81" s="83"/>
      <c r="T81" s="83"/>
      <c r="U81" s="87">
        <f t="shared" si="13"/>
        <v>0</v>
      </c>
      <c r="V81" s="84"/>
      <c r="W81" s="84"/>
      <c r="X81" s="84"/>
      <c r="Y81" s="84"/>
      <c r="Z81" s="85"/>
      <c r="AA81" s="84"/>
      <c r="AB81" s="85"/>
      <c r="AC81" s="85"/>
      <c r="AD81" s="85"/>
      <c r="AE81" s="84"/>
      <c r="AF81" s="84"/>
      <c r="AG81" s="110"/>
      <c r="AH81" s="110"/>
      <c r="AI81" s="78" t="s">
        <v>475</v>
      </c>
    </row>
    <row r="82" spans="1:35" ht="12.75">
      <c r="A82" s="155"/>
      <c r="B82" s="155"/>
      <c r="C82" s="155"/>
      <c r="D82" s="157" t="s">
        <v>453</v>
      </c>
      <c r="E82" s="157" t="s">
        <v>59</v>
      </c>
      <c r="F82" s="157" t="s">
        <v>454</v>
      </c>
      <c r="G82" s="158"/>
      <c r="H82" s="5" t="s">
        <v>49</v>
      </c>
      <c r="I82" s="17"/>
      <c r="J82" s="9"/>
      <c r="K82" s="9"/>
      <c r="L82" s="11" t="b">
        <v>0</v>
      </c>
      <c r="M82" s="11" t="b">
        <v>0</v>
      </c>
      <c r="N82" s="7"/>
      <c r="O82" s="7"/>
      <c r="P82" s="8">
        <f t="shared" si="12"/>
        <v>0</v>
      </c>
      <c r="Q82" s="7"/>
      <c r="R82" s="9"/>
      <c r="S82" s="7"/>
      <c r="T82" s="7"/>
      <c r="U82" s="8">
        <f t="shared" si="13"/>
        <v>0</v>
      </c>
      <c r="V82" s="9"/>
      <c r="W82" s="9"/>
      <c r="X82" s="18"/>
      <c r="Y82" s="18"/>
      <c r="Z82" s="19"/>
      <c r="AA82" s="18"/>
      <c r="AB82" s="19"/>
      <c r="AC82" s="19"/>
      <c r="AD82" s="19"/>
      <c r="AE82" s="9"/>
      <c r="AF82" s="9"/>
      <c r="AG82" s="26"/>
      <c r="AH82" s="26"/>
      <c r="AI82" s="89"/>
    </row>
    <row r="83" spans="1:35" ht="12.75">
      <c r="A83" s="155"/>
      <c r="B83" s="155"/>
      <c r="C83" s="155"/>
      <c r="D83" s="155"/>
      <c r="E83" s="155"/>
      <c r="F83" s="155"/>
      <c r="G83" s="155"/>
      <c r="H83" s="5" t="s">
        <v>58</v>
      </c>
      <c r="I83" s="22"/>
      <c r="J83" s="9"/>
      <c r="K83" s="9"/>
      <c r="L83" s="11" t="b">
        <v>0</v>
      </c>
      <c r="M83" s="11" t="b">
        <v>0</v>
      </c>
      <c r="N83" s="7"/>
      <c r="O83" s="7"/>
      <c r="P83" s="8">
        <f t="shared" si="12"/>
        <v>0</v>
      </c>
      <c r="Q83" s="7"/>
      <c r="R83" s="9"/>
      <c r="S83" s="7"/>
      <c r="T83" s="7"/>
      <c r="U83" s="8">
        <f t="shared" si="13"/>
        <v>0</v>
      </c>
      <c r="V83" s="9"/>
      <c r="W83" s="9"/>
      <c r="X83" s="18"/>
      <c r="Y83" s="18"/>
      <c r="Z83" s="19"/>
      <c r="AA83" s="18"/>
      <c r="AB83" s="19"/>
      <c r="AC83" s="19"/>
      <c r="AD83" s="19"/>
      <c r="AE83" s="9"/>
      <c r="AF83" s="9"/>
      <c r="AG83" s="26"/>
      <c r="AH83" s="26"/>
      <c r="AI83" s="9"/>
    </row>
    <row r="84" spans="1:35" ht="15">
      <c r="A84" s="113"/>
      <c r="B84" s="113"/>
      <c r="C84" s="113"/>
      <c r="D84" s="159" t="s">
        <v>455</v>
      </c>
      <c r="E84" s="159" t="s">
        <v>456</v>
      </c>
      <c r="F84" s="163" t="s">
        <v>457</v>
      </c>
      <c r="G84" s="165"/>
      <c r="H84" s="91" t="s">
        <v>458</v>
      </c>
      <c r="I84" s="92"/>
      <c r="J84" s="93"/>
      <c r="K84" s="93"/>
      <c r="L84" s="94" t="b">
        <v>0</v>
      </c>
      <c r="M84" s="94" t="b">
        <v>0</v>
      </c>
      <c r="N84" s="95"/>
      <c r="O84" s="95"/>
      <c r="P84" s="96">
        <f t="shared" si="12"/>
        <v>0</v>
      </c>
      <c r="Q84" s="95"/>
      <c r="R84" s="93"/>
      <c r="S84" s="95"/>
      <c r="T84" s="95"/>
      <c r="U84" s="96">
        <f t="shared" si="13"/>
        <v>0</v>
      </c>
      <c r="V84" s="93"/>
      <c r="W84" s="93"/>
      <c r="X84" s="97"/>
      <c r="Y84" s="97"/>
      <c r="Z84" s="98"/>
      <c r="AA84" s="97"/>
      <c r="AB84" s="98"/>
      <c r="AC84" s="98"/>
      <c r="AD84" s="98"/>
      <c r="AE84" s="93"/>
      <c r="AF84" s="93"/>
      <c r="AG84" s="99"/>
      <c r="AH84" s="99"/>
      <c r="AI84" s="93"/>
    </row>
    <row r="85" spans="1:35" ht="15">
      <c r="A85" s="113"/>
      <c r="B85" s="113"/>
      <c r="C85" s="113"/>
      <c r="D85" s="155"/>
      <c r="E85" s="155"/>
      <c r="F85" s="155"/>
      <c r="G85" s="155"/>
      <c r="H85" s="91" t="s">
        <v>58</v>
      </c>
      <c r="I85" s="92"/>
      <c r="J85" s="93"/>
      <c r="K85" s="93"/>
      <c r="L85" s="94" t="b">
        <v>0</v>
      </c>
      <c r="M85" s="94" t="b">
        <v>0</v>
      </c>
      <c r="N85" s="95"/>
      <c r="O85" s="95"/>
      <c r="P85" s="96">
        <f t="shared" si="12"/>
        <v>0</v>
      </c>
      <c r="Q85" s="95"/>
      <c r="R85" s="93"/>
      <c r="S85" s="95"/>
      <c r="T85" s="95"/>
      <c r="U85" s="96">
        <f t="shared" si="13"/>
        <v>0</v>
      </c>
      <c r="V85" s="93"/>
      <c r="W85" s="93"/>
      <c r="X85" s="97"/>
      <c r="Y85" s="97"/>
      <c r="Z85" s="98"/>
      <c r="AA85" s="97"/>
      <c r="AB85" s="98"/>
      <c r="AC85" s="98"/>
      <c r="AD85" s="98"/>
      <c r="AE85" s="93"/>
      <c r="AF85" s="93"/>
      <c r="AG85" s="99"/>
      <c r="AH85" s="99"/>
      <c r="AI85" s="100"/>
    </row>
    <row r="86" spans="1:35" ht="15">
      <c r="A86" s="113"/>
      <c r="B86" s="113"/>
      <c r="C86" s="113"/>
      <c r="D86" s="159" t="s">
        <v>455</v>
      </c>
      <c r="E86" s="166" t="s">
        <v>459</v>
      </c>
      <c r="F86" s="163" t="s">
        <v>457</v>
      </c>
      <c r="G86" s="165"/>
      <c r="H86" s="91" t="s">
        <v>458</v>
      </c>
      <c r="I86" s="92"/>
      <c r="J86" s="93"/>
      <c r="K86" s="93"/>
      <c r="L86" s="94" t="b">
        <v>0</v>
      </c>
      <c r="M86" s="94" t="b">
        <v>0</v>
      </c>
      <c r="N86" s="95"/>
      <c r="O86" s="95"/>
      <c r="P86" s="96">
        <f t="shared" si="12"/>
        <v>0</v>
      </c>
      <c r="Q86" s="95"/>
      <c r="R86" s="93"/>
      <c r="S86" s="95"/>
      <c r="T86" s="95"/>
      <c r="U86" s="96">
        <f t="shared" si="13"/>
        <v>0</v>
      </c>
      <c r="V86" s="93"/>
      <c r="W86" s="93"/>
      <c r="X86" s="93"/>
      <c r="Y86" s="93"/>
      <c r="Z86" s="91"/>
      <c r="AA86" s="93"/>
      <c r="AB86" s="91"/>
      <c r="AC86" s="91"/>
      <c r="AD86" s="91"/>
      <c r="AE86" s="93"/>
      <c r="AF86" s="93"/>
      <c r="AG86" s="99"/>
      <c r="AH86" s="99"/>
      <c r="AI86" s="101"/>
    </row>
    <row r="87" spans="1:35" ht="12.75">
      <c r="A87" s="113"/>
      <c r="B87" s="113"/>
      <c r="C87" s="113"/>
      <c r="D87" s="155"/>
      <c r="E87" s="155"/>
      <c r="F87" s="155"/>
      <c r="G87" s="155"/>
      <c r="H87" s="91" t="s">
        <v>58</v>
      </c>
      <c r="I87" s="102"/>
      <c r="J87" s="93"/>
      <c r="K87" s="93"/>
      <c r="L87" s="94" t="b">
        <v>0</v>
      </c>
      <c r="M87" s="94" t="b">
        <v>0</v>
      </c>
      <c r="N87" s="95"/>
      <c r="O87" s="95"/>
      <c r="P87" s="96">
        <f t="shared" si="12"/>
        <v>0</v>
      </c>
      <c r="Q87" s="95"/>
      <c r="R87" s="93"/>
      <c r="S87" s="95"/>
      <c r="T87" s="95"/>
      <c r="U87" s="96">
        <f t="shared" si="13"/>
        <v>0</v>
      </c>
      <c r="V87" s="93"/>
      <c r="W87" s="93"/>
      <c r="X87" s="93"/>
      <c r="Y87" s="93"/>
      <c r="Z87" s="91"/>
      <c r="AA87" s="93"/>
      <c r="AB87" s="91"/>
      <c r="AC87" s="91"/>
      <c r="AD87" s="91"/>
      <c r="AE87" s="93"/>
      <c r="AF87" s="93"/>
      <c r="AG87" s="99"/>
      <c r="AH87" s="99"/>
      <c r="AI87" s="99"/>
    </row>
    <row r="88" spans="1:35" ht="15">
      <c r="A88" s="113"/>
      <c r="B88" s="113"/>
      <c r="C88" s="113"/>
      <c r="D88" s="159" t="s">
        <v>460</v>
      </c>
      <c r="E88" s="163" t="s">
        <v>461</v>
      </c>
      <c r="F88" s="159" t="s">
        <v>462</v>
      </c>
      <c r="G88" s="165"/>
      <c r="H88" s="91" t="s">
        <v>49</v>
      </c>
      <c r="I88" s="103"/>
      <c r="J88" s="93"/>
      <c r="K88" s="93"/>
      <c r="L88" s="94" t="b">
        <v>0</v>
      </c>
      <c r="M88" s="94" t="b">
        <v>0</v>
      </c>
      <c r="N88" s="95"/>
      <c r="O88" s="95"/>
      <c r="P88" s="96">
        <f t="shared" si="12"/>
        <v>0</v>
      </c>
      <c r="Q88" s="95"/>
      <c r="R88" s="93"/>
      <c r="S88" s="95"/>
      <c r="T88" s="95"/>
      <c r="U88" s="96">
        <f t="shared" si="13"/>
        <v>0</v>
      </c>
      <c r="V88" s="93"/>
      <c r="W88" s="93"/>
      <c r="X88" s="93"/>
      <c r="Y88" s="93"/>
      <c r="Z88" s="91"/>
      <c r="AA88" s="93"/>
      <c r="AB88" s="91"/>
      <c r="AC88" s="91"/>
      <c r="AD88" s="91"/>
      <c r="AE88" s="93"/>
      <c r="AF88" s="93"/>
      <c r="AG88" s="99"/>
      <c r="AH88" s="99"/>
      <c r="AI88" s="101"/>
    </row>
    <row r="89" spans="1:35" ht="15">
      <c r="A89" s="113"/>
      <c r="B89" s="113"/>
      <c r="C89" s="113"/>
      <c r="D89" s="155"/>
      <c r="E89" s="155"/>
      <c r="F89" s="155"/>
      <c r="G89" s="155"/>
      <c r="H89" s="91" t="s">
        <v>58</v>
      </c>
      <c r="I89" s="103"/>
      <c r="J89" s="93"/>
      <c r="K89" s="93"/>
      <c r="L89" s="94" t="b">
        <v>0</v>
      </c>
      <c r="M89" s="94" t="b">
        <v>0</v>
      </c>
      <c r="N89" s="95"/>
      <c r="O89" s="95"/>
      <c r="P89" s="96">
        <f t="shared" si="12"/>
        <v>0</v>
      </c>
      <c r="Q89" s="95"/>
      <c r="R89" s="93"/>
      <c r="S89" s="95"/>
      <c r="T89" s="95"/>
      <c r="U89" s="96">
        <f t="shared" si="13"/>
        <v>0</v>
      </c>
      <c r="V89" s="93"/>
      <c r="W89" s="93"/>
      <c r="X89" s="97"/>
      <c r="Y89" s="97"/>
      <c r="Z89" s="98"/>
      <c r="AA89" s="97"/>
      <c r="AB89" s="98"/>
      <c r="AC89" s="98"/>
      <c r="AD89" s="98"/>
      <c r="AE89" s="93"/>
      <c r="AF89" s="93"/>
      <c r="AG89" s="99"/>
      <c r="AH89" s="99"/>
      <c r="AI89" s="101"/>
    </row>
    <row r="90" spans="1:35" ht="15">
      <c r="A90" s="113"/>
      <c r="B90" s="113"/>
      <c r="C90" s="113"/>
      <c r="D90" s="159" t="s">
        <v>453</v>
      </c>
      <c r="E90" s="159" t="s">
        <v>463</v>
      </c>
      <c r="F90" s="159" t="s">
        <v>464</v>
      </c>
      <c r="G90" s="165"/>
      <c r="H90" s="91" t="s">
        <v>465</v>
      </c>
      <c r="I90" s="103"/>
      <c r="J90" s="93"/>
      <c r="K90" s="93"/>
      <c r="L90" s="94" t="b">
        <v>0</v>
      </c>
      <c r="M90" s="94" t="b">
        <v>0</v>
      </c>
      <c r="N90" s="95"/>
      <c r="O90" s="95"/>
      <c r="P90" s="96">
        <f t="shared" si="12"/>
        <v>0</v>
      </c>
      <c r="Q90" s="95"/>
      <c r="R90" s="93"/>
      <c r="S90" s="95"/>
      <c r="T90" s="95"/>
      <c r="U90" s="96">
        <f t="shared" si="13"/>
        <v>0</v>
      </c>
      <c r="V90" s="93"/>
      <c r="W90" s="93"/>
      <c r="X90" s="97"/>
      <c r="Y90" s="97"/>
      <c r="Z90" s="98"/>
      <c r="AA90" s="97"/>
      <c r="AB90" s="98"/>
      <c r="AC90" s="98"/>
      <c r="AD90" s="98"/>
      <c r="AE90" s="93"/>
      <c r="AF90" s="93"/>
      <c r="AG90" s="99"/>
      <c r="AH90" s="99"/>
      <c r="AI90" s="101"/>
    </row>
    <row r="91" spans="1:35" ht="15">
      <c r="A91" s="113"/>
      <c r="B91" s="113"/>
      <c r="C91" s="113"/>
      <c r="D91" s="155"/>
      <c r="E91" s="155"/>
      <c r="F91" s="155"/>
      <c r="G91" s="155"/>
      <c r="H91" s="91" t="s">
        <v>58</v>
      </c>
      <c r="I91" s="103"/>
      <c r="J91" s="93"/>
      <c r="K91" s="93"/>
      <c r="L91" s="94" t="b">
        <v>0</v>
      </c>
      <c r="M91" s="94" t="b">
        <v>0</v>
      </c>
      <c r="N91" s="95"/>
      <c r="O91" s="95"/>
      <c r="P91" s="96">
        <f t="shared" si="12"/>
        <v>0</v>
      </c>
      <c r="Q91" s="95"/>
      <c r="R91" s="93"/>
      <c r="S91" s="95"/>
      <c r="T91" s="95"/>
      <c r="U91" s="96">
        <f t="shared" si="13"/>
        <v>0</v>
      </c>
      <c r="V91" s="93"/>
      <c r="W91" s="93"/>
      <c r="X91" s="97"/>
      <c r="Y91" s="97"/>
      <c r="Z91" s="98"/>
      <c r="AA91" s="97"/>
      <c r="AB91" s="98"/>
      <c r="AC91" s="98"/>
      <c r="AD91" s="98"/>
      <c r="AE91" s="93"/>
      <c r="AF91" s="93"/>
      <c r="AG91" s="99"/>
      <c r="AH91" s="99"/>
      <c r="AI91" s="101"/>
    </row>
    <row r="92" spans="1:35" ht="12.75">
      <c r="A92" s="114"/>
      <c r="B92" s="114"/>
      <c r="C92" s="114"/>
      <c r="D92" s="115"/>
      <c r="E92" s="115"/>
      <c r="F92" s="115"/>
      <c r="G92" s="116"/>
      <c r="H92" s="115"/>
      <c r="I92" s="117"/>
      <c r="J92" s="116"/>
      <c r="K92" s="116"/>
      <c r="L92" s="116"/>
      <c r="M92" s="116"/>
      <c r="N92" s="118"/>
      <c r="O92" s="118"/>
      <c r="P92" s="119"/>
      <c r="Q92" s="118"/>
      <c r="R92" s="116"/>
      <c r="S92" s="118"/>
      <c r="T92" s="118"/>
      <c r="U92" s="119"/>
      <c r="V92" s="116"/>
      <c r="W92" s="116"/>
      <c r="X92" s="116"/>
      <c r="Y92" s="116"/>
      <c r="Z92" s="115"/>
      <c r="AA92" s="116"/>
      <c r="AB92" s="115"/>
      <c r="AC92" s="115"/>
      <c r="AD92" s="115"/>
      <c r="AE92" s="116"/>
      <c r="AF92" s="116"/>
      <c r="AG92" s="116"/>
      <c r="AH92" s="116"/>
      <c r="AI92" s="116"/>
    </row>
    <row r="93" spans="1:35" ht="12.75">
      <c r="A93" s="162" t="s">
        <v>115</v>
      </c>
      <c r="B93" s="162" t="s">
        <v>45</v>
      </c>
      <c r="C93" s="162" t="s">
        <v>115</v>
      </c>
      <c r="D93" s="162" t="s">
        <v>453</v>
      </c>
      <c r="E93" s="160" t="s">
        <v>47</v>
      </c>
      <c r="F93" s="162" t="s">
        <v>454</v>
      </c>
      <c r="G93" s="164"/>
      <c r="H93" s="77" t="s">
        <v>49</v>
      </c>
      <c r="I93" s="108"/>
      <c r="J93" s="78"/>
      <c r="K93" s="78"/>
      <c r="L93" s="79" t="b">
        <v>0</v>
      </c>
      <c r="M93" s="79" t="b">
        <v>0</v>
      </c>
      <c r="N93" s="81"/>
      <c r="O93" s="81"/>
      <c r="P93" s="80">
        <f t="shared" ref="P93:P104" si="14">N93+O93</f>
        <v>0</v>
      </c>
      <c r="Q93" s="81"/>
      <c r="R93" s="78"/>
      <c r="S93" s="81"/>
      <c r="T93" s="81"/>
      <c r="U93" s="80">
        <f t="shared" ref="U93:U104" si="15">S93+T93</f>
        <v>0</v>
      </c>
      <c r="V93" s="78"/>
      <c r="W93" s="78"/>
      <c r="X93" s="78"/>
      <c r="Y93" s="78"/>
      <c r="Z93" s="77"/>
      <c r="AA93" s="78"/>
      <c r="AB93" s="77"/>
      <c r="AC93" s="77"/>
      <c r="AD93" s="77"/>
      <c r="AE93" s="78"/>
      <c r="AF93" s="78"/>
      <c r="AG93" s="109"/>
      <c r="AH93" s="109"/>
      <c r="AI93" s="78" t="s">
        <v>118</v>
      </c>
    </row>
    <row r="94" spans="1:35" ht="12.75">
      <c r="A94" s="155"/>
      <c r="B94" s="155"/>
      <c r="C94" s="155"/>
      <c r="D94" s="155"/>
      <c r="E94" s="155"/>
      <c r="F94" s="155"/>
      <c r="G94" s="155"/>
      <c r="H94" s="85" t="s">
        <v>58</v>
      </c>
      <c r="I94" s="112"/>
      <c r="J94" s="84"/>
      <c r="K94" s="84"/>
      <c r="L94" s="86" t="b">
        <v>0</v>
      </c>
      <c r="M94" s="86" t="b">
        <v>0</v>
      </c>
      <c r="N94" s="83"/>
      <c r="O94" s="83"/>
      <c r="P94" s="87">
        <f t="shared" si="14"/>
        <v>0</v>
      </c>
      <c r="Q94" s="83"/>
      <c r="R94" s="84"/>
      <c r="S94" s="83"/>
      <c r="T94" s="83"/>
      <c r="U94" s="87">
        <f t="shared" si="15"/>
        <v>0</v>
      </c>
      <c r="V94" s="84"/>
      <c r="W94" s="84"/>
      <c r="X94" s="84"/>
      <c r="Y94" s="84"/>
      <c r="Z94" s="85"/>
      <c r="AA94" s="84"/>
      <c r="AB94" s="85"/>
      <c r="AC94" s="85"/>
      <c r="AD94" s="85"/>
      <c r="AE94" s="84"/>
      <c r="AF94" s="84"/>
      <c r="AG94" s="110"/>
      <c r="AH94" s="110"/>
      <c r="AI94" s="84" t="s">
        <v>118</v>
      </c>
    </row>
    <row r="95" spans="1:35" ht="12.75">
      <c r="A95" s="155"/>
      <c r="B95" s="155"/>
      <c r="C95" s="155"/>
      <c r="D95" s="157" t="s">
        <v>453</v>
      </c>
      <c r="E95" s="157" t="s">
        <v>59</v>
      </c>
      <c r="F95" s="157" t="s">
        <v>454</v>
      </c>
      <c r="G95" s="158"/>
      <c r="H95" s="5" t="s">
        <v>49</v>
      </c>
      <c r="I95" s="17"/>
      <c r="J95" s="9"/>
      <c r="K95" s="9"/>
      <c r="L95" s="11" t="b">
        <v>0</v>
      </c>
      <c r="M95" s="11" t="b">
        <v>0</v>
      </c>
      <c r="N95" s="7"/>
      <c r="O95" s="7"/>
      <c r="P95" s="8">
        <f t="shared" si="14"/>
        <v>0</v>
      </c>
      <c r="Q95" s="7"/>
      <c r="R95" s="9"/>
      <c r="S95" s="7"/>
      <c r="T95" s="7"/>
      <c r="U95" s="8">
        <f t="shared" si="15"/>
        <v>0</v>
      </c>
      <c r="V95" s="9"/>
      <c r="W95" s="9"/>
      <c r="X95" s="18"/>
      <c r="Y95" s="18"/>
      <c r="Z95" s="19"/>
      <c r="AA95" s="18"/>
      <c r="AB95" s="19"/>
      <c r="AC95" s="19"/>
      <c r="AD95" s="19"/>
      <c r="AE95" s="9"/>
      <c r="AF95" s="9"/>
      <c r="AG95" s="26"/>
      <c r="AH95" s="26"/>
      <c r="AI95" s="89"/>
    </row>
    <row r="96" spans="1:35" ht="12.75">
      <c r="A96" s="155"/>
      <c r="B96" s="155"/>
      <c r="C96" s="155"/>
      <c r="D96" s="155"/>
      <c r="E96" s="155"/>
      <c r="F96" s="155"/>
      <c r="G96" s="155"/>
      <c r="H96" s="5" t="s">
        <v>58</v>
      </c>
      <c r="I96" s="22"/>
      <c r="J96" s="9"/>
      <c r="K96" s="9"/>
      <c r="L96" s="11" t="b">
        <v>0</v>
      </c>
      <c r="M96" s="11" t="b">
        <v>0</v>
      </c>
      <c r="N96" s="7"/>
      <c r="O96" s="7"/>
      <c r="P96" s="8">
        <f t="shared" si="14"/>
        <v>0</v>
      </c>
      <c r="Q96" s="7"/>
      <c r="R96" s="9"/>
      <c r="S96" s="7"/>
      <c r="T96" s="7"/>
      <c r="U96" s="8">
        <f t="shared" si="15"/>
        <v>0</v>
      </c>
      <c r="V96" s="9"/>
      <c r="W96" s="9"/>
      <c r="X96" s="18"/>
      <c r="Y96" s="18"/>
      <c r="Z96" s="19"/>
      <c r="AA96" s="18"/>
      <c r="AB96" s="19"/>
      <c r="AC96" s="19"/>
      <c r="AD96" s="19"/>
      <c r="AE96" s="9"/>
      <c r="AF96" s="9"/>
      <c r="AG96" s="26"/>
      <c r="AH96" s="26"/>
      <c r="AI96" s="9"/>
    </row>
    <row r="97" spans="1:35" ht="15">
      <c r="A97" s="113"/>
      <c r="B97" s="113"/>
      <c r="C97" s="113"/>
      <c r="D97" s="159" t="s">
        <v>455</v>
      </c>
      <c r="E97" s="159" t="s">
        <v>456</v>
      </c>
      <c r="F97" s="163" t="s">
        <v>457</v>
      </c>
      <c r="G97" s="165"/>
      <c r="H97" s="91" t="s">
        <v>458</v>
      </c>
      <c r="I97" s="92"/>
      <c r="J97" s="93"/>
      <c r="K97" s="93"/>
      <c r="L97" s="94" t="b">
        <v>0</v>
      </c>
      <c r="M97" s="94" t="b">
        <v>0</v>
      </c>
      <c r="N97" s="95"/>
      <c r="O97" s="95"/>
      <c r="P97" s="96">
        <f t="shared" si="14"/>
        <v>0</v>
      </c>
      <c r="Q97" s="95"/>
      <c r="R97" s="93"/>
      <c r="S97" s="95"/>
      <c r="T97" s="95"/>
      <c r="U97" s="96">
        <f t="shared" si="15"/>
        <v>0</v>
      </c>
      <c r="V97" s="93"/>
      <c r="W97" s="93"/>
      <c r="X97" s="97"/>
      <c r="Y97" s="97"/>
      <c r="Z97" s="98"/>
      <c r="AA97" s="97"/>
      <c r="AB97" s="98"/>
      <c r="AC97" s="98"/>
      <c r="AD97" s="98"/>
      <c r="AE97" s="93"/>
      <c r="AF97" s="93"/>
      <c r="AG97" s="99"/>
      <c r="AH97" s="99"/>
      <c r="AI97" s="93"/>
    </row>
    <row r="98" spans="1:35" ht="15">
      <c r="A98" s="113"/>
      <c r="B98" s="113"/>
      <c r="C98" s="113"/>
      <c r="D98" s="155"/>
      <c r="E98" s="155"/>
      <c r="F98" s="155"/>
      <c r="G98" s="155"/>
      <c r="H98" s="91" t="s">
        <v>58</v>
      </c>
      <c r="I98" s="92"/>
      <c r="J98" s="93"/>
      <c r="K98" s="93"/>
      <c r="L98" s="94" t="b">
        <v>0</v>
      </c>
      <c r="M98" s="94" t="b">
        <v>0</v>
      </c>
      <c r="N98" s="95"/>
      <c r="O98" s="95"/>
      <c r="P98" s="96">
        <f t="shared" si="14"/>
        <v>0</v>
      </c>
      <c r="Q98" s="95"/>
      <c r="R98" s="93"/>
      <c r="S98" s="95"/>
      <c r="T98" s="95"/>
      <c r="U98" s="96">
        <f t="shared" si="15"/>
        <v>0</v>
      </c>
      <c r="V98" s="93"/>
      <c r="W98" s="93"/>
      <c r="X98" s="97"/>
      <c r="Y98" s="97"/>
      <c r="Z98" s="98"/>
      <c r="AA98" s="97"/>
      <c r="AB98" s="98"/>
      <c r="AC98" s="98"/>
      <c r="AD98" s="98"/>
      <c r="AE98" s="93"/>
      <c r="AF98" s="93"/>
      <c r="AG98" s="99"/>
      <c r="AH98" s="99"/>
      <c r="AI98" s="100"/>
    </row>
    <row r="99" spans="1:35" ht="15">
      <c r="A99" s="113"/>
      <c r="B99" s="113"/>
      <c r="C99" s="113"/>
      <c r="D99" s="159" t="s">
        <v>455</v>
      </c>
      <c r="E99" s="166" t="s">
        <v>459</v>
      </c>
      <c r="F99" s="163" t="s">
        <v>457</v>
      </c>
      <c r="G99" s="165"/>
      <c r="H99" s="91" t="s">
        <v>458</v>
      </c>
      <c r="I99" s="92"/>
      <c r="J99" s="93"/>
      <c r="K99" s="93"/>
      <c r="L99" s="94" t="b">
        <v>0</v>
      </c>
      <c r="M99" s="94" t="b">
        <v>0</v>
      </c>
      <c r="N99" s="95"/>
      <c r="O99" s="95"/>
      <c r="P99" s="96">
        <f t="shared" si="14"/>
        <v>0</v>
      </c>
      <c r="Q99" s="95"/>
      <c r="R99" s="93"/>
      <c r="S99" s="95"/>
      <c r="T99" s="95"/>
      <c r="U99" s="96">
        <f t="shared" si="15"/>
        <v>0</v>
      </c>
      <c r="V99" s="93"/>
      <c r="W99" s="93"/>
      <c r="X99" s="93"/>
      <c r="Y99" s="93"/>
      <c r="Z99" s="91"/>
      <c r="AA99" s="93"/>
      <c r="AB99" s="91"/>
      <c r="AC99" s="91"/>
      <c r="AD99" s="91"/>
      <c r="AE99" s="93"/>
      <c r="AF99" s="93"/>
      <c r="AG99" s="99"/>
      <c r="AH99" s="99"/>
      <c r="AI99" s="101"/>
    </row>
    <row r="100" spans="1:35" ht="12.75">
      <c r="A100" s="113"/>
      <c r="B100" s="113"/>
      <c r="C100" s="113"/>
      <c r="D100" s="155"/>
      <c r="E100" s="155"/>
      <c r="F100" s="155"/>
      <c r="G100" s="155"/>
      <c r="H100" s="91" t="s">
        <v>58</v>
      </c>
      <c r="I100" s="102"/>
      <c r="J100" s="93"/>
      <c r="K100" s="93"/>
      <c r="L100" s="94" t="b">
        <v>0</v>
      </c>
      <c r="M100" s="94" t="b">
        <v>0</v>
      </c>
      <c r="N100" s="95"/>
      <c r="O100" s="95"/>
      <c r="P100" s="96">
        <f t="shared" si="14"/>
        <v>0</v>
      </c>
      <c r="Q100" s="95"/>
      <c r="R100" s="93"/>
      <c r="S100" s="95"/>
      <c r="T100" s="95"/>
      <c r="U100" s="96">
        <f t="shared" si="15"/>
        <v>0</v>
      </c>
      <c r="V100" s="93"/>
      <c r="W100" s="93"/>
      <c r="X100" s="93"/>
      <c r="Y100" s="93"/>
      <c r="Z100" s="91"/>
      <c r="AA100" s="93"/>
      <c r="AB100" s="91"/>
      <c r="AC100" s="91"/>
      <c r="AD100" s="91"/>
      <c r="AE100" s="93"/>
      <c r="AF100" s="93"/>
      <c r="AG100" s="99"/>
      <c r="AH100" s="99"/>
      <c r="AI100" s="99"/>
    </row>
    <row r="101" spans="1:35" ht="15">
      <c r="A101" s="113"/>
      <c r="B101" s="113"/>
      <c r="C101" s="113"/>
      <c r="D101" s="159" t="s">
        <v>460</v>
      </c>
      <c r="E101" s="163" t="s">
        <v>461</v>
      </c>
      <c r="F101" s="159" t="s">
        <v>462</v>
      </c>
      <c r="G101" s="165"/>
      <c r="H101" s="91" t="s">
        <v>49</v>
      </c>
      <c r="I101" s="103"/>
      <c r="J101" s="93"/>
      <c r="K101" s="93"/>
      <c r="L101" s="94" t="b">
        <v>0</v>
      </c>
      <c r="M101" s="94" t="b">
        <v>0</v>
      </c>
      <c r="N101" s="95"/>
      <c r="O101" s="95"/>
      <c r="P101" s="96">
        <f t="shared" si="14"/>
        <v>0</v>
      </c>
      <c r="Q101" s="95"/>
      <c r="R101" s="93"/>
      <c r="S101" s="95"/>
      <c r="T101" s="95"/>
      <c r="U101" s="96">
        <f t="shared" si="15"/>
        <v>0</v>
      </c>
      <c r="V101" s="93"/>
      <c r="W101" s="93"/>
      <c r="X101" s="93"/>
      <c r="Y101" s="93"/>
      <c r="Z101" s="91"/>
      <c r="AA101" s="93"/>
      <c r="AB101" s="91"/>
      <c r="AC101" s="91"/>
      <c r="AD101" s="91"/>
      <c r="AE101" s="93"/>
      <c r="AF101" s="93"/>
      <c r="AG101" s="99"/>
      <c r="AH101" s="99"/>
      <c r="AI101" s="101"/>
    </row>
    <row r="102" spans="1:35" ht="15">
      <c r="A102" s="113"/>
      <c r="B102" s="113"/>
      <c r="C102" s="113"/>
      <c r="D102" s="155"/>
      <c r="E102" s="155"/>
      <c r="F102" s="155"/>
      <c r="G102" s="155"/>
      <c r="H102" s="91" t="s">
        <v>58</v>
      </c>
      <c r="I102" s="103"/>
      <c r="J102" s="93"/>
      <c r="K102" s="93"/>
      <c r="L102" s="94" t="b">
        <v>0</v>
      </c>
      <c r="M102" s="94" t="b">
        <v>0</v>
      </c>
      <c r="N102" s="95"/>
      <c r="O102" s="95"/>
      <c r="P102" s="96">
        <f t="shared" si="14"/>
        <v>0</v>
      </c>
      <c r="Q102" s="95"/>
      <c r="R102" s="93"/>
      <c r="S102" s="95"/>
      <c r="T102" s="95"/>
      <c r="U102" s="96">
        <f t="shared" si="15"/>
        <v>0</v>
      </c>
      <c r="V102" s="93"/>
      <c r="W102" s="93"/>
      <c r="X102" s="97"/>
      <c r="Y102" s="97"/>
      <c r="Z102" s="98"/>
      <c r="AA102" s="97"/>
      <c r="AB102" s="98"/>
      <c r="AC102" s="98"/>
      <c r="AD102" s="98"/>
      <c r="AE102" s="93"/>
      <c r="AF102" s="93"/>
      <c r="AG102" s="99"/>
      <c r="AH102" s="99"/>
      <c r="AI102" s="101"/>
    </row>
    <row r="103" spans="1:35" ht="15">
      <c r="A103" s="113"/>
      <c r="B103" s="113"/>
      <c r="C103" s="113"/>
      <c r="D103" s="159" t="s">
        <v>453</v>
      </c>
      <c r="E103" s="159" t="s">
        <v>463</v>
      </c>
      <c r="F103" s="159" t="s">
        <v>464</v>
      </c>
      <c r="G103" s="165"/>
      <c r="H103" s="91" t="s">
        <v>465</v>
      </c>
      <c r="I103" s="103"/>
      <c r="J103" s="93"/>
      <c r="K103" s="93"/>
      <c r="L103" s="94" t="b">
        <v>0</v>
      </c>
      <c r="M103" s="94" t="b">
        <v>0</v>
      </c>
      <c r="N103" s="95"/>
      <c r="O103" s="95"/>
      <c r="P103" s="96">
        <f t="shared" si="14"/>
        <v>0</v>
      </c>
      <c r="Q103" s="95"/>
      <c r="R103" s="93"/>
      <c r="S103" s="95"/>
      <c r="T103" s="95"/>
      <c r="U103" s="96">
        <f t="shared" si="15"/>
        <v>0</v>
      </c>
      <c r="V103" s="93"/>
      <c r="W103" s="93"/>
      <c r="X103" s="97"/>
      <c r="Y103" s="97"/>
      <c r="Z103" s="98"/>
      <c r="AA103" s="97"/>
      <c r="AB103" s="98"/>
      <c r="AC103" s="98"/>
      <c r="AD103" s="98"/>
      <c r="AE103" s="93"/>
      <c r="AF103" s="93"/>
      <c r="AG103" s="99"/>
      <c r="AH103" s="99"/>
      <c r="AI103" s="101"/>
    </row>
    <row r="104" spans="1:35" ht="15">
      <c r="A104" s="113"/>
      <c r="B104" s="113"/>
      <c r="C104" s="113"/>
      <c r="D104" s="155"/>
      <c r="E104" s="155"/>
      <c r="F104" s="155"/>
      <c r="G104" s="155"/>
      <c r="H104" s="91" t="s">
        <v>58</v>
      </c>
      <c r="I104" s="103"/>
      <c r="J104" s="93"/>
      <c r="K104" s="93"/>
      <c r="L104" s="94" t="b">
        <v>0</v>
      </c>
      <c r="M104" s="94" t="b">
        <v>0</v>
      </c>
      <c r="N104" s="95"/>
      <c r="O104" s="95"/>
      <c r="P104" s="96">
        <f t="shared" si="14"/>
        <v>0</v>
      </c>
      <c r="Q104" s="95"/>
      <c r="R104" s="93"/>
      <c r="S104" s="95"/>
      <c r="T104" s="95"/>
      <c r="U104" s="96">
        <f t="shared" si="15"/>
        <v>0</v>
      </c>
      <c r="V104" s="93"/>
      <c r="W104" s="93"/>
      <c r="X104" s="97"/>
      <c r="Y104" s="97"/>
      <c r="Z104" s="98"/>
      <c r="AA104" s="97"/>
      <c r="AB104" s="98"/>
      <c r="AC104" s="98"/>
      <c r="AD104" s="98"/>
      <c r="AE104" s="93"/>
      <c r="AF104" s="93"/>
      <c r="AG104" s="99"/>
      <c r="AH104" s="99"/>
      <c r="AI104" s="101"/>
    </row>
    <row r="105" spans="1:35" ht="12.75">
      <c r="A105" s="114"/>
      <c r="B105" s="114"/>
      <c r="C105" s="114"/>
      <c r="D105" s="115"/>
      <c r="E105" s="115"/>
      <c r="F105" s="115"/>
      <c r="G105" s="116"/>
      <c r="H105" s="115"/>
      <c r="I105" s="117"/>
      <c r="J105" s="116"/>
      <c r="K105" s="116"/>
      <c r="L105" s="116"/>
      <c r="M105" s="116"/>
      <c r="N105" s="118"/>
      <c r="O105" s="118"/>
      <c r="P105" s="119"/>
      <c r="Q105" s="118"/>
      <c r="R105" s="116"/>
      <c r="S105" s="118"/>
      <c r="T105" s="118"/>
      <c r="U105" s="119"/>
      <c r="V105" s="116"/>
      <c r="W105" s="116"/>
      <c r="X105" s="116"/>
      <c r="Y105" s="116"/>
      <c r="Z105" s="115"/>
      <c r="AA105" s="116"/>
      <c r="AB105" s="115"/>
      <c r="AC105" s="115"/>
      <c r="AD105" s="115"/>
      <c r="AE105" s="116"/>
      <c r="AF105" s="116"/>
      <c r="AG105" s="116"/>
      <c r="AH105" s="116"/>
      <c r="AI105" s="116"/>
    </row>
    <row r="106" spans="1:35" ht="12.75">
      <c r="A106" s="162" t="s">
        <v>127</v>
      </c>
      <c r="B106" s="162" t="s">
        <v>128</v>
      </c>
      <c r="C106" s="162" t="s">
        <v>129</v>
      </c>
      <c r="D106" s="162" t="s">
        <v>453</v>
      </c>
      <c r="E106" s="160" t="s">
        <v>47</v>
      </c>
      <c r="F106" s="162" t="s">
        <v>454</v>
      </c>
      <c r="G106" s="164"/>
      <c r="H106" s="77" t="s">
        <v>49</v>
      </c>
      <c r="I106" s="108"/>
      <c r="J106" s="78"/>
      <c r="K106" s="78"/>
      <c r="L106" s="79" t="b">
        <v>1</v>
      </c>
      <c r="M106" s="79" t="b">
        <v>0</v>
      </c>
      <c r="N106" s="81"/>
      <c r="O106" s="81"/>
      <c r="P106" s="80">
        <f t="shared" ref="P106:P117" si="16">N106+O106</f>
        <v>0</v>
      </c>
      <c r="Q106" s="81"/>
      <c r="R106" s="78"/>
      <c r="S106" s="81"/>
      <c r="T106" s="81"/>
      <c r="U106" s="80">
        <f t="shared" ref="U106:U117" si="17">S106+T106</f>
        <v>0</v>
      </c>
      <c r="V106" s="78"/>
      <c r="W106" s="78" t="s">
        <v>51</v>
      </c>
      <c r="X106" s="78">
        <v>2</v>
      </c>
      <c r="Y106" s="78">
        <v>17500</v>
      </c>
      <c r="Z106" s="77"/>
      <c r="AA106" s="78">
        <v>17500</v>
      </c>
      <c r="AB106" s="77"/>
      <c r="AC106" s="77"/>
      <c r="AD106" s="77"/>
      <c r="AE106" s="78"/>
      <c r="AF106" s="78">
        <v>0</v>
      </c>
      <c r="AG106" s="82">
        <v>45411</v>
      </c>
      <c r="AH106" s="78" t="s">
        <v>53</v>
      </c>
      <c r="AI106" s="78" t="s">
        <v>476</v>
      </c>
    </row>
    <row r="107" spans="1:35" ht="12.75">
      <c r="A107" s="155"/>
      <c r="B107" s="155"/>
      <c r="C107" s="155"/>
      <c r="D107" s="155"/>
      <c r="E107" s="155"/>
      <c r="F107" s="155"/>
      <c r="G107" s="155"/>
      <c r="H107" s="85" t="s">
        <v>58</v>
      </c>
      <c r="I107" s="112"/>
      <c r="J107" s="84"/>
      <c r="K107" s="84"/>
      <c r="L107" s="86" t="b">
        <v>0</v>
      </c>
      <c r="M107" s="86" t="b">
        <v>0</v>
      </c>
      <c r="N107" s="83"/>
      <c r="O107" s="83"/>
      <c r="P107" s="87">
        <f t="shared" si="16"/>
        <v>0</v>
      </c>
      <c r="Q107" s="83"/>
      <c r="R107" s="84"/>
      <c r="S107" s="83"/>
      <c r="T107" s="83"/>
      <c r="U107" s="87">
        <f t="shared" si="17"/>
        <v>0</v>
      </c>
      <c r="V107" s="84"/>
      <c r="W107" s="84" t="s">
        <v>51</v>
      </c>
      <c r="X107" s="84">
        <v>4</v>
      </c>
      <c r="Y107" s="84">
        <v>21000</v>
      </c>
      <c r="Z107" s="85"/>
      <c r="AA107" s="84">
        <v>21000</v>
      </c>
      <c r="AB107" s="85"/>
      <c r="AC107" s="85"/>
      <c r="AD107" s="85"/>
      <c r="AE107" s="84"/>
      <c r="AF107" s="84">
        <v>0</v>
      </c>
      <c r="AG107" s="88">
        <v>45411</v>
      </c>
      <c r="AH107" s="84" t="s">
        <v>53</v>
      </c>
      <c r="AI107" s="84"/>
    </row>
    <row r="108" spans="1:35" ht="12.75">
      <c r="A108" s="155"/>
      <c r="B108" s="155"/>
      <c r="C108" s="155"/>
      <c r="D108" s="157" t="s">
        <v>453</v>
      </c>
      <c r="E108" s="157" t="s">
        <v>59</v>
      </c>
      <c r="F108" s="157" t="s">
        <v>454</v>
      </c>
      <c r="G108" s="158"/>
      <c r="H108" s="5" t="s">
        <v>49</v>
      </c>
      <c r="I108" s="17"/>
      <c r="J108" s="9"/>
      <c r="K108" s="9"/>
      <c r="L108" s="11" t="b">
        <v>0</v>
      </c>
      <c r="M108" s="11" t="b">
        <v>0</v>
      </c>
      <c r="N108" s="7"/>
      <c r="O108" s="7"/>
      <c r="P108" s="8">
        <f t="shared" si="16"/>
        <v>0</v>
      </c>
      <c r="Q108" s="7"/>
      <c r="R108" s="9"/>
      <c r="S108" s="7"/>
      <c r="T108" s="7"/>
      <c r="U108" s="8">
        <f t="shared" si="17"/>
        <v>0</v>
      </c>
      <c r="V108" s="9"/>
      <c r="W108" s="9"/>
      <c r="X108" s="18"/>
      <c r="Y108" s="18"/>
      <c r="Z108" s="19"/>
      <c r="AA108" s="18"/>
      <c r="AB108" s="19"/>
      <c r="AC108" s="19"/>
      <c r="AD108" s="19"/>
      <c r="AE108" s="9"/>
      <c r="AF108" s="9"/>
      <c r="AG108" s="26"/>
      <c r="AH108" s="26"/>
      <c r="AI108" s="89"/>
    </row>
    <row r="109" spans="1:35" ht="12.75">
      <c r="A109" s="155"/>
      <c r="B109" s="155"/>
      <c r="C109" s="155"/>
      <c r="D109" s="155"/>
      <c r="E109" s="155"/>
      <c r="F109" s="155"/>
      <c r="G109" s="155"/>
      <c r="H109" s="5" t="s">
        <v>58</v>
      </c>
      <c r="I109" s="22"/>
      <c r="J109" s="9"/>
      <c r="K109" s="9"/>
      <c r="L109" s="11" t="b">
        <v>0</v>
      </c>
      <c r="M109" s="11" t="b">
        <v>0</v>
      </c>
      <c r="N109" s="7"/>
      <c r="O109" s="7"/>
      <c r="P109" s="8">
        <f t="shared" si="16"/>
        <v>0</v>
      </c>
      <c r="Q109" s="7"/>
      <c r="R109" s="9"/>
      <c r="S109" s="7"/>
      <c r="T109" s="7"/>
      <c r="U109" s="8">
        <f t="shared" si="17"/>
        <v>0</v>
      </c>
      <c r="V109" s="9"/>
      <c r="W109" s="9"/>
      <c r="X109" s="18"/>
      <c r="Y109" s="18"/>
      <c r="Z109" s="19"/>
      <c r="AA109" s="18"/>
      <c r="AB109" s="19"/>
      <c r="AC109" s="19"/>
      <c r="AD109" s="19"/>
      <c r="AE109" s="9"/>
      <c r="AF109" s="9"/>
      <c r="AG109" s="26"/>
      <c r="AH109" s="26"/>
      <c r="AI109" s="9"/>
    </row>
    <row r="110" spans="1:35" ht="15">
      <c r="A110" s="113"/>
      <c r="B110" s="113"/>
      <c r="C110" s="113"/>
      <c r="D110" s="159" t="s">
        <v>455</v>
      </c>
      <c r="E110" s="159" t="s">
        <v>456</v>
      </c>
      <c r="F110" s="163" t="s">
        <v>457</v>
      </c>
      <c r="G110" s="165"/>
      <c r="H110" s="91" t="s">
        <v>458</v>
      </c>
      <c r="I110" s="92"/>
      <c r="J110" s="93"/>
      <c r="K110" s="93"/>
      <c r="L110" s="94" t="b">
        <v>0</v>
      </c>
      <c r="M110" s="94" t="b">
        <v>0</v>
      </c>
      <c r="N110" s="95"/>
      <c r="O110" s="95"/>
      <c r="P110" s="96">
        <f t="shared" si="16"/>
        <v>0</v>
      </c>
      <c r="Q110" s="95"/>
      <c r="R110" s="93"/>
      <c r="S110" s="95"/>
      <c r="T110" s="95"/>
      <c r="U110" s="96">
        <f t="shared" si="17"/>
        <v>0</v>
      </c>
      <c r="V110" s="93"/>
      <c r="W110" s="93"/>
      <c r="X110" s="97"/>
      <c r="Y110" s="97"/>
      <c r="Z110" s="98"/>
      <c r="AA110" s="97"/>
      <c r="AB110" s="98"/>
      <c r="AC110" s="98"/>
      <c r="AD110" s="98"/>
      <c r="AE110" s="93"/>
      <c r="AF110" s="93"/>
      <c r="AG110" s="99"/>
      <c r="AH110" s="99"/>
      <c r="AI110" s="93"/>
    </row>
    <row r="111" spans="1:35" ht="15">
      <c r="A111" s="113"/>
      <c r="B111" s="113"/>
      <c r="C111" s="113"/>
      <c r="D111" s="155"/>
      <c r="E111" s="155"/>
      <c r="F111" s="155"/>
      <c r="G111" s="155"/>
      <c r="H111" s="91" t="s">
        <v>58</v>
      </c>
      <c r="I111" s="92"/>
      <c r="J111" s="93"/>
      <c r="K111" s="93"/>
      <c r="L111" s="94" t="b">
        <v>0</v>
      </c>
      <c r="M111" s="94" t="b">
        <v>0</v>
      </c>
      <c r="N111" s="95"/>
      <c r="O111" s="95"/>
      <c r="P111" s="96">
        <f t="shared" si="16"/>
        <v>0</v>
      </c>
      <c r="Q111" s="95"/>
      <c r="R111" s="93"/>
      <c r="S111" s="95"/>
      <c r="T111" s="95"/>
      <c r="U111" s="96">
        <f t="shared" si="17"/>
        <v>0</v>
      </c>
      <c r="V111" s="93"/>
      <c r="W111" s="93"/>
      <c r="X111" s="97"/>
      <c r="Y111" s="97"/>
      <c r="Z111" s="98"/>
      <c r="AA111" s="97"/>
      <c r="AB111" s="98"/>
      <c r="AC111" s="98"/>
      <c r="AD111" s="98"/>
      <c r="AE111" s="93"/>
      <c r="AF111" s="93"/>
      <c r="AG111" s="99"/>
      <c r="AH111" s="99"/>
      <c r="AI111" s="100"/>
    </row>
    <row r="112" spans="1:35" ht="15">
      <c r="A112" s="113"/>
      <c r="B112" s="113"/>
      <c r="C112" s="113"/>
      <c r="D112" s="159" t="s">
        <v>455</v>
      </c>
      <c r="E112" s="166" t="s">
        <v>459</v>
      </c>
      <c r="F112" s="163" t="s">
        <v>457</v>
      </c>
      <c r="G112" s="165"/>
      <c r="H112" s="91" t="s">
        <v>458</v>
      </c>
      <c r="I112" s="92"/>
      <c r="J112" s="93"/>
      <c r="K112" s="93"/>
      <c r="L112" s="94" t="b">
        <v>0</v>
      </c>
      <c r="M112" s="94" t="b">
        <v>0</v>
      </c>
      <c r="N112" s="95"/>
      <c r="O112" s="95"/>
      <c r="P112" s="96">
        <f t="shared" si="16"/>
        <v>0</v>
      </c>
      <c r="Q112" s="95"/>
      <c r="R112" s="93"/>
      <c r="S112" s="95"/>
      <c r="T112" s="95"/>
      <c r="U112" s="96">
        <f t="shared" si="17"/>
        <v>0</v>
      </c>
      <c r="V112" s="93"/>
      <c r="W112" s="93"/>
      <c r="X112" s="93"/>
      <c r="Y112" s="93"/>
      <c r="Z112" s="91"/>
      <c r="AA112" s="93"/>
      <c r="AB112" s="91"/>
      <c r="AC112" s="91"/>
      <c r="AD112" s="91"/>
      <c r="AE112" s="93"/>
      <c r="AF112" s="93"/>
      <c r="AG112" s="99"/>
      <c r="AH112" s="99"/>
      <c r="AI112" s="101"/>
    </row>
    <row r="113" spans="1:35" ht="12.75">
      <c r="A113" s="113"/>
      <c r="B113" s="113"/>
      <c r="C113" s="113"/>
      <c r="D113" s="155"/>
      <c r="E113" s="155"/>
      <c r="F113" s="155"/>
      <c r="G113" s="155"/>
      <c r="H113" s="91" t="s">
        <v>58</v>
      </c>
      <c r="I113" s="102"/>
      <c r="J113" s="93"/>
      <c r="K113" s="93"/>
      <c r="L113" s="94" t="b">
        <v>0</v>
      </c>
      <c r="M113" s="94" t="b">
        <v>0</v>
      </c>
      <c r="N113" s="95"/>
      <c r="O113" s="95"/>
      <c r="P113" s="96">
        <f t="shared" si="16"/>
        <v>0</v>
      </c>
      <c r="Q113" s="95"/>
      <c r="R113" s="93"/>
      <c r="S113" s="95"/>
      <c r="T113" s="95"/>
      <c r="U113" s="96">
        <f t="shared" si="17"/>
        <v>0</v>
      </c>
      <c r="V113" s="93"/>
      <c r="W113" s="93"/>
      <c r="X113" s="93"/>
      <c r="Y113" s="93"/>
      <c r="Z113" s="91"/>
      <c r="AA113" s="93"/>
      <c r="AB113" s="91"/>
      <c r="AC113" s="91"/>
      <c r="AD113" s="91"/>
      <c r="AE113" s="93"/>
      <c r="AF113" s="93"/>
      <c r="AG113" s="99"/>
      <c r="AH113" s="99"/>
      <c r="AI113" s="99"/>
    </row>
    <row r="114" spans="1:35" ht="15">
      <c r="A114" s="113"/>
      <c r="B114" s="113"/>
      <c r="C114" s="113"/>
      <c r="D114" s="159" t="s">
        <v>460</v>
      </c>
      <c r="E114" s="163" t="s">
        <v>461</v>
      </c>
      <c r="F114" s="159" t="s">
        <v>462</v>
      </c>
      <c r="G114" s="165"/>
      <c r="H114" s="91" t="s">
        <v>49</v>
      </c>
      <c r="I114" s="103"/>
      <c r="J114" s="93"/>
      <c r="K114" s="93"/>
      <c r="L114" s="94" t="b">
        <v>0</v>
      </c>
      <c r="M114" s="94" t="b">
        <v>0</v>
      </c>
      <c r="N114" s="95"/>
      <c r="O114" s="95"/>
      <c r="P114" s="96">
        <f t="shared" si="16"/>
        <v>0</v>
      </c>
      <c r="Q114" s="95"/>
      <c r="R114" s="93"/>
      <c r="S114" s="95"/>
      <c r="T114" s="95"/>
      <c r="U114" s="96">
        <f t="shared" si="17"/>
        <v>0</v>
      </c>
      <c r="V114" s="93"/>
      <c r="W114" s="93"/>
      <c r="X114" s="93"/>
      <c r="Y114" s="93"/>
      <c r="Z114" s="91"/>
      <c r="AA114" s="93"/>
      <c r="AB114" s="91"/>
      <c r="AC114" s="91"/>
      <c r="AD114" s="91"/>
      <c r="AE114" s="93"/>
      <c r="AF114" s="93"/>
      <c r="AG114" s="99"/>
      <c r="AH114" s="99"/>
      <c r="AI114" s="101"/>
    </row>
    <row r="115" spans="1:35" ht="15">
      <c r="A115" s="113"/>
      <c r="B115" s="113"/>
      <c r="C115" s="113"/>
      <c r="D115" s="155"/>
      <c r="E115" s="155"/>
      <c r="F115" s="155"/>
      <c r="G115" s="155"/>
      <c r="H115" s="91" t="s">
        <v>58</v>
      </c>
      <c r="I115" s="103"/>
      <c r="J115" s="93"/>
      <c r="K115" s="93"/>
      <c r="L115" s="94" t="b">
        <v>0</v>
      </c>
      <c r="M115" s="94" t="b">
        <v>0</v>
      </c>
      <c r="N115" s="95"/>
      <c r="O115" s="95"/>
      <c r="P115" s="96">
        <f t="shared" si="16"/>
        <v>0</v>
      </c>
      <c r="Q115" s="95"/>
      <c r="R115" s="93"/>
      <c r="S115" s="95"/>
      <c r="T115" s="95"/>
      <c r="U115" s="96">
        <f t="shared" si="17"/>
        <v>0</v>
      </c>
      <c r="V115" s="93"/>
      <c r="W115" s="93"/>
      <c r="X115" s="97"/>
      <c r="Y115" s="97"/>
      <c r="Z115" s="98"/>
      <c r="AA115" s="97"/>
      <c r="AB115" s="98"/>
      <c r="AC115" s="98"/>
      <c r="AD115" s="98"/>
      <c r="AE115" s="93"/>
      <c r="AF115" s="93"/>
      <c r="AG115" s="99"/>
      <c r="AH115" s="99"/>
      <c r="AI115" s="101"/>
    </row>
    <row r="116" spans="1:35" ht="15">
      <c r="A116" s="113"/>
      <c r="B116" s="113"/>
      <c r="C116" s="113"/>
      <c r="D116" s="159" t="s">
        <v>453</v>
      </c>
      <c r="E116" s="159" t="s">
        <v>463</v>
      </c>
      <c r="F116" s="159" t="s">
        <v>464</v>
      </c>
      <c r="G116" s="165"/>
      <c r="H116" s="91" t="s">
        <v>465</v>
      </c>
      <c r="I116" s="103"/>
      <c r="J116" s="93"/>
      <c r="K116" s="93"/>
      <c r="L116" s="94" t="b">
        <v>0</v>
      </c>
      <c r="M116" s="94" t="b">
        <v>0</v>
      </c>
      <c r="N116" s="95"/>
      <c r="O116" s="95"/>
      <c r="P116" s="96">
        <f t="shared" si="16"/>
        <v>0</v>
      </c>
      <c r="Q116" s="95"/>
      <c r="R116" s="93"/>
      <c r="S116" s="95"/>
      <c r="T116" s="95"/>
      <c r="U116" s="96">
        <f t="shared" si="17"/>
        <v>0</v>
      </c>
      <c r="V116" s="93"/>
      <c r="W116" s="93"/>
      <c r="X116" s="97"/>
      <c r="Y116" s="97"/>
      <c r="Z116" s="98"/>
      <c r="AA116" s="97"/>
      <c r="AB116" s="98"/>
      <c r="AC116" s="98"/>
      <c r="AD116" s="98"/>
      <c r="AE116" s="93"/>
      <c r="AF116" s="93"/>
      <c r="AG116" s="99"/>
      <c r="AH116" s="99"/>
      <c r="AI116" s="101"/>
    </row>
    <row r="117" spans="1:35" ht="15">
      <c r="A117" s="113"/>
      <c r="B117" s="113"/>
      <c r="C117" s="113"/>
      <c r="D117" s="155"/>
      <c r="E117" s="155"/>
      <c r="F117" s="155"/>
      <c r="G117" s="155"/>
      <c r="H117" s="91" t="s">
        <v>58</v>
      </c>
      <c r="I117" s="103"/>
      <c r="J117" s="93"/>
      <c r="K117" s="93"/>
      <c r="L117" s="94" t="b">
        <v>0</v>
      </c>
      <c r="M117" s="94" t="b">
        <v>0</v>
      </c>
      <c r="N117" s="95"/>
      <c r="O117" s="95"/>
      <c r="P117" s="96">
        <f t="shared" si="16"/>
        <v>0</v>
      </c>
      <c r="Q117" s="95"/>
      <c r="R117" s="93"/>
      <c r="S117" s="95"/>
      <c r="T117" s="95"/>
      <c r="U117" s="96">
        <f t="shared" si="17"/>
        <v>0</v>
      </c>
      <c r="V117" s="93"/>
      <c r="W117" s="93"/>
      <c r="X117" s="97"/>
      <c r="Y117" s="97"/>
      <c r="Z117" s="98"/>
      <c r="AA117" s="97"/>
      <c r="AB117" s="98"/>
      <c r="AC117" s="98"/>
      <c r="AD117" s="98"/>
      <c r="AE117" s="93"/>
      <c r="AF117" s="93"/>
      <c r="AG117" s="99"/>
      <c r="AH117" s="99"/>
      <c r="AI117" s="101"/>
    </row>
    <row r="118" spans="1:35" ht="12.75">
      <c r="A118" s="114"/>
      <c r="B118" s="114"/>
      <c r="C118" s="114"/>
      <c r="D118" s="115"/>
      <c r="E118" s="115"/>
      <c r="F118" s="115"/>
      <c r="G118" s="116"/>
      <c r="H118" s="115"/>
      <c r="I118" s="117"/>
      <c r="J118" s="116"/>
      <c r="K118" s="116"/>
      <c r="L118" s="116"/>
      <c r="M118" s="116"/>
      <c r="N118" s="118"/>
      <c r="O118" s="118"/>
      <c r="P118" s="119"/>
      <c r="Q118" s="118"/>
      <c r="R118" s="116"/>
      <c r="S118" s="118"/>
      <c r="T118" s="118"/>
      <c r="U118" s="119"/>
      <c r="V118" s="116"/>
      <c r="W118" s="116"/>
      <c r="X118" s="116"/>
      <c r="Y118" s="116"/>
      <c r="Z118" s="115"/>
      <c r="AA118" s="116"/>
      <c r="AB118" s="115"/>
      <c r="AC118" s="115"/>
      <c r="AD118" s="115"/>
      <c r="AE118" s="116"/>
      <c r="AF118" s="116"/>
      <c r="AG118" s="116"/>
      <c r="AH118" s="116"/>
      <c r="AI118" s="116"/>
    </row>
    <row r="119" spans="1:35" ht="15">
      <c r="A119" s="162" t="s">
        <v>138</v>
      </c>
      <c r="B119" s="162" t="s">
        <v>139</v>
      </c>
      <c r="C119" s="162" t="s">
        <v>140</v>
      </c>
      <c r="D119" s="162" t="s">
        <v>453</v>
      </c>
      <c r="E119" s="160" t="s">
        <v>47</v>
      </c>
      <c r="F119" s="162" t="s">
        <v>454</v>
      </c>
      <c r="G119" s="164"/>
      <c r="H119" s="77" t="s">
        <v>49</v>
      </c>
      <c r="I119" s="108"/>
      <c r="J119" s="78"/>
      <c r="K119" s="78"/>
      <c r="L119" s="79" t="b">
        <v>1</v>
      </c>
      <c r="M119" s="79" t="b">
        <v>0</v>
      </c>
      <c r="N119" s="81"/>
      <c r="O119" s="81"/>
      <c r="P119" s="80">
        <f t="shared" ref="P119:P130" si="18">N119+O119</f>
        <v>0</v>
      </c>
      <c r="Q119" s="81"/>
      <c r="R119" s="78"/>
      <c r="S119" s="81"/>
      <c r="T119" s="81"/>
      <c r="U119" s="80">
        <f t="shared" ref="U119:U130" si="19">S119+T119</f>
        <v>0</v>
      </c>
      <c r="V119" s="78">
        <v>0</v>
      </c>
      <c r="W119" s="78"/>
      <c r="X119" s="78"/>
      <c r="Y119" s="78"/>
      <c r="Z119" s="77"/>
      <c r="AA119" s="78"/>
      <c r="AB119" s="77"/>
      <c r="AC119" s="77"/>
      <c r="AD119" s="77"/>
      <c r="AE119" s="154">
        <f t="shared" ref="AE119:AE120" si="20">104*2</f>
        <v>208</v>
      </c>
      <c r="AF119" s="78"/>
      <c r="AG119" s="109"/>
      <c r="AH119" s="109"/>
      <c r="AI119" s="78" t="s">
        <v>477</v>
      </c>
    </row>
    <row r="120" spans="1:35" ht="15">
      <c r="A120" s="155"/>
      <c r="B120" s="155"/>
      <c r="C120" s="155"/>
      <c r="D120" s="155"/>
      <c r="E120" s="155"/>
      <c r="F120" s="155"/>
      <c r="G120" s="155"/>
      <c r="H120" s="85" t="s">
        <v>58</v>
      </c>
      <c r="I120" s="112"/>
      <c r="J120" s="84"/>
      <c r="K120" s="84"/>
      <c r="L120" s="86" t="b">
        <v>1</v>
      </c>
      <c r="M120" s="86" t="b">
        <v>0</v>
      </c>
      <c r="N120" s="83"/>
      <c r="O120" s="83"/>
      <c r="P120" s="87">
        <f t="shared" si="18"/>
        <v>0</v>
      </c>
      <c r="Q120" s="83"/>
      <c r="R120" s="84"/>
      <c r="S120" s="83"/>
      <c r="T120" s="83"/>
      <c r="U120" s="87">
        <f t="shared" si="19"/>
        <v>0</v>
      </c>
      <c r="V120" s="84">
        <v>0</v>
      </c>
      <c r="W120" s="84"/>
      <c r="X120" s="84"/>
      <c r="Y120" s="84"/>
      <c r="Z120" s="85"/>
      <c r="AA120" s="84"/>
      <c r="AB120" s="85"/>
      <c r="AC120" s="85"/>
      <c r="AD120" s="85"/>
      <c r="AE120" s="154">
        <f t="shared" si="20"/>
        <v>208</v>
      </c>
      <c r="AF120" s="84"/>
      <c r="AG120" s="110"/>
      <c r="AH120" s="110"/>
      <c r="AI120" s="84" t="s">
        <v>477</v>
      </c>
    </row>
    <row r="121" spans="1:35" ht="12.75">
      <c r="A121" s="155"/>
      <c r="B121" s="155"/>
      <c r="C121" s="155"/>
      <c r="D121" s="157" t="s">
        <v>453</v>
      </c>
      <c r="E121" s="157" t="s">
        <v>59</v>
      </c>
      <c r="F121" s="157" t="s">
        <v>454</v>
      </c>
      <c r="G121" s="158"/>
      <c r="H121" s="5" t="s">
        <v>49</v>
      </c>
      <c r="I121" s="17"/>
      <c r="J121" s="9"/>
      <c r="K121" s="9"/>
      <c r="L121" s="11" t="b">
        <v>0</v>
      </c>
      <c r="M121" s="11" t="b">
        <v>0</v>
      </c>
      <c r="N121" s="7"/>
      <c r="O121" s="7"/>
      <c r="P121" s="8">
        <f t="shared" si="18"/>
        <v>0</v>
      </c>
      <c r="Q121" s="7"/>
      <c r="R121" s="9"/>
      <c r="S121" s="7"/>
      <c r="T121" s="7"/>
      <c r="U121" s="8">
        <f t="shared" si="19"/>
        <v>0</v>
      </c>
      <c r="V121" s="9"/>
      <c r="W121" s="9"/>
      <c r="X121" s="18"/>
      <c r="Y121" s="18"/>
      <c r="Z121" s="19"/>
      <c r="AA121" s="18"/>
      <c r="AB121" s="19"/>
      <c r="AC121" s="19"/>
      <c r="AD121" s="19"/>
      <c r="AE121" s="9"/>
      <c r="AF121" s="9"/>
      <c r="AG121" s="26"/>
      <c r="AH121" s="26"/>
      <c r="AI121" s="89"/>
    </row>
    <row r="122" spans="1:35" ht="12.75">
      <c r="A122" s="155"/>
      <c r="B122" s="155"/>
      <c r="C122" s="155"/>
      <c r="D122" s="155"/>
      <c r="E122" s="155"/>
      <c r="F122" s="155"/>
      <c r="G122" s="155"/>
      <c r="H122" s="5" t="s">
        <v>58</v>
      </c>
      <c r="I122" s="22"/>
      <c r="J122" s="9"/>
      <c r="K122" s="9"/>
      <c r="L122" s="11" t="b">
        <v>0</v>
      </c>
      <c r="M122" s="11" t="b">
        <v>0</v>
      </c>
      <c r="N122" s="7"/>
      <c r="O122" s="7"/>
      <c r="P122" s="8">
        <f t="shared" si="18"/>
        <v>0</v>
      </c>
      <c r="Q122" s="7"/>
      <c r="R122" s="9"/>
      <c r="S122" s="7"/>
      <c r="T122" s="7"/>
      <c r="U122" s="8">
        <f t="shared" si="19"/>
        <v>0</v>
      </c>
      <c r="V122" s="9"/>
      <c r="W122" s="9"/>
      <c r="X122" s="18"/>
      <c r="Y122" s="18"/>
      <c r="Z122" s="19"/>
      <c r="AA122" s="18"/>
      <c r="AB122" s="19"/>
      <c r="AC122" s="19"/>
      <c r="AD122" s="19"/>
      <c r="AE122" s="9"/>
      <c r="AF122" s="9"/>
      <c r="AG122" s="26"/>
      <c r="AH122" s="26"/>
      <c r="AI122" s="9"/>
    </row>
    <row r="123" spans="1:35" ht="15">
      <c r="A123" s="113"/>
      <c r="B123" s="113"/>
      <c r="C123" s="113"/>
      <c r="D123" s="159" t="s">
        <v>455</v>
      </c>
      <c r="E123" s="159" t="s">
        <v>456</v>
      </c>
      <c r="F123" s="163" t="s">
        <v>457</v>
      </c>
      <c r="G123" s="165"/>
      <c r="H123" s="91" t="s">
        <v>458</v>
      </c>
      <c r="I123" s="92"/>
      <c r="J123" s="93"/>
      <c r="K123" s="93"/>
      <c r="L123" s="94" t="b">
        <v>0</v>
      </c>
      <c r="M123" s="94" t="b">
        <v>0</v>
      </c>
      <c r="N123" s="95"/>
      <c r="O123" s="95"/>
      <c r="P123" s="96">
        <f t="shared" si="18"/>
        <v>0</v>
      </c>
      <c r="Q123" s="95"/>
      <c r="R123" s="93"/>
      <c r="S123" s="95"/>
      <c r="T123" s="95"/>
      <c r="U123" s="96">
        <f t="shared" si="19"/>
        <v>0</v>
      </c>
      <c r="V123" s="93"/>
      <c r="W123" s="93"/>
      <c r="X123" s="97"/>
      <c r="Y123" s="97"/>
      <c r="Z123" s="98"/>
      <c r="AA123" s="97"/>
      <c r="AB123" s="98"/>
      <c r="AC123" s="98"/>
      <c r="AD123" s="98"/>
      <c r="AE123" s="93"/>
      <c r="AF123" s="93"/>
      <c r="AG123" s="99"/>
      <c r="AH123" s="99"/>
      <c r="AI123" s="93"/>
    </row>
    <row r="124" spans="1:35" ht="15">
      <c r="A124" s="113"/>
      <c r="B124" s="113"/>
      <c r="C124" s="113"/>
      <c r="D124" s="155"/>
      <c r="E124" s="155"/>
      <c r="F124" s="155"/>
      <c r="G124" s="155"/>
      <c r="H124" s="91" t="s">
        <v>58</v>
      </c>
      <c r="I124" s="92"/>
      <c r="J124" s="93"/>
      <c r="K124" s="93"/>
      <c r="L124" s="94" t="b">
        <v>0</v>
      </c>
      <c r="M124" s="94" t="b">
        <v>0</v>
      </c>
      <c r="N124" s="95"/>
      <c r="O124" s="95"/>
      <c r="P124" s="96">
        <f t="shared" si="18"/>
        <v>0</v>
      </c>
      <c r="Q124" s="95"/>
      <c r="R124" s="93"/>
      <c r="S124" s="95"/>
      <c r="T124" s="95"/>
      <c r="U124" s="96">
        <f t="shared" si="19"/>
        <v>0</v>
      </c>
      <c r="V124" s="93"/>
      <c r="W124" s="93"/>
      <c r="X124" s="97"/>
      <c r="Y124" s="97"/>
      <c r="Z124" s="98"/>
      <c r="AA124" s="97"/>
      <c r="AB124" s="98"/>
      <c r="AC124" s="98"/>
      <c r="AD124" s="98"/>
      <c r="AE124" s="93"/>
      <c r="AF124" s="93"/>
      <c r="AG124" s="99"/>
      <c r="AH124" s="99"/>
      <c r="AI124" s="100"/>
    </row>
    <row r="125" spans="1:35" ht="15">
      <c r="A125" s="113"/>
      <c r="B125" s="113"/>
      <c r="C125" s="113"/>
      <c r="D125" s="159" t="s">
        <v>455</v>
      </c>
      <c r="E125" s="166" t="s">
        <v>459</v>
      </c>
      <c r="F125" s="163" t="s">
        <v>457</v>
      </c>
      <c r="G125" s="165"/>
      <c r="H125" s="91" t="s">
        <v>458</v>
      </c>
      <c r="I125" s="92"/>
      <c r="J125" s="93"/>
      <c r="K125" s="93"/>
      <c r="L125" s="94" t="b">
        <v>0</v>
      </c>
      <c r="M125" s="94" t="b">
        <v>0</v>
      </c>
      <c r="N125" s="95"/>
      <c r="O125" s="95"/>
      <c r="P125" s="96">
        <f t="shared" si="18"/>
        <v>0</v>
      </c>
      <c r="Q125" s="95"/>
      <c r="R125" s="93"/>
      <c r="S125" s="95"/>
      <c r="T125" s="95"/>
      <c r="U125" s="96">
        <f t="shared" si="19"/>
        <v>0</v>
      </c>
      <c r="V125" s="93"/>
      <c r="W125" s="93"/>
      <c r="X125" s="93"/>
      <c r="Y125" s="93"/>
      <c r="Z125" s="91"/>
      <c r="AA125" s="93"/>
      <c r="AB125" s="91"/>
      <c r="AC125" s="91"/>
      <c r="AD125" s="91"/>
      <c r="AE125" s="93"/>
      <c r="AF125" s="93"/>
      <c r="AG125" s="99"/>
      <c r="AH125" s="99"/>
      <c r="AI125" s="101"/>
    </row>
    <row r="126" spans="1:35" ht="12.75">
      <c r="A126" s="113"/>
      <c r="B126" s="113"/>
      <c r="C126" s="113"/>
      <c r="D126" s="155"/>
      <c r="E126" s="155"/>
      <c r="F126" s="155"/>
      <c r="G126" s="155"/>
      <c r="H126" s="91" t="s">
        <v>58</v>
      </c>
      <c r="I126" s="102"/>
      <c r="J126" s="93"/>
      <c r="K126" s="93"/>
      <c r="L126" s="94" t="b">
        <v>0</v>
      </c>
      <c r="M126" s="94" t="b">
        <v>0</v>
      </c>
      <c r="N126" s="95"/>
      <c r="O126" s="95"/>
      <c r="P126" s="96">
        <f t="shared" si="18"/>
        <v>0</v>
      </c>
      <c r="Q126" s="95"/>
      <c r="R126" s="93"/>
      <c r="S126" s="95"/>
      <c r="T126" s="95"/>
      <c r="U126" s="96">
        <f t="shared" si="19"/>
        <v>0</v>
      </c>
      <c r="V126" s="93"/>
      <c r="W126" s="93"/>
      <c r="X126" s="93"/>
      <c r="Y126" s="93"/>
      <c r="Z126" s="91"/>
      <c r="AA126" s="93"/>
      <c r="AB126" s="91"/>
      <c r="AC126" s="91"/>
      <c r="AD126" s="91"/>
      <c r="AE126" s="93"/>
      <c r="AF126" s="93"/>
      <c r="AG126" s="99"/>
      <c r="AH126" s="99"/>
      <c r="AI126" s="99"/>
    </row>
    <row r="127" spans="1:35" ht="15">
      <c r="A127" s="113"/>
      <c r="B127" s="113"/>
      <c r="C127" s="113"/>
      <c r="D127" s="159" t="s">
        <v>460</v>
      </c>
      <c r="E127" s="163" t="s">
        <v>461</v>
      </c>
      <c r="F127" s="159" t="s">
        <v>462</v>
      </c>
      <c r="G127" s="165"/>
      <c r="H127" s="91" t="s">
        <v>49</v>
      </c>
      <c r="I127" s="103"/>
      <c r="J127" s="93"/>
      <c r="K127" s="93"/>
      <c r="L127" s="94" t="b">
        <v>0</v>
      </c>
      <c r="M127" s="94" t="b">
        <v>0</v>
      </c>
      <c r="N127" s="95"/>
      <c r="O127" s="95"/>
      <c r="P127" s="96">
        <f t="shared" si="18"/>
        <v>0</v>
      </c>
      <c r="Q127" s="95"/>
      <c r="R127" s="93"/>
      <c r="S127" s="95"/>
      <c r="T127" s="95"/>
      <c r="U127" s="96">
        <f t="shared" si="19"/>
        <v>0</v>
      </c>
      <c r="V127" s="93"/>
      <c r="W127" s="93"/>
      <c r="X127" s="93"/>
      <c r="Y127" s="93"/>
      <c r="Z127" s="91"/>
      <c r="AA127" s="93"/>
      <c r="AB127" s="91"/>
      <c r="AC127" s="91"/>
      <c r="AD127" s="91"/>
      <c r="AE127" s="93"/>
      <c r="AF127" s="93"/>
      <c r="AG127" s="99"/>
      <c r="AH127" s="99"/>
      <c r="AI127" s="101"/>
    </row>
    <row r="128" spans="1:35" ht="15">
      <c r="A128" s="113"/>
      <c r="B128" s="113"/>
      <c r="C128" s="113"/>
      <c r="D128" s="155"/>
      <c r="E128" s="155"/>
      <c r="F128" s="155"/>
      <c r="G128" s="155"/>
      <c r="H128" s="91" t="s">
        <v>58</v>
      </c>
      <c r="I128" s="103"/>
      <c r="J128" s="93"/>
      <c r="K128" s="93"/>
      <c r="L128" s="94" t="b">
        <v>0</v>
      </c>
      <c r="M128" s="94" t="b">
        <v>0</v>
      </c>
      <c r="N128" s="95"/>
      <c r="O128" s="95"/>
      <c r="P128" s="96">
        <f t="shared" si="18"/>
        <v>0</v>
      </c>
      <c r="Q128" s="95"/>
      <c r="R128" s="93"/>
      <c r="S128" s="95"/>
      <c r="T128" s="95"/>
      <c r="U128" s="96">
        <f t="shared" si="19"/>
        <v>0</v>
      </c>
      <c r="V128" s="93"/>
      <c r="W128" s="93"/>
      <c r="X128" s="97"/>
      <c r="Y128" s="97"/>
      <c r="Z128" s="98"/>
      <c r="AA128" s="97"/>
      <c r="AB128" s="98"/>
      <c r="AC128" s="98"/>
      <c r="AD128" s="98"/>
      <c r="AE128" s="93"/>
      <c r="AF128" s="93"/>
      <c r="AG128" s="99"/>
      <c r="AH128" s="99"/>
      <c r="AI128" s="101"/>
    </row>
    <row r="129" spans="1:35" ht="15">
      <c r="A129" s="113"/>
      <c r="B129" s="113"/>
      <c r="C129" s="113"/>
      <c r="D129" s="159" t="s">
        <v>453</v>
      </c>
      <c r="E129" s="159" t="s">
        <v>463</v>
      </c>
      <c r="F129" s="159" t="s">
        <v>464</v>
      </c>
      <c r="G129" s="165"/>
      <c r="H129" s="91" t="s">
        <v>465</v>
      </c>
      <c r="I129" s="103"/>
      <c r="J129" s="93"/>
      <c r="K129" s="93"/>
      <c r="L129" s="94" t="b">
        <v>0</v>
      </c>
      <c r="M129" s="94" t="b">
        <v>0</v>
      </c>
      <c r="N129" s="95"/>
      <c r="O129" s="95"/>
      <c r="P129" s="96">
        <f t="shared" si="18"/>
        <v>0</v>
      </c>
      <c r="Q129" s="95"/>
      <c r="R129" s="93"/>
      <c r="S129" s="95"/>
      <c r="T129" s="95"/>
      <c r="U129" s="96">
        <f t="shared" si="19"/>
        <v>0</v>
      </c>
      <c r="V129" s="93"/>
      <c r="W129" s="93"/>
      <c r="X129" s="97"/>
      <c r="Y129" s="97"/>
      <c r="Z129" s="98"/>
      <c r="AA129" s="97"/>
      <c r="AB129" s="98"/>
      <c r="AC129" s="98"/>
      <c r="AD129" s="98"/>
      <c r="AE129" s="93"/>
      <c r="AF129" s="93"/>
      <c r="AG129" s="99"/>
      <c r="AH129" s="99"/>
      <c r="AI129" s="101"/>
    </row>
    <row r="130" spans="1:35" ht="15">
      <c r="A130" s="113"/>
      <c r="B130" s="113"/>
      <c r="C130" s="113"/>
      <c r="D130" s="155"/>
      <c r="E130" s="155"/>
      <c r="F130" s="155"/>
      <c r="G130" s="155"/>
      <c r="H130" s="91" t="s">
        <v>58</v>
      </c>
      <c r="I130" s="103"/>
      <c r="J130" s="93"/>
      <c r="K130" s="93"/>
      <c r="L130" s="94" t="b">
        <v>0</v>
      </c>
      <c r="M130" s="94" t="b">
        <v>0</v>
      </c>
      <c r="N130" s="95"/>
      <c r="O130" s="95"/>
      <c r="P130" s="96">
        <f t="shared" si="18"/>
        <v>0</v>
      </c>
      <c r="Q130" s="95"/>
      <c r="R130" s="93"/>
      <c r="S130" s="95"/>
      <c r="T130" s="95"/>
      <c r="U130" s="96">
        <f t="shared" si="19"/>
        <v>0</v>
      </c>
      <c r="V130" s="93"/>
      <c r="W130" s="93"/>
      <c r="X130" s="97"/>
      <c r="Y130" s="97"/>
      <c r="Z130" s="98"/>
      <c r="AA130" s="97"/>
      <c r="AB130" s="98"/>
      <c r="AC130" s="98"/>
      <c r="AD130" s="98"/>
      <c r="AE130" s="93"/>
      <c r="AF130" s="93"/>
      <c r="AG130" s="99"/>
      <c r="AH130" s="99"/>
      <c r="AI130" s="101"/>
    </row>
    <row r="131" spans="1:35" ht="12.75">
      <c r="A131" s="114"/>
      <c r="B131" s="114"/>
      <c r="C131" s="114"/>
      <c r="D131" s="115"/>
      <c r="E131" s="115"/>
      <c r="F131" s="115"/>
      <c r="G131" s="116"/>
      <c r="H131" s="115"/>
      <c r="I131" s="117"/>
      <c r="J131" s="116"/>
      <c r="K131" s="116"/>
      <c r="L131" s="116"/>
      <c r="M131" s="116"/>
      <c r="N131" s="118"/>
      <c r="O131" s="118"/>
      <c r="P131" s="119"/>
      <c r="Q131" s="118"/>
      <c r="R131" s="116"/>
      <c r="S131" s="118"/>
      <c r="T131" s="118"/>
      <c r="U131" s="119"/>
      <c r="V131" s="116"/>
      <c r="W131" s="116"/>
      <c r="X131" s="116"/>
      <c r="Y131" s="116"/>
      <c r="Z131" s="115"/>
      <c r="AA131" s="116"/>
      <c r="AB131" s="115"/>
      <c r="AC131" s="115"/>
      <c r="AD131" s="115"/>
      <c r="AE131" s="116"/>
      <c r="AF131" s="116"/>
      <c r="AG131" s="116"/>
      <c r="AH131" s="116"/>
      <c r="AI131" s="116"/>
    </row>
    <row r="132" spans="1:35" ht="12.75">
      <c r="A132" s="162" t="s">
        <v>151</v>
      </c>
      <c r="B132" s="162" t="s">
        <v>152</v>
      </c>
      <c r="C132" s="162" t="s">
        <v>153</v>
      </c>
      <c r="D132" s="162" t="s">
        <v>453</v>
      </c>
      <c r="E132" s="160" t="s">
        <v>47</v>
      </c>
      <c r="F132" s="162" t="s">
        <v>454</v>
      </c>
      <c r="G132" s="164"/>
      <c r="H132" s="77" t="s">
        <v>49</v>
      </c>
      <c r="I132" s="108"/>
      <c r="J132" s="78"/>
      <c r="K132" s="78"/>
      <c r="L132" s="79" t="b">
        <v>0</v>
      </c>
      <c r="M132" s="79" t="b">
        <v>0</v>
      </c>
      <c r="N132" s="81"/>
      <c r="O132" s="81"/>
      <c r="P132" s="80">
        <f t="shared" ref="P132:P143" si="21">N132+O132</f>
        <v>0</v>
      </c>
      <c r="Q132" s="81"/>
      <c r="R132" s="78"/>
      <c r="S132" s="81"/>
      <c r="T132" s="81"/>
      <c r="U132" s="80">
        <f t="shared" ref="U132:U143" si="22">S132+T132</f>
        <v>0</v>
      </c>
      <c r="V132" s="78"/>
      <c r="W132" s="78"/>
      <c r="X132" s="78"/>
      <c r="Y132" s="78"/>
      <c r="Z132" s="77"/>
      <c r="AA132" s="78"/>
      <c r="AB132" s="77"/>
      <c r="AC132" s="77"/>
      <c r="AD132" s="77"/>
      <c r="AE132" s="78"/>
      <c r="AF132" s="78"/>
      <c r="AG132" s="109"/>
      <c r="AH132" s="109"/>
      <c r="AI132" s="78"/>
    </row>
    <row r="133" spans="1:35" ht="12.75">
      <c r="A133" s="155"/>
      <c r="B133" s="155"/>
      <c r="C133" s="155"/>
      <c r="D133" s="155"/>
      <c r="E133" s="155"/>
      <c r="F133" s="155"/>
      <c r="G133" s="155"/>
      <c r="H133" s="85" t="s">
        <v>58</v>
      </c>
      <c r="I133" s="112"/>
      <c r="J133" s="84"/>
      <c r="K133" s="84"/>
      <c r="L133" s="86" t="b">
        <v>0</v>
      </c>
      <c r="M133" s="86" t="b">
        <v>0</v>
      </c>
      <c r="N133" s="83"/>
      <c r="O133" s="83"/>
      <c r="P133" s="87">
        <f t="shared" si="21"/>
        <v>0</v>
      </c>
      <c r="Q133" s="83"/>
      <c r="R133" s="84"/>
      <c r="S133" s="83"/>
      <c r="T133" s="83"/>
      <c r="U133" s="87">
        <f t="shared" si="22"/>
        <v>0</v>
      </c>
      <c r="V133" s="84"/>
      <c r="W133" s="84"/>
      <c r="X133" s="84"/>
      <c r="Y133" s="84"/>
      <c r="Z133" s="85"/>
      <c r="AA133" s="84"/>
      <c r="AB133" s="85"/>
      <c r="AC133" s="85"/>
      <c r="AD133" s="85"/>
      <c r="AE133" s="84"/>
      <c r="AF133" s="84"/>
      <c r="AG133" s="110"/>
      <c r="AH133" s="110"/>
      <c r="AI133" s="84"/>
    </row>
    <row r="134" spans="1:35" ht="12.75">
      <c r="A134" s="155"/>
      <c r="B134" s="155"/>
      <c r="C134" s="155"/>
      <c r="D134" s="157" t="s">
        <v>453</v>
      </c>
      <c r="E134" s="157" t="s">
        <v>59</v>
      </c>
      <c r="F134" s="157" t="s">
        <v>454</v>
      </c>
      <c r="G134" s="158"/>
      <c r="H134" s="5" t="s">
        <v>49</v>
      </c>
      <c r="I134" s="17"/>
      <c r="J134" s="9"/>
      <c r="K134" s="9"/>
      <c r="L134" s="11" t="b">
        <v>0</v>
      </c>
      <c r="M134" s="11" t="b">
        <v>0</v>
      </c>
      <c r="N134" s="7"/>
      <c r="O134" s="7"/>
      <c r="P134" s="8">
        <f t="shared" si="21"/>
        <v>0</v>
      </c>
      <c r="Q134" s="7"/>
      <c r="R134" s="9"/>
      <c r="S134" s="7"/>
      <c r="T134" s="7"/>
      <c r="U134" s="8">
        <f t="shared" si="22"/>
        <v>0</v>
      </c>
      <c r="V134" s="9"/>
      <c r="W134" s="9"/>
      <c r="X134" s="18"/>
      <c r="Y134" s="18"/>
      <c r="Z134" s="19"/>
      <c r="AA134" s="18"/>
      <c r="AB134" s="19"/>
      <c r="AC134" s="19"/>
      <c r="AD134" s="19"/>
      <c r="AE134" s="9"/>
      <c r="AF134" s="9"/>
      <c r="AG134" s="26"/>
      <c r="AH134" s="26"/>
      <c r="AI134" s="89"/>
    </row>
    <row r="135" spans="1:35" ht="12.75">
      <c r="A135" s="155"/>
      <c r="B135" s="155"/>
      <c r="C135" s="155"/>
      <c r="D135" s="155"/>
      <c r="E135" s="155"/>
      <c r="F135" s="155"/>
      <c r="G135" s="155"/>
      <c r="H135" s="5" t="s">
        <v>58</v>
      </c>
      <c r="I135" s="22"/>
      <c r="J135" s="9"/>
      <c r="K135" s="9"/>
      <c r="L135" s="11" t="b">
        <v>0</v>
      </c>
      <c r="M135" s="11" t="b">
        <v>0</v>
      </c>
      <c r="N135" s="7"/>
      <c r="O135" s="7"/>
      <c r="P135" s="8">
        <f t="shared" si="21"/>
        <v>0</v>
      </c>
      <c r="Q135" s="7"/>
      <c r="R135" s="9"/>
      <c r="S135" s="7"/>
      <c r="T135" s="7"/>
      <c r="U135" s="8">
        <f t="shared" si="22"/>
        <v>0</v>
      </c>
      <c r="V135" s="9"/>
      <c r="W135" s="9"/>
      <c r="X135" s="18"/>
      <c r="Y135" s="18"/>
      <c r="Z135" s="19"/>
      <c r="AA135" s="18"/>
      <c r="AB135" s="19"/>
      <c r="AC135" s="19"/>
      <c r="AD135" s="19"/>
      <c r="AE135" s="9"/>
      <c r="AF135" s="9"/>
      <c r="AG135" s="26"/>
      <c r="AH135" s="26"/>
      <c r="AI135" s="9"/>
    </row>
    <row r="136" spans="1:35" ht="15">
      <c r="A136" s="113"/>
      <c r="B136" s="113"/>
      <c r="C136" s="113"/>
      <c r="D136" s="159" t="s">
        <v>455</v>
      </c>
      <c r="E136" s="159" t="s">
        <v>456</v>
      </c>
      <c r="F136" s="163" t="s">
        <v>457</v>
      </c>
      <c r="G136" s="165"/>
      <c r="H136" s="91" t="s">
        <v>458</v>
      </c>
      <c r="I136" s="92"/>
      <c r="J136" s="93"/>
      <c r="K136" s="93"/>
      <c r="L136" s="94" t="b">
        <v>0</v>
      </c>
      <c r="M136" s="94" t="b">
        <v>0</v>
      </c>
      <c r="N136" s="95"/>
      <c r="O136" s="95"/>
      <c r="P136" s="96">
        <f t="shared" si="21"/>
        <v>0</v>
      </c>
      <c r="Q136" s="95"/>
      <c r="R136" s="93"/>
      <c r="S136" s="95"/>
      <c r="T136" s="95"/>
      <c r="U136" s="96">
        <f t="shared" si="22"/>
        <v>0</v>
      </c>
      <c r="V136" s="93"/>
      <c r="W136" s="93"/>
      <c r="X136" s="97"/>
      <c r="Y136" s="97"/>
      <c r="Z136" s="98"/>
      <c r="AA136" s="97"/>
      <c r="AB136" s="98"/>
      <c r="AC136" s="98"/>
      <c r="AD136" s="98"/>
      <c r="AE136" s="93"/>
      <c r="AF136" s="93"/>
      <c r="AG136" s="99"/>
      <c r="AH136" s="99"/>
      <c r="AI136" s="93"/>
    </row>
    <row r="137" spans="1:35" ht="15">
      <c r="A137" s="113"/>
      <c r="B137" s="113"/>
      <c r="C137" s="113"/>
      <c r="D137" s="155"/>
      <c r="E137" s="155"/>
      <c r="F137" s="155"/>
      <c r="G137" s="155"/>
      <c r="H137" s="91" t="s">
        <v>58</v>
      </c>
      <c r="I137" s="92"/>
      <c r="J137" s="93"/>
      <c r="K137" s="93"/>
      <c r="L137" s="94" t="b">
        <v>0</v>
      </c>
      <c r="M137" s="94" t="b">
        <v>0</v>
      </c>
      <c r="N137" s="95"/>
      <c r="O137" s="95"/>
      <c r="P137" s="96">
        <f t="shared" si="21"/>
        <v>0</v>
      </c>
      <c r="Q137" s="95"/>
      <c r="R137" s="93"/>
      <c r="S137" s="95"/>
      <c r="T137" s="95"/>
      <c r="U137" s="96">
        <f t="shared" si="22"/>
        <v>0</v>
      </c>
      <c r="V137" s="93"/>
      <c r="W137" s="93"/>
      <c r="X137" s="97"/>
      <c r="Y137" s="97"/>
      <c r="Z137" s="98"/>
      <c r="AA137" s="97"/>
      <c r="AB137" s="98"/>
      <c r="AC137" s="98"/>
      <c r="AD137" s="98"/>
      <c r="AE137" s="93"/>
      <c r="AF137" s="93"/>
      <c r="AG137" s="99"/>
      <c r="AH137" s="99"/>
      <c r="AI137" s="100"/>
    </row>
    <row r="138" spans="1:35" ht="15">
      <c r="A138" s="113"/>
      <c r="B138" s="113"/>
      <c r="C138" s="113"/>
      <c r="D138" s="159" t="s">
        <v>455</v>
      </c>
      <c r="E138" s="166" t="s">
        <v>459</v>
      </c>
      <c r="F138" s="163" t="s">
        <v>457</v>
      </c>
      <c r="G138" s="165"/>
      <c r="H138" s="91" t="s">
        <v>458</v>
      </c>
      <c r="I138" s="92"/>
      <c r="J138" s="93"/>
      <c r="K138" s="93"/>
      <c r="L138" s="94" t="b">
        <v>0</v>
      </c>
      <c r="M138" s="94" t="b">
        <v>0</v>
      </c>
      <c r="N138" s="95"/>
      <c r="O138" s="95"/>
      <c r="P138" s="96">
        <f t="shared" si="21"/>
        <v>0</v>
      </c>
      <c r="Q138" s="95"/>
      <c r="R138" s="93"/>
      <c r="S138" s="95"/>
      <c r="T138" s="95"/>
      <c r="U138" s="96">
        <f t="shared" si="22"/>
        <v>0</v>
      </c>
      <c r="V138" s="93"/>
      <c r="W138" s="93"/>
      <c r="X138" s="93"/>
      <c r="Y138" s="93"/>
      <c r="Z138" s="91"/>
      <c r="AA138" s="93"/>
      <c r="AB138" s="91"/>
      <c r="AC138" s="91"/>
      <c r="AD138" s="91"/>
      <c r="AE138" s="93"/>
      <c r="AF138" s="93"/>
      <c r="AG138" s="99"/>
      <c r="AH138" s="99"/>
      <c r="AI138" s="101"/>
    </row>
    <row r="139" spans="1:35" ht="12.75">
      <c r="A139" s="113"/>
      <c r="B139" s="113"/>
      <c r="C139" s="113"/>
      <c r="D139" s="155"/>
      <c r="E139" s="155"/>
      <c r="F139" s="155"/>
      <c r="G139" s="155"/>
      <c r="H139" s="91" t="s">
        <v>58</v>
      </c>
      <c r="I139" s="102"/>
      <c r="J139" s="93"/>
      <c r="K139" s="93"/>
      <c r="L139" s="94" t="b">
        <v>0</v>
      </c>
      <c r="M139" s="94" t="b">
        <v>0</v>
      </c>
      <c r="N139" s="95"/>
      <c r="O139" s="95"/>
      <c r="P139" s="96">
        <f t="shared" si="21"/>
        <v>0</v>
      </c>
      <c r="Q139" s="95"/>
      <c r="R139" s="93"/>
      <c r="S139" s="95"/>
      <c r="T139" s="95"/>
      <c r="U139" s="96">
        <f t="shared" si="22"/>
        <v>0</v>
      </c>
      <c r="V139" s="93"/>
      <c r="W139" s="93"/>
      <c r="X139" s="93"/>
      <c r="Y139" s="93"/>
      <c r="Z139" s="91"/>
      <c r="AA139" s="93"/>
      <c r="AB139" s="91"/>
      <c r="AC139" s="91"/>
      <c r="AD139" s="91"/>
      <c r="AE139" s="93"/>
      <c r="AF139" s="93"/>
      <c r="AG139" s="99"/>
      <c r="AH139" s="99"/>
      <c r="AI139" s="99"/>
    </row>
    <row r="140" spans="1:35" ht="15">
      <c r="A140" s="113"/>
      <c r="B140" s="113"/>
      <c r="C140" s="113"/>
      <c r="D140" s="159" t="s">
        <v>460</v>
      </c>
      <c r="E140" s="163" t="s">
        <v>461</v>
      </c>
      <c r="F140" s="159" t="s">
        <v>462</v>
      </c>
      <c r="G140" s="165"/>
      <c r="H140" s="91" t="s">
        <v>49</v>
      </c>
      <c r="I140" s="103"/>
      <c r="J140" s="93"/>
      <c r="K140" s="93"/>
      <c r="L140" s="94" t="b">
        <v>0</v>
      </c>
      <c r="M140" s="94" t="b">
        <v>0</v>
      </c>
      <c r="N140" s="95"/>
      <c r="O140" s="95"/>
      <c r="P140" s="96">
        <f t="shared" si="21"/>
        <v>0</v>
      </c>
      <c r="Q140" s="95"/>
      <c r="R140" s="93"/>
      <c r="S140" s="95"/>
      <c r="T140" s="95"/>
      <c r="U140" s="96">
        <f t="shared" si="22"/>
        <v>0</v>
      </c>
      <c r="V140" s="93"/>
      <c r="W140" s="93"/>
      <c r="X140" s="93"/>
      <c r="Y140" s="93"/>
      <c r="Z140" s="91"/>
      <c r="AA140" s="93"/>
      <c r="AB140" s="91"/>
      <c r="AC140" s="91"/>
      <c r="AD140" s="91"/>
      <c r="AE140" s="93"/>
      <c r="AF140" s="93"/>
      <c r="AG140" s="99"/>
      <c r="AH140" s="99"/>
      <c r="AI140" s="101"/>
    </row>
    <row r="141" spans="1:35" ht="15">
      <c r="A141" s="113"/>
      <c r="B141" s="113"/>
      <c r="C141" s="113"/>
      <c r="D141" s="155"/>
      <c r="E141" s="155"/>
      <c r="F141" s="155"/>
      <c r="G141" s="155"/>
      <c r="H141" s="91" t="s">
        <v>58</v>
      </c>
      <c r="I141" s="103"/>
      <c r="J141" s="93"/>
      <c r="K141" s="93"/>
      <c r="L141" s="94" t="b">
        <v>0</v>
      </c>
      <c r="M141" s="94" t="b">
        <v>0</v>
      </c>
      <c r="N141" s="95"/>
      <c r="O141" s="95"/>
      <c r="P141" s="96">
        <f t="shared" si="21"/>
        <v>0</v>
      </c>
      <c r="Q141" s="95"/>
      <c r="R141" s="93"/>
      <c r="S141" s="95"/>
      <c r="T141" s="95"/>
      <c r="U141" s="96">
        <f t="shared" si="22"/>
        <v>0</v>
      </c>
      <c r="V141" s="93"/>
      <c r="W141" s="93"/>
      <c r="X141" s="97"/>
      <c r="Y141" s="97"/>
      <c r="Z141" s="98"/>
      <c r="AA141" s="97"/>
      <c r="AB141" s="98"/>
      <c r="AC141" s="98"/>
      <c r="AD141" s="98"/>
      <c r="AE141" s="93"/>
      <c r="AF141" s="93"/>
      <c r="AG141" s="99"/>
      <c r="AH141" s="99"/>
      <c r="AI141" s="101"/>
    </row>
    <row r="142" spans="1:35" ht="15">
      <c r="A142" s="113"/>
      <c r="B142" s="113"/>
      <c r="C142" s="113"/>
      <c r="D142" s="159" t="s">
        <v>453</v>
      </c>
      <c r="E142" s="159" t="s">
        <v>463</v>
      </c>
      <c r="F142" s="159" t="s">
        <v>464</v>
      </c>
      <c r="G142" s="165"/>
      <c r="H142" s="91" t="s">
        <v>465</v>
      </c>
      <c r="I142" s="103"/>
      <c r="J142" s="93"/>
      <c r="K142" s="93"/>
      <c r="L142" s="94" t="b">
        <v>0</v>
      </c>
      <c r="M142" s="94" t="b">
        <v>0</v>
      </c>
      <c r="N142" s="95"/>
      <c r="O142" s="95"/>
      <c r="P142" s="96">
        <f t="shared" si="21"/>
        <v>0</v>
      </c>
      <c r="Q142" s="95"/>
      <c r="R142" s="93"/>
      <c r="S142" s="95"/>
      <c r="T142" s="95"/>
      <c r="U142" s="96">
        <f t="shared" si="22"/>
        <v>0</v>
      </c>
      <c r="V142" s="93"/>
      <c r="W142" s="93"/>
      <c r="X142" s="97"/>
      <c r="Y142" s="97"/>
      <c r="Z142" s="98"/>
      <c r="AA142" s="97"/>
      <c r="AB142" s="98"/>
      <c r="AC142" s="98"/>
      <c r="AD142" s="98"/>
      <c r="AE142" s="93"/>
      <c r="AF142" s="93"/>
      <c r="AG142" s="99"/>
      <c r="AH142" s="99"/>
      <c r="AI142" s="101"/>
    </row>
    <row r="143" spans="1:35" ht="15">
      <c r="A143" s="113"/>
      <c r="B143" s="113"/>
      <c r="C143" s="113"/>
      <c r="D143" s="155"/>
      <c r="E143" s="155"/>
      <c r="F143" s="155"/>
      <c r="G143" s="155"/>
      <c r="H143" s="91" t="s">
        <v>58</v>
      </c>
      <c r="I143" s="103"/>
      <c r="J143" s="93"/>
      <c r="K143" s="93"/>
      <c r="L143" s="94" t="b">
        <v>0</v>
      </c>
      <c r="M143" s="94" t="b">
        <v>0</v>
      </c>
      <c r="N143" s="95"/>
      <c r="O143" s="95"/>
      <c r="P143" s="96">
        <f t="shared" si="21"/>
        <v>0</v>
      </c>
      <c r="Q143" s="95"/>
      <c r="R143" s="93"/>
      <c r="S143" s="95"/>
      <c r="T143" s="95"/>
      <c r="U143" s="96">
        <f t="shared" si="22"/>
        <v>0</v>
      </c>
      <c r="V143" s="93"/>
      <c r="W143" s="93"/>
      <c r="X143" s="97"/>
      <c r="Y143" s="97"/>
      <c r="Z143" s="98"/>
      <c r="AA143" s="97"/>
      <c r="AB143" s="98"/>
      <c r="AC143" s="98"/>
      <c r="AD143" s="98"/>
      <c r="AE143" s="93"/>
      <c r="AF143" s="93"/>
      <c r="AG143" s="99"/>
      <c r="AH143" s="99"/>
      <c r="AI143" s="101"/>
    </row>
    <row r="144" spans="1:35" ht="12.75">
      <c r="A144" s="114"/>
      <c r="B144" s="114"/>
      <c r="C144" s="114"/>
      <c r="D144" s="115"/>
      <c r="E144" s="115"/>
      <c r="F144" s="115"/>
      <c r="G144" s="116"/>
      <c r="H144" s="115"/>
      <c r="I144" s="117"/>
      <c r="J144" s="116"/>
      <c r="K144" s="116"/>
      <c r="L144" s="116"/>
      <c r="M144" s="116"/>
      <c r="N144" s="118"/>
      <c r="O144" s="118"/>
      <c r="P144" s="119"/>
      <c r="Q144" s="118"/>
      <c r="R144" s="116"/>
      <c r="S144" s="118"/>
      <c r="T144" s="118"/>
      <c r="U144" s="119"/>
      <c r="V144" s="116"/>
      <c r="W144" s="116"/>
      <c r="X144" s="116"/>
      <c r="Y144" s="116"/>
      <c r="Z144" s="115"/>
      <c r="AA144" s="116"/>
      <c r="AB144" s="115"/>
      <c r="AC144" s="115"/>
      <c r="AD144" s="115"/>
      <c r="AE144" s="116"/>
      <c r="AF144" s="116"/>
      <c r="AG144" s="116"/>
      <c r="AH144" s="116"/>
      <c r="AI144" s="116"/>
    </row>
    <row r="145" spans="1:35" ht="12.75">
      <c r="A145" s="162" t="s">
        <v>162</v>
      </c>
      <c r="B145" s="162" t="s">
        <v>163</v>
      </c>
      <c r="C145" s="162" t="s">
        <v>164</v>
      </c>
      <c r="D145" s="162" t="s">
        <v>453</v>
      </c>
      <c r="E145" s="160" t="s">
        <v>47</v>
      </c>
      <c r="F145" s="162" t="s">
        <v>454</v>
      </c>
      <c r="G145" s="164"/>
      <c r="H145" s="77" t="s">
        <v>49</v>
      </c>
      <c r="I145" s="108"/>
      <c r="J145" s="78"/>
      <c r="K145" s="78"/>
      <c r="L145" s="79" t="b">
        <v>0</v>
      </c>
      <c r="M145" s="79" t="b">
        <v>0</v>
      </c>
      <c r="N145" s="81"/>
      <c r="O145" s="81"/>
      <c r="P145" s="80">
        <f t="shared" ref="P145:P156" si="23">N145+O145</f>
        <v>0</v>
      </c>
      <c r="Q145" s="81"/>
      <c r="R145" s="78"/>
      <c r="S145" s="81"/>
      <c r="T145" s="81"/>
      <c r="U145" s="80">
        <f t="shared" ref="U145:U156" si="24">S145+T145</f>
        <v>0</v>
      </c>
      <c r="V145" s="78"/>
      <c r="W145" s="78"/>
      <c r="X145" s="78"/>
      <c r="Y145" s="78"/>
      <c r="Z145" s="77"/>
      <c r="AA145" s="78"/>
      <c r="AB145" s="77"/>
      <c r="AC145" s="77"/>
      <c r="AD145" s="77"/>
      <c r="AE145" s="78"/>
      <c r="AF145" s="78"/>
      <c r="AG145" s="109"/>
      <c r="AH145" s="109"/>
      <c r="AI145" s="78"/>
    </row>
    <row r="146" spans="1:35" ht="12.75">
      <c r="A146" s="155"/>
      <c r="B146" s="155"/>
      <c r="C146" s="155"/>
      <c r="D146" s="155"/>
      <c r="E146" s="155"/>
      <c r="F146" s="155"/>
      <c r="G146" s="155"/>
      <c r="H146" s="85" t="s">
        <v>58</v>
      </c>
      <c r="I146" s="112"/>
      <c r="J146" s="84"/>
      <c r="K146" s="84"/>
      <c r="L146" s="86" t="b">
        <v>0</v>
      </c>
      <c r="M146" s="86" t="b">
        <v>0</v>
      </c>
      <c r="N146" s="83"/>
      <c r="O146" s="83"/>
      <c r="P146" s="87">
        <f t="shared" si="23"/>
        <v>0</v>
      </c>
      <c r="Q146" s="83"/>
      <c r="R146" s="84"/>
      <c r="S146" s="83"/>
      <c r="T146" s="83"/>
      <c r="U146" s="87">
        <f t="shared" si="24"/>
        <v>0</v>
      </c>
      <c r="V146" s="84"/>
      <c r="W146" s="84"/>
      <c r="X146" s="84"/>
      <c r="Y146" s="84"/>
      <c r="Z146" s="85"/>
      <c r="AA146" s="84"/>
      <c r="AB146" s="85"/>
      <c r="AC146" s="85"/>
      <c r="AD146" s="85"/>
      <c r="AE146" s="84"/>
      <c r="AF146" s="84"/>
      <c r="AG146" s="110"/>
      <c r="AH146" s="110"/>
      <c r="AI146" s="84"/>
    </row>
    <row r="147" spans="1:35" ht="12.75">
      <c r="A147" s="155"/>
      <c r="B147" s="155"/>
      <c r="C147" s="155"/>
      <c r="D147" s="157" t="s">
        <v>453</v>
      </c>
      <c r="E147" s="157" t="s">
        <v>59</v>
      </c>
      <c r="F147" s="157" t="s">
        <v>454</v>
      </c>
      <c r="G147" s="158"/>
      <c r="H147" s="5" t="s">
        <v>49</v>
      </c>
      <c r="I147" s="17"/>
      <c r="J147" s="9"/>
      <c r="K147" s="9"/>
      <c r="L147" s="11" t="b">
        <v>0</v>
      </c>
      <c r="M147" s="11" t="b">
        <v>0</v>
      </c>
      <c r="N147" s="7"/>
      <c r="O147" s="7"/>
      <c r="P147" s="8">
        <f t="shared" si="23"/>
        <v>0</v>
      </c>
      <c r="Q147" s="7"/>
      <c r="R147" s="9"/>
      <c r="S147" s="7"/>
      <c r="T147" s="7"/>
      <c r="U147" s="8">
        <f t="shared" si="24"/>
        <v>0</v>
      </c>
      <c r="V147" s="9"/>
      <c r="W147" s="9"/>
      <c r="X147" s="18"/>
      <c r="Y147" s="18"/>
      <c r="Z147" s="19"/>
      <c r="AA147" s="18"/>
      <c r="AB147" s="19"/>
      <c r="AC147" s="19"/>
      <c r="AD147" s="19"/>
      <c r="AE147" s="9"/>
      <c r="AF147" s="9"/>
      <c r="AG147" s="26"/>
      <c r="AH147" s="26"/>
      <c r="AI147" s="89"/>
    </row>
    <row r="148" spans="1:35" ht="12.75">
      <c r="A148" s="155"/>
      <c r="B148" s="155"/>
      <c r="C148" s="155"/>
      <c r="D148" s="155"/>
      <c r="E148" s="155"/>
      <c r="F148" s="155"/>
      <c r="G148" s="155"/>
      <c r="H148" s="5" t="s">
        <v>58</v>
      </c>
      <c r="I148" s="22"/>
      <c r="J148" s="9"/>
      <c r="K148" s="9"/>
      <c r="L148" s="11" t="b">
        <v>0</v>
      </c>
      <c r="M148" s="11" t="b">
        <v>0</v>
      </c>
      <c r="N148" s="7"/>
      <c r="O148" s="7"/>
      <c r="P148" s="8">
        <f t="shared" si="23"/>
        <v>0</v>
      </c>
      <c r="Q148" s="7"/>
      <c r="R148" s="9"/>
      <c r="S148" s="7"/>
      <c r="T148" s="7"/>
      <c r="U148" s="8">
        <f t="shared" si="24"/>
        <v>0</v>
      </c>
      <c r="V148" s="9"/>
      <c r="W148" s="9"/>
      <c r="X148" s="18"/>
      <c r="Y148" s="18"/>
      <c r="Z148" s="19"/>
      <c r="AA148" s="18"/>
      <c r="AB148" s="19"/>
      <c r="AC148" s="19"/>
      <c r="AD148" s="19"/>
      <c r="AE148" s="9"/>
      <c r="AF148" s="9"/>
      <c r="AG148" s="26"/>
      <c r="AH148" s="26"/>
      <c r="AI148" s="9"/>
    </row>
    <row r="149" spans="1:35" ht="15">
      <c r="A149" s="113"/>
      <c r="B149" s="113"/>
      <c r="C149" s="113"/>
      <c r="D149" s="159" t="s">
        <v>455</v>
      </c>
      <c r="E149" s="159" t="s">
        <v>456</v>
      </c>
      <c r="F149" s="163" t="s">
        <v>457</v>
      </c>
      <c r="G149" s="165"/>
      <c r="H149" s="91" t="s">
        <v>458</v>
      </c>
      <c r="I149" s="92"/>
      <c r="J149" s="93"/>
      <c r="K149" s="93"/>
      <c r="L149" s="94" t="b">
        <v>0</v>
      </c>
      <c r="M149" s="94" t="b">
        <v>0</v>
      </c>
      <c r="N149" s="95"/>
      <c r="O149" s="95"/>
      <c r="P149" s="96">
        <f t="shared" si="23"/>
        <v>0</v>
      </c>
      <c r="Q149" s="95"/>
      <c r="R149" s="93"/>
      <c r="S149" s="95"/>
      <c r="T149" s="95"/>
      <c r="U149" s="96">
        <f t="shared" si="24"/>
        <v>0</v>
      </c>
      <c r="V149" s="93"/>
      <c r="W149" s="93"/>
      <c r="X149" s="97"/>
      <c r="Y149" s="97"/>
      <c r="Z149" s="98"/>
      <c r="AA149" s="97"/>
      <c r="AB149" s="98"/>
      <c r="AC149" s="98"/>
      <c r="AD149" s="98"/>
      <c r="AE149" s="93"/>
      <c r="AF149" s="93"/>
      <c r="AG149" s="99"/>
      <c r="AH149" s="99"/>
      <c r="AI149" s="93"/>
    </row>
    <row r="150" spans="1:35" ht="15">
      <c r="A150" s="113"/>
      <c r="B150" s="113"/>
      <c r="C150" s="113"/>
      <c r="D150" s="155"/>
      <c r="E150" s="155"/>
      <c r="F150" s="155"/>
      <c r="G150" s="155"/>
      <c r="H150" s="91" t="s">
        <v>58</v>
      </c>
      <c r="I150" s="92"/>
      <c r="J150" s="93"/>
      <c r="K150" s="93"/>
      <c r="L150" s="94" t="b">
        <v>0</v>
      </c>
      <c r="M150" s="94" t="b">
        <v>0</v>
      </c>
      <c r="N150" s="95"/>
      <c r="O150" s="95"/>
      <c r="P150" s="96">
        <f t="shared" si="23"/>
        <v>0</v>
      </c>
      <c r="Q150" s="95"/>
      <c r="R150" s="93"/>
      <c r="S150" s="95"/>
      <c r="T150" s="95"/>
      <c r="U150" s="96">
        <f t="shared" si="24"/>
        <v>0</v>
      </c>
      <c r="V150" s="93"/>
      <c r="W150" s="93"/>
      <c r="X150" s="97"/>
      <c r="Y150" s="97"/>
      <c r="Z150" s="98"/>
      <c r="AA150" s="97"/>
      <c r="AB150" s="98"/>
      <c r="AC150" s="98"/>
      <c r="AD150" s="98"/>
      <c r="AE150" s="93"/>
      <c r="AF150" s="93"/>
      <c r="AG150" s="99"/>
      <c r="AH150" s="99"/>
      <c r="AI150" s="100"/>
    </row>
    <row r="151" spans="1:35" ht="15">
      <c r="A151" s="113"/>
      <c r="B151" s="113"/>
      <c r="C151" s="113"/>
      <c r="D151" s="159" t="s">
        <v>455</v>
      </c>
      <c r="E151" s="166" t="s">
        <v>459</v>
      </c>
      <c r="F151" s="163" t="s">
        <v>457</v>
      </c>
      <c r="G151" s="165"/>
      <c r="H151" s="91" t="s">
        <v>458</v>
      </c>
      <c r="I151" s="92"/>
      <c r="J151" s="93"/>
      <c r="K151" s="93"/>
      <c r="L151" s="94" t="b">
        <v>0</v>
      </c>
      <c r="M151" s="94" t="b">
        <v>0</v>
      </c>
      <c r="N151" s="95"/>
      <c r="O151" s="95"/>
      <c r="P151" s="96">
        <f t="shared" si="23"/>
        <v>0</v>
      </c>
      <c r="Q151" s="95"/>
      <c r="R151" s="93"/>
      <c r="S151" s="95"/>
      <c r="T151" s="95"/>
      <c r="U151" s="96">
        <f t="shared" si="24"/>
        <v>0</v>
      </c>
      <c r="V151" s="93"/>
      <c r="W151" s="93"/>
      <c r="X151" s="93"/>
      <c r="Y151" s="93"/>
      <c r="Z151" s="91"/>
      <c r="AA151" s="93"/>
      <c r="AB151" s="91"/>
      <c r="AC151" s="91"/>
      <c r="AD151" s="91"/>
      <c r="AE151" s="93"/>
      <c r="AF151" s="93"/>
      <c r="AG151" s="99"/>
      <c r="AH151" s="99"/>
      <c r="AI151" s="101"/>
    </row>
    <row r="152" spans="1:35" ht="12.75">
      <c r="A152" s="113"/>
      <c r="B152" s="113"/>
      <c r="C152" s="113"/>
      <c r="D152" s="155"/>
      <c r="E152" s="155"/>
      <c r="F152" s="155"/>
      <c r="G152" s="155"/>
      <c r="H152" s="91" t="s">
        <v>58</v>
      </c>
      <c r="I152" s="102"/>
      <c r="J152" s="93"/>
      <c r="K152" s="93"/>
      <c r="L152" s="94" t="b">
        <v>0</v>
      </c>
      <c r="M152" s="94" t="b">
        <v>0</v>
      </c>
      <c r="N152" s="95"/>
      <c r="O152" s="95"/>
      <c r="P152" s="96">
        <f t="shared" si="23"/>
        <v>0</v>
      </c>
      <c r="Q152" s="95"/>
      <c r="R152" s="93"/>
      <c r="S152" s="95"/>
      <c r="T152" s="95"/>
      <c r="U152" s="96">
        <f t="shared" si="24"/>
        <v>0</v>
      </c>
      <c r="V152" s="93"/>
      <c r="W152" s="93"/>
      <c r="X152" s="93"/>
      <c r="Y152" s="93"/>
      <c r="Z152" s="91"/>
      <c r="AA152" s="93"/>
      <c r="AB152" s="91"/>
      <c r="AC152" s="91"/>
      <c r="AD152" s="91"/>
      <c r="AE152" s="93"/>
      <c r="AF152" s="93"/>
      <c r="AG152" s="99"/>
      <c r="AH152" s="99"/>
      <c r="AI152" s="99"/>
    </row>
    <row r="153" spans="1:35" ht="15">
      <c r="A153" s="113"/>
      <c r="B153" s="113"/>
      <c r="C153" s="113"/>
      <c r="D153" s="159" t="s">
        <v>460</v>
      </c>
      <c r="E153" s="163" t="s">
        <v>461</v>
      </c>
      <c r="F153" s="159" t="s">
        <v>462</v>
      </c>
      <c r="G153" s="165"/>
      <c r="H153" s="91" t="s">
        <v>49</v>
      </c>
      <c r="I153" s="103"/>
      <c r="J153" s="93"/>
      <c r="K153" s="93"/>
      <c r="L153" s="94" t="b">
        <v>0</v>
      </c>
      <c r="M153" s="94" t="b">
        <v>0</v>
      </c>
      <c r="N153" s="95"/>
      <c r="O153" s="95"/>
      <c r="P153" s="96">
        <f t="shared" si="23"/>
        <v>0</v>
      </c>
      <c r="Q153" s="95"/>
      <c r="R153" s="93"/>
      <c r="S153" s="95"/>
      <c r="T153" s="95"/>
      <c r="U153" s="96">
        <f t="shared" si="24"/>
        <v>0</v>
      </c>
      <c r="V153" s="93"/>
      <c r="W153" s="93"/>
      <c r="X153" s="93"/>
      <c r="Y153" s="93"/>
      <c r="Z153" s="91"/>
      <c r="AA153" s="93"/>
      <c r="AB153" s="91"/>
      <c r="AC153" s="91"/>
      <c r="AD153" s="91"/>
      <c r="AE153" s="93"/>
      <c r="AF153" s="93"/>
      <c r="AG153" s="99"/>
      <c r="AH153" s="99"/>
      <c r="AI153" s="101"/>
    </row>
    <row r="154" spans="1:35" ht="15">
      <c r="A154" s="113"/>
      <c r="B154" s="113"/>
      <c r="C154" s="113"/>
      <c r="D154" s="155"/>
      <c r="E154" s="155"/>
      <c r="F154" s="155"/>
      <c r="G154" s="155"/>
      <c r="H154" s="91" t="s">
        <v>58</v>
      </c>
      <c r="I154" s="103"/>
      <c r="J154" s="93"/>
      <c r="K154" s="93"/>
      <c r="L154" s="94" t="b">
        <v>0</v>
      </c>
      <c r="M154" s="94" t="b">
        <v>0</v>
      </c>
      <c r="N154" s="95"/>
      <c r="O154" s="95"/>
      <c r="P154" s="96">
        <f t="shared" si="23"/>
        <v>0</v>
      </c>
      <c r="Q154" s="95"/>
      <c r="R154" s="93"/>
      <c r="S154" s="95"/>
      <c r="T154" s="95"/>
      <c r="U154" s="96">
        <f t="shared" si="24"/>
        <v>0</v>
      </c>
      <c r="V154" s="93"/>
      <c r="W154" s="93"/>
      <c r="X154" s="97"/>
      <c r="Y154" s="97"/>
      <c r="Z154" s="98"/>
      <c r="AA154" s="97"/>
      <c r="AB154" s="98"/>
      <c r="AC154" s="98"/>
      <c r="AD154" s="98"/>
      <c r="AE154" s="93"/>
      <c r="AF154" s="93"/>
      <c r="AG154" s="99"/>
      <c r="AH154" s="99"/>
      <c r="AI154" s="101"/>
    </row>
    <row r="155" spans="1:35" ht="15">
      <c r="A155" s="113"/>
      <c r="B155" s="113"/>
      <c r="C155" s="113"/>
      <c r="D155" s="159" t="s">
        <v>453</v>
      </c>
      <c r="E155" s="159" t="s">
        <v>463</v>
      </c>
      <c r="F155" s="159" t="s">
        <v>464</v>
      </c>
      <c r="G155" s="165"/>
      <c r="H155" s="91" t="s">
        <v>465</v>
      </c>
      <c r="I155" s="103"/>
      <c r="J155" s="93"/>
      <c r="K155" s="93"/>
      <c r="L155" s="94" t="b">
        <v>0</v>
      </c>
      <c r="M155" s="94" t="b">
        <v>0</v>
      </c>
      <c r="N155" s="95"/>
      <c r="O155" s="95"/>
      <c r="P155" s="96">
        <f t="shared" si="23"/>
        <v>0</v>
      </c>
      <c r="Q155" s="95"/>
      <c r="R155" s="93"/>
      <c r="S155" s="95"/>
      <c r="T155" s="95"/>
      <c r="U155" s="96">
        <f t="shared" si="24"/>
        <v>0</v>
      </c>
      <c r="V155" s="93"/>
      <c r="W155" s="93"/>
      <c r="X155" s="97"/>
      <c r="Y155" s="97"/>
      <c r="Z155" s="98"/>
      <c r="AA155" s="97"/>
      <c r="AB155" s="98"/>
      <c r="AC155" s="98"/>
      <c r="AD155" s="98"/>
      <c r="AE155" s="93"/>
      <c r="AF155" s="93"/>
      <c r="AG155" s="99"/>
      <c r="AH155" s="99"/>
      <c r="AI155" s="101"/>
    </row>
    <row r="156" spans="1:35" ht="15">
      <c r="A156" s="113"/>
      <c r="B156" s="113"/>
      <c r="C156" s="113"/>
      <c r="D156" s="155"/>
      <c r="E156" s="155"/>
      <c r="F156" s="155"/>
      <c r="G156" s="155"/>
      <c r="H156" s="91" t="s">
        <v>58</v>
      </c>
      <c r="I156" s="103"/>
      <c r="J156" s="93"/>
      <c r="K156" s="93"/>
      <c r="L156" s="94" t="b">
        <v>0</v>
      </c>
      <c r="M156" s="94" t="b">
        <v>0</v>
      </c>
      <c r="N156" s="95"/>
      <c r="O156" s="95"/>
      <c r="P156" s="96">
        <f t="shared" si="23"/>
        <v>0</v>
      </c>
      <c r="Q156" s="95"/>
      <c r="R156" s="93"/>
      <c r="S156" s="95"/>
      <c r="T156" s="95"/>
      <c r="U156" s="96">
        <f t="shared" si="24"/>
        <v>0</v>
      </c>
      <c r="V156" s="93"/>
      <c r="W156" s="93"/>
      <c r="X156" s="97"/>
      <c r="Y156" s="97"/>
      <c r="Z156" s="98"/>
      <c r="AA156" s="97"/>
      <c r="AB156" s="98"/>
      <c r="AC156" s="98"/>
      <c r="AD156" s="98"/>
      <c r="AE156" s="93"/>
      <c r="AF156" s="93"/>
      <c r="AG156" s="99"/>
      <c r="AH156" s="99"/>
      <c r="AI156" s="101"/>
    </row>
    <row r="157" spans="1:35" ht="12.75">
      <c r="A157" s="114"/>
      <c r="B157" s="114"/>
      <c r="C157" s="114"/>
      <c r="D157" s="115"/>
      <c r="E157" s="115"/>
      <c r="F157" s="115"/>
      <c r="G157" s="116"/>
      <c r="H157" s="115"/>
      <c r="I157" s="117"/>
      <c r="J157" s="116"/>
      <c r="K157" s="116"/>
      <c r="L157" s="116"/>
      <c r="M157" s="116"/>
      <c r="N157" s="118"/>
      <c r="O157" s="118"/>
      <c r="P157" s="119"/>
      <c r="Q157" s="118"/>
      <c r="R157" s="116"/>
      <c r="S157" s="118"/>
      <c r="T157" s="118"/>
      <c r="U157" s="119"/>
      <c r="V157" s="116"/>
      <c r="W157" s="116"/>
      <c r="X157" s="116"/>
      <c r="Y157" s="116"/>
      <c r="Z157" s="115"/>
      <c r="AA157" s="116"/>
      <c r="AB157" s="115"/>
      <c r="AC157" s="115"/>
      <c r="AD157" s="115"/>
      <c r="AE157" s="116"/>
      <c r="AF157" s="116"/>
      <c r="AG157" s="116"/>
      <c r="AH157" s="116"/>
      <c r="AI157" s="116"/>
    </row>
    <row r="158" spans="1:35" ht="12.75">
      <c r="A158" s="162" t="s">
        <v>177</v>
      </c>
      <c r="B158" s="162" t="s">
        <v>178</v>
      </c>
      <c r="C158" s="162" t="s">
        <v>177</v>
      </c>
      <c r="D158" s="162" t="s">
        <v>453</v>
      </c>
      <c r="E158" s="160" t="s">
        <v>47</v>
      </c>
      <c r="F158" s="162" t="s">
        <v>454</v>
      </c>
      <c r="G158" s="164"/>
      <c r="H158" s="77" t="s">
        <v>49</v>
      </c>
      <c r="I158" s="108"/>
      <c r="J158" s="78"/>
      <c r="K158" s="78"/>
      <c r="L158" s="79" t="b">
        <v>0</v>
      </c>
      <c r="M158" s="79" t="b">
        <v>0</v>
      </c>
      <c r="N158" s="81"/>
      <c r="O158" s="81"/>
      <c r="P158" s="80">
        <f t="shared" ref="P158:P169" si="25">N158+O158</f>
        <v>0</v>
      </c>
      <c r="Q158" s="81"/>
      <c r="R158" s="78"/>
      <c r="S158" s="81"/>
      <c r="T158" s="81"/>
      <c r="U158" s="80">
        <f t="shared" ref="U158:U169" si="26">S158+T158</f>
        <v>0</v>
      </c>
      <c r="V158" s="78"/>
      <c r="W158" s="78"/>
      <c r="X158" s="78"/>
      <c r="Y158" s="78"/>
      <c r="Z158" s="77"/>
      <c r="AA158" s="78"/>
      <c r="AB158" s="77"/>
      <c r="AC158" s="77"/>
      <c r="AD158" s="77"/>
      <c r="AE158" s="78"/>
      <c r="AF158" s="78"/>
      <c r="AG158" s="109"/>
      <c r="AH158" s="109"/>
      <c r="AI158" s="78"/>
    </row>
    <row r="159" spans="1:35" ht="12.75">
      <c r="A159" s="155"/>
      <c r="B159" s="155"/>
      <c r="C159" s="155"/>
      <c r="D159" s="155"/>
      <c r="E159" s="155"/>
      <c r="F159" s="155"/>
      <c r="G159" s="155"/>
      <c r="H159" s="85" t="s">
        <v>58</v>
      </c>
      <c r="I159" s="112"/>
      <c r="J159" s="84"/>
      <c r="K159" s="84"/>
      <c r="L159" s="86" t="b">
        <v>0</v>
      </c>
      <c r="M159" s="86" t="b">
        <v>0</v>
      </c>
      <c r="N159" s="83"/>
      <c r="O159" s="83"/>
      <c r="P159" s="87">
        <f t="shared" si="25"/>
        <v>0</v>
      </c>
      <c r="Q159" s="83"/>
      <c r="R159" s="84"/>
      <c r="S159" s="83"/>
      <c r="T159" s="83"/>
      <c r="U159" s="87">
        <f t="shared" si="26"/>
        <v>0</v>
      </c>
      <c r="V159" s="84"/>
      <c r="W159" s="84"/>
      <c r="X159" s="84"/>
      <c r="Y159" s="84"/>
      <c r="Z159" s="85"/>
      <c r="AA159" s="84"/>
      <c r="AB159" s="85"/>
      <c r="AC159" s="85"/>
      <c r="AD159" s="85"/>
      <c r="AE159" s="84"/>
      <c r="AF159" s="84"/>
      <c r="AG159" s="110"/>
      <c r="AH159" s="110"/>
      <c r="AI159" s="84"/>
    </row>
    <row r="160" spans="1:35" ht="12.75">
      <c r="A160" s="155"/>
      <c r="B160" s="155"/>
      <c r="C160" s="155"/>
      <c r="D160" s="157" t="s">
        <v>453</v>
      </c>
      <c r="E160" s="157" t="s">
        <v>59</v>
      </c>
      <c r="F160" s="157" t="s">
        <v>454</v>
      </c>
      <c r="G160" s="158"/>
      <c r="H160" s="5" t="s">
        <v>49</v>
      </c>
      <c r="I160" s="17"/>
      <c r="J160" s="9"/>
      <c r="K160" s="9"/>
      <c r="L160" s="11" t="b">
        <v>0</v>
      </c>
      <c r="M160" s="11" t="b">
        <v>0</v>
      </c>
      <c r="N160" s="7"/>
      <c r="O160" s="7"/>
      <c r="P160" s="8">
        <f t="shared" si="25"/>
        <v>0</v>
      </c>
      <c r="Q160" s="7"/>
      <c r="R160" s="9"/>
      <c r="S160" s="7"/>
      <c r="T160" s="7"/>
      <c r="U160" s="8">
        <f t="shared" si="26"/>
        <v>0</v>
      </c>
      <c r="V160" s="9"/>
      <c r="W160" s="9"/>
      <c r="X160" s="18"/>
      <c r="Y160" s="18"/>
      <c r="Z160" s="19"/>
      <c r="AA160" s="18"/>
      <c r="AB160" s="19"/>
      <c r="AC160" s="19"/>
      <c r="AD160" s="19"/>
      <c r="AE160" s="9"/>
      <c r="AF160" s="9"/>
      <c r="AG160" s="26"/>
      <c r="AH160" s="26"/>
      <c r="AI160" s="89"/>
    </row>
    <row r="161" spans="1:35" ht="12.75">
      <c r="A161" s="155"/>
      <c r="B161" s="155"/>
      <c r="C161" s="155"/>
      <c r="D161" s="155"/>
      <c r="E161" s="155"/>
      <c r="F161" s="155"/>
      <c r="G161" s="155"/>
      <c r="H161" s="5" t="s">
        <v>58</v>
      </c>
      <c r="I161" s="22"/>
      <c r="J161" s="9"/>
      <c r="K161" s="9"/>
      <c r="L161" s="11" t="b">
        <v>0</v>
      </c>
      <c r="M161" s="11" t="b">
        <v>0</v>
      </c>
      <c r="N161" s="7"/>
      <c r="O161" s="7"/>
      <c r="P161" s="8">
        <f t="shared" si="25"/>
        <v>0</v>
      </c>
      <c r="Q161" s="7"/>
      <c r="R161" s="9"/>
      <c r="S161" s="7"/>
      <c r="T161" s="7"/>
      <c r="U161" s="8">
        <f t="shared" si="26"/>
        <v>0</v>
      </c>
      <c r="V161" s="9"/>
      <c r="W161" s="9"/>
      <c r="X161" s="18"/>
      <c r="Y161" s="18"/>
      <c r="Z161" s="19"/>
      <c r="AA161" s="18"/>
      <c r="AB161" s="19"/>
      <c r="AC161" s="19"/>
      <c r="AD161" s="19"/>
      <c r="AE161" s="9"/>
      <c r="AF161" s="9"/>
      <c r="AG161" s="26"/>
      <c r="AH161" s="26"/>
      <c r="AI161" s="9"/>
    </row>
    <row r="162" spans="1:35" ht="15">
      <c r="A162" s="113"/>
      <c r="B162" s="113"/>
      <c r="C162" s="113"/>
      <c r="D162" s="159" t="s">
        <v>455</v>
      </c>
      <c r="E162" s="159" t="s">
        <v>456</v>
      </c>
      <c r="F162" s="163" t="s">
        <v>457</v>
      </c>
      <c r="G162" s="165"/>
      <c r="H162" s="91" t="s">
        <v>458</v>
      </c>
      <c r="I162" s="92"/>
      <c r="J162" s="93"/>
      <c r="K162" s="93"/>
      <c r="L162" s="94" t="b">
        <v>0</v>
      </c>
      <c r="M162" s="94" t="b">
        <v>0</v>
      </c>
      <c r="N162" s="95"/>
      <c r="O162" s="95"/>
      <c r="P162" s="96">
        <f t="shared" si="25"/>
        <v>0</v>
      </c>
      <c r="Q162" s="95"/>
      <c r="R162" s="93"/>
      <c r="S162" s="95"/>
      <c r="T162" s="95"/>
      <c r="U162" s="96">
        <f t="shared" si="26"/>
        <v>0</v>
      </c>
      <c r="V162" s="93"/>
      <c r="W162" s="93"/>
      <c r="X162" s="97"/>
      <c r="Y162" s="97"/>
      <c r="Z162" s="98"/>
      <c r="AA162" s="97"/>
      <c r="AB162" s="98"/>
      <c r="AC162" s="98"/>
      <c r="AD162" s="98"/>
      <c r="AE162" s="93"/>
      <c r="AF162" s="93"/>
      <c r="AG162" s="99"/>
      <c r="AH162" s="99"/>
      <c r="AI162" s="93"/>
    </row>
    <row r="163" spans="1:35" ht="15">
      <c r="A163" s="113"/>
      <c r="B163" s="113"/>
      <c r="C163" s="113"/>
      <c r="D163" s="155"/>
      <c r="E163" s="155"/>
      <c r="F163" s="155"/>
      <c r="G163" s="155"/>
      <c r="H163" s="91" t="s">
        <v>58</v>
      </c>
      <c r="I163" s="92"/>
      <c r="J163" s="93"/>
      <c r="K163" s="93"/>
      <c r="L163" s="94" t="b">
        <v>0</v>
      </c>
      <c r="M163" s="94" t="b">
        <v>0</v>
      </c>
      <c r="N163" s="95"/>
      <c r="O163" s="95"/>
      <c r="P163" s="96">
        <f t="shared" si="25"/>
        <v>0</v>
      </c>
      <c r="Q163" s="95"/>
      <c r="R163" s="93"/>
      <c r="S163" s="95"/>
      <c r="T163" s="95"/>
      <c r="U163" s="96">
        <f t="shared" si="26"/>
        <v>0</v>
      </c>
      <c r="V163" s="93"/>
      <c r="W163" s="93"/>
      <c r="X163" s="97"/>
      <c r="Y163" s="97"/>
      <c r="Z163" s="98"/>
      <c r="AA163" s="97"/>
      <c r="AB163" s="98"/>
      <c r="AC163" s="98"/>
      <c r="AD163" s="98"/>
      <c r="AE163" s="93"/>
      <c r="AF163" s="93"/>
      <c r="AG163" s="99"/>
      <c r="AH163" s="99"/>
      <c r="AI163" s="100"/>
    </row>
    <row r="164" spans="1:35" ht="15">
      <c r="A164" s="113"/>
      <c r="B164" s="113"/>
      <c r="C164" s="113"/>
      <c r="D164" s="159" t="s">
        <v>455</v>
      </c>
      <c r="E164" s="166" t="s">
        <v>459</v>
      </c>
      <c r="F164" s="163" t="s">
        <v>457</v>
      </c>
      <c r="G164" s="165"/>
      <c r="H164" s="91" t="s">
        <v>458</v>
      </c>
      <c r="I164" s="92"/>
      <c r="J164" s="93"/>
      <c r="K164" s="93"/>
      <c r="L164" s="94" t="b">
        <v>0</v>
      </c>
      <c r="M164" s="94" t="b">
        <v>0</v>
      </c>
      <c r="N164" s="95"/>
      <c r="O164" s="95"/>
      <c r="P164" s="96">
        <f t="shared" si="25"/>
        <v>0</v>
      </c>
      <c r="Q164" s="95"/>
      <c r="R164" s="93"/>
      <c r="S164" s="95"/>
      <c r="T164" s="95"/>
      <c r="U164" s="96">
        <f t="shared" si="26"/>
        <v>0</v>
      </c>
      <c r="V164" s="93"/>
      <c r="W164" s="93"/>
      <c r="X164" s="93"/>
      <c r="Y164" s="93"/>
      <c r="Z164" s="91"/>
      <c r="AA164" s="93"/>
      <c r="AB164" s="91"/>
      <c r="AC164" s="91"/>
      <c r="AD164" s="91"/>
      <c r="AE164" s="93"/>
      <c r="AF164" s="93"/>
      <c r="AG164" s="99"/>
      <c r="AH164" s="99"/>
      <c r="AI164" s="101"/>
    </row>
    <row r="165" spans="1:35" ht="12.75">
      <c r="A165" s="113"/>
      <c r="B165" s="113"/>
      <c r="C165" s="113"/>
      <c r="D165" s="155"/>
      <c r="E165" s="155"/>
      <c r="F165" s="155"/>
      <c r="G165" s="155"/>
      <c r="H165" s="91" t="s">
        <v>58</v>
      </c>
      <c r="I165" s="102"/>
      <c r="J165" s="93"/>
      <c r="K165" s="93"/>
      <c r="L165" s="94" t="b">
        <v>0</v>
      </c>
      <c r="M165" s="94" t="b">
        <v>0</v>
      </c>
      <c r="N165" s="95"/>
      <c r="O165" s="95"/>
      <c r="P165" s="96">
        <f t="shared" si="25"/>
        <v>0</v>
      </c>
      <c r="Q165" s="95"/>
      <c r="R165" s="93"/>
      <c r="S165" s="95"/>
      <c r="T165" s="95"/>
      <c r="U165" s="96">
        <f t="shared" si="26"/>
        <v>0</v>
      </c>
      <c r="V165" s="93"/>
      <c r="W165" s="93"/>
      <c r="X165" s="93"/>
      <c r="Y165" s="93"/>
      <c r="Z165" s="91"/>
      <c r="AA165" s="93"/>
      <c r="AB165" s="91"/>
      <c r="AC165" s="91"/>
      <c r="AD165" s="91"/>
      <c r="AE165" s="93"/>
      <c r="AF165" s="93"/>
      <c r="AG165" s="99"/>
      <c r="AH165" s="99"/>
      <c r="AI165" s="99"/>
    </row>
    <row r="166" spans="1:35" ht="15">
      <c r="A166" s="113"/>
      <c r="B166" s="113"/>
      <c r="C166" s="113"/>
      <c r="D166" s="159" t="s">
        <v>460</v>
      </c>
      <c r="E166" s="163" t="s">
        <v>461</v>
      </c>
      <c r="F166" s="159" t="s">
        <v>462</v>
      </c>
      <c r="G166" s="165"/>
      <c r="H166" s="91" t="s">
        <v>49</v>
      </c>
      <c r="I166" s="103"/>
      <c r="J166" s="93"/>
      <c r="K166" s="93"/>
      <c r="L166" s="94" t="b">
        <v>0</v>
      </c>
      <c r="M166" s="94" t="b">
        <v>0</v>
      </c>
      <c r="N166" s="95"/>
      <c r="O166" s="95"/>
      <c r="P166" s="96">
        <f t="shared" si="25"/>
        <v>0</v>
      </c>
      <c r="Q166" s="95"/>
      <c r="R166" s="93"/>
      <c r="S166" s="95"/>
      <c r="T166" s="95"/>
      <c r="U166" s="96">
        <f t="shared" si="26"/>
        <v>0</v>
      </c>
      <c r="V166" s="93"/>
      <c r="W166" s="93"/>
      <c r="X166" s="93"/>
      <c r="Y166" s="93"/>
      <c r="Z166" s="91"/>
      <c r="AA166" s="93"/>
      <c r="AB166" s="91"/>
      <c r="AC166" s="91"/>
      <c r="AD166" s="91"/>
      <c r="AE166" s="93"/>
      <c r="AF166" s="93"/>
      <c r="AG166" s="99"/>
      <c r="AH166" s="99"/>
      <c r="AI166" s="101"/>
    </row>
    <row r="167" spans="1:35" ht="15">
      <c r="A167" s="113"/>
      <c r="B167" s="113"/>
      <c r="C167" s="113"/>
      <c r="D167" s="155"/>
      <c r="E167" s="155"/>
      <c r="F167" s="155"/>
      <c r="G167" s="155"/>
      <c r="H167" s="91" t="s">
        <v>58</v>
      </c>
      <c r="I167" s="103"/>
      <c r="J167" s="93"/>
      <c r="K167" s="93"/>
      <c r="L167" s="94" t="b">
        <v>0</v>
      </c>
      <c r="M167" s="94" t="b">
        <v>0</v>
      </c>
      <c r="N167" s="95"/>
      <c r="O167" s="95"/>
      <c r="P167" s="96">
        <f t="shared" si="25"/>
        <v>0</v>
      </c>
      <c r="Q167" s="95"/>
      <c r="R167" s="93"/>
      <c r="S167" s="95"/>
      <c r="T167" s="95"/>
      <c r="U167" s="96">
        <f t="shared" si="26"/>
        <v>0</v>
      </c>
      <c r="V167" s="93"/>
      <c r="W167" s="93"/>
      <c r="X167" s="97"/>
      <c r="Y167" s="97"/>
      <c r="Z167" s="98"/>
      <c r="AA167" s="97"/>
      <c r="AB167" s="98"/>
      <c r="AC167" s="98"/>
      <c r="AD167" s="98"/>
      <c r="AE167" s="93"/>
      <c r="AF167" s="93"/>
      <c r="AG167" s="99"/>
      <c r="AH167" s="99"/>
      <c r="AI167" s="101"/>
    </row>
    <row r="168" spans="1:35" ht="15">
      <c r="A168" s="113"/>
      <c r="B168" s="113"/>
      <c r="C168" s="113"/>
      <c r="D168" s="159" t="s">
        <v>453</v>
      </c>
      <c r="E168" s="159" t="s">
        <v>463</v>
      </c>
      <c r="F168" s="159" t="s">
        <v>464</v>
      </c>
      <c r="G168" s="165"/>
      <c r="H168" s="91" t="s">
        <v>465</v>
      </c>
      <c r="I168" s="103"/>
      <c r="J168" s="93"/>
      <c r="K168" s="93"/>
      <c r="L168" s="94" t="b">
        <v>0</v>
      </c>
      <c r="M168" s="94" t="b">
        <v>0</v>
      </c>
      <c r="N168" s="95"/>
      <c r="O168" s="95"/>
      <c r="P168" s="96">
        <f t="shared" si="25"/>
        <v>0</v>
      </c>
      <c r="Q168" s="95"/>
      <c r="R168" s="93"/>
      <c r="S168" s="95"/>
      <c r="T168" s="95"/>
      <c r="U168" s="96">
        <f t="shared" si="26"/>
        <v>0</v>
      </c>
      <c r="V168" s="93"/>
      <c r="W168" s="93"/>
      <c r="X168" s="97"/>
      <c r="Y168" s="97"/>
      <c r="Z168" s="98"/>
      <c r="AA168" s="97"/>
      <c r="AB168" s="98"/>
      <c r="AC168" s="98"/>
      <c r="AD168" s="98"/>
      <c r="AE168" s="93"/>
      <c r="AF168" s="93"/>
      <c r="AG168" s="99"/>
      <c r="AH168" s="99"/>
      <c r="AI168" s="101"/>
    </row>
    <row r="169" spans="1:35" ht="15">
      <c r="A169" s="113"/>
      <c r="B169" s="113"/>
      <c r="C169" s="113"/>
      <c r="D169" s="155"/>
      <c r="E169" s="155"/>
      <c r="F169" s="155"/>
      <c r="G169" s="155"/>
      <c r="H169" s="91" t="s">
        <v>58</v>
      </c>
      <c r="I169" s="103"/>
      <c r="J169" s="93"/>
      <c r="K169" s="93"/>
      <c r="L169" s="94" t="b">
        <v>0</v>
      </c>
      <c r="M169" s="94" t="b">
        <v>0</v>
      </c>
      <c r="N169" s="95"/>
      <c r="O169" s="95"/>
      <c r="P169" s="96">
        <f t="shared" si="25"/>
        <v>0</v>
      </c>
      <c r="Q169" s="95"/>
      <c r="R169" s="93"/>
      <c r="S169" s="95"/>
      <c r="T169" s="95"/>
      <c r="U169" s="96">
        <f t="shared" si="26"/>
        <v>0</v>
      </c>
      <c r="V169" s="93"/>
      <c r="W169" s="93"/>
      <c r="X169" s="97"/>
      <c r="Y169" s="97"/>
      <c r="Z169" s="98"/>
      <c r="AA169" s="97"/>
      <c r="AB169" s="98"/>
      <c r="AC169" s="98"/>
      <c r="AD169" s="98"/>
      <c r="AE169" s="93"/>
      <c r="AF169" s="93"/>
      <c r="AG169" s="99"/>
      <c r="AH169" s="99"/>
      <c r="AI169" s="101"/>
    </row>
    <row r="170" spans="1:35" ht="12.75">
      <c r="A170" s="114"/>
      <c r="B170" s="114"/>
      <c r="C170" s="114"/>
      <c r="D170" s="115"/>
      <c r="E170" s="115"/>
      <c r="F170" s="115"/>
      <c r="G170" s="116"/>
      <c r="H170" s="115"/>
      <c r="I170" s="117"/>
      <c r="J170" s="116"/>
      <c r="K170" s="116"/>
      <c r="L170" s="116"/>
      <c r="M170" s="116"/>
      <c r="N170" s="118"/>
      <c r="O170" s="118"/>
      <c r="P170" s="119"/>
      <c r="Q170" s="118"/>
      <c r="R170" s="116"/>
      <c r="S170" s="118"/>
      <c r="T170" s="118"/>
      <c r="U170" s="119"/>
      <c r="V170" s="116"/>
      <c r="W170" s="116"/>
      <c r="X170" s="116"/>
      <c r="Y170" s="116"/>
      <c r="Z170" s="115"/>
      <c r="AA170" s="116"/>
      <c r="AB170" s="115"/>
      <c r="AC170" s="115"/>
      <c r="AD170" s="115"/>
      <c r="AE170" s="116"/>
      <c r="AF170" s="116"/>
      <c r="AG170" s="116"/>
      <c r="AH170" s="116"/>
      <c r="AI170" s="116"/>
    </row>
    <row r="171" spans="1:35" ht="12.75">
      <c r="A171" s="162" t="s">
        <v>186</v>
      </c>
      <c r="B171" s="162" t="s">
        <v>178</v>
      </c>
      <c r="C171" s="162" t="s">
        <v>187</v>
      </c>
      <c r="D171" s="162" t="s">
        <v>453</v>
      </c>
      <c r="E171" s="160" t="s">
        <v>47</v>
      </c>
      <c r="F171" s="162" t="s">
        <v>454</v>
      </c>
      <c r="G171" s="164"/>
      <c r="H171" s="77" t="s">
        <v>49</v>
      </c>
      <c r="I171" s="108"/>
      <c r="J171" s="78"/>
      <c r="K171" s="78"/>
      <c r="L171" s="79" t="b">
        <v>0</v>
      </c>
      <c r="M171" s="79" t="b">
        <v>0</v>
      </c>
      <c r="N171" s="81"/>
      <c r="O171" s="81"/>
      <c r="P171" s="80">
        <f t="shared" ref="P171:P182" si="27">N171+O171</f>
        <v>0</v>
      </c>
      <c r="Q171" s="81"/>
      <c r="R171" s="78"/>
      <c r="S171" s="81"/>
      <c r="T171" s="81"/>
      <c r="U171" s="80">
        <f t="shared" ref="U171:U182" si="28">S171+T171</f>
        <v>0</v>
      </c>
      <c r="V171" s="78"/>
      <c r="W171" s="78"/>
      <c r="X171" s="78"/>
      <c r="Y171" s="78"/>
      <c r="Z171" s="77"/>
      <c r="AA171" s="78"/>
      <c r="AB171" s="77"/>
      <c r="AC171" s="77"/>
      <c r="AD171" s="77"/>
      <c r="AE171" s="78"/>
      <c r="AF171" s="78"/>
      <c r="AG171" s="109"/>
      <c r="AH171" s="109"/>
      <c r="AI171" s="78"/>
    </row>
    <row r="172" spans="1:35" ht="12.75">
      <c r="A172" s="155"/>
      <c r="B172" s="155"/>
      <c r="C172" s="155"/>
      <c r="D172" s="155"/>
      <c r="E172" s="155"/>
      <c r="F172" s="155"/>
      <c r="G172" s="155"/>
      <c r="H172" s="85" t="s">
        <v>58</v>
      </c>
      <c r="I172" s="112"/>
      <c r="J172" s="84"/>
      <c r="K172" s="84"/>
      <c r="L172" s="86" t="b">
        <v>0</v>
      </c>
      <c r="M172" s="86" t="b">
        <v>0</v>
      </c>
      <c r="N172" s="83"/>
      <c r="O172" s="83"/>
      <c r="P172" s="87">
        <f t="shared" si="27"/>
        <v>0</v>
      </c>
      <c r="Q172" s="83"/>
      <c r="R172" s="84"/>
      <c r="S172" s="83"/>
      <c r="T172" s="83"/>
      <c r="U172" s="87">
        <f t="shared" si="28"/>
        <v>0</v>
      </c>
      <c r="V172" s="84"/>
      <c r="W172" s="84"/>
      <c r="X172" s="84"/>
      <c r="Y172" s="84"/>
      <c r="Z172" s="85"/>
      <c r="AA172" s="84"/>
      <c r="AB172" s="85"/>
      <c r="AC172" s="85"/>
      <c r="AD172" s="85"/>
      <c r="AE172" s="84"/>
      <c r="AF172" s="84"/>
      <c r="AG172" s="110"/>
      <c r="AH172" s="110"/>
      <c r="AI172" s="84"/>
    </row>
    <row r="173" spans="1:35" ht="12.75">
      <c r="A173" s="155"/>
      <c r="B173" s="155"/>
      <c r="C173" s="155"/>
      <c r="D173" s="157" t="s">
        <v>453</v>
      </c>
      <c r="E173" s="157" t="s">
        <v>59</v>
      </c>
      <c r="F173" s="157" t="s">
        <v>454</v>
      </c>
      <c r="G173" s="158"/>
      <c r="H173" s="5" t="s">
        <v>49</v>
      </c>
      <c r="I173" s="17"/>
      <c r="J173" s="9"/>
      <c r="K173" s="9"/>
      <c r="L173" s="11" t="b">
        <v>0</v>
      </c>
      <c r="M173" s="11" t="b">
        <v>0</v>
      </c>
      <c r="N173" s="7"/>
      <c r="O173" s="7"/>
      <c r="P173" s="8">
        <f t="shared" si="27"/>
        <v>0</v>
      </c>
      <c r="Q173" s="7"/>
      <c r="R173" s="9"/>
      <c r="S173" s="7"/>
      <c r="T173" s="7"/>
      <c r="U173" s="8">
        <f t="shared" si="28"/>
        <v>0</v>
      </c>
      <c r="V173" s="9"/>
      <c r="W173" s="9"/>
      <c r="X173" s="18"/>
      <c r="Y173" s="18"/>
      <c r="Z173" s="19"/>
      <c r="AA173" s="18"/>
      <c r="AB173" s="19"/>
      <c r="AC173" s="19"/>
      <c r="AD173" s="19"/>
      <c r="AE173" s="9"/>
      <c r="AF173" s="9"/>
      <c r="AG173" s="26"/>
      <c r="AH173" s="26"/>
      <c r="AI173" s="89"/>
    </row>
    <row r="174" spans="1:35" ht="12.75">
      <c r="A174" s="155"/>
      <c r="B174" s="155"/>
      <c r="C174" s="155"/>
      <c r="D174" s="155"/>
      <c r="E174" s="155"/>
      <c r="F174" s="155"/>
      <c r="G174" s="155"/>
      <c r="H174" s="5" t="s">
        <v>58</v>
      </c>
      <c r="I174" s="22"/>
      <c r="J174" s="9"/>
      <c r="K174" s="9"/>
      <c r="L174" s="11" t="b">
        <v>0</v>
      </c>
      <c r="M174" s="11" t="b">
        <v>0</v>
      </c>
      <c r="N174" s="7"/>
      <c r="O174" s="7"/>
      <c r="P174" s="8">
        <f t="shared" si="27"/>
        <v>0</v>
      </c>
      <c r="Q174" s="7"/>
      <c r="R174" s="9"/>
      <c r="S174" s="7"/>
      <c r="T174" s="7"/>
      <c r="U174" s="8">
        <f t="shared" si="28"/>
        <v>0</v>
      </c>
      <c r="V174" s="9"/>
      <c r="W174" s="9"/>
      <c r="X174" s="18"/>
      <c r="Y174" s="18"/>
      <c r="Z174" s="19"/>
      <c r="AA174" s="18"/>
      <c r="AB174" s="19"/>
      <c r="AC174" s="19"/>
      <c r="AD174" s="19"/>
      <c r="AE174" s="9"/>
      <c r="AF174" s="9"/>
      <c r="AG174" s="26"/>
      <c r="AH174" s="26"/>
      <c r="AI174" s="9"/>
    </row>
    <row r="175" spans="1:35" ht="15">
      <c r="A175" s="113"/>
      <c r="B175" s="113"/>
      <c r="C175" s="113"/>
      <c r="D175" s="159" t="s">
        <v>455</v>
      </c>
      <c r="E175" s="159" t="s">
        <v>456</v>
      </c>
      <c r="F175" s="163" t="s">
        <v>457</v>
      </c>
      <c r="G175" s="165"/>
      <c r="H175" s="91" t="s">
        <v>458</v>
      </c>
      <c r="I175" s="92"/>
      <c r="J175" s="93"/>
      <c r="K175" s="93"/>
      <c r="L175" s="94" t="b">
        <v>0</v>
      </c>
      <c r="M175" s="94" t="b">
        <v>0</v>
      </c>
      <c r="N175" s="95"/>
      <c r="O175" s="95"/>
      <c r="P175" s="96">
        <f t="shared" si="27"/>
        <v>0</v>
      </c>
      <c r="Q175" s="95"/>
      <c r="R175" s="93"/>
      <c r="S175" s="95"/>
      <c r="T175" s="95"/>
      <c r="U175" s="96">
        <f t="shared" si="28"/>
        <v>0</v>
      </c>
      <c r="V175" s="93"/>
      <c r="W175" s="93"/>
      <c r="X175" s="97"/>
      <c r="Y175" s="97"/>
      <c r="Z175" s="98"/>
      <c r="AA175" s="97"/>
      <c r="AB175" s="98"/>
      <c r="AC175" s="98"/>
      <c r="AD175" s="98"/>
      <c r="AE175" s="93"/>
      <c r="AF175" s="93"/>
      <c r="AG175" s="99"/>
      <c r="AH175" s="99"/>
      <c r="AI175" s="93"/>
    </row>
    <row r="176" spans="1:35" ht="15">
      <c r="A176" s="113"/>
      <c r="B176" s="113"/>
      <c r="C176" s="113"/>
      <c r="D176" s="155"/>
      <c r="E176" s="155"/>
      <c r="F176" s="155"/>
      <c r="G176" s="155"/>
      <c r="H176" s="91" t="s">
        <v>58</v>
      </c>
      <c r="I176" s="92"/>
      <c r="J176" s="93"/>
      <c r="K176" s="93"/>
      <c r="L176" s="94" t="b">
        <v>0</v>
      </c>
      <c r="M176" s="94" t="b">
        <v>0</v>
      </c>
      <c r="N176" s="95"/>
      <c r="O176" s="95"/>
      <c r="P176" s="96">
        <f t="shared" si="27"/>
        <v>0</v>
      </c>
      <c r="Q176" s="95"/>
      <c r="R176" s="93"/>
      <c r="S176" s="95"/>
      <c r="T176" s="95"/>
      <c r="U176" s="96">
        <f t="shared" si="28"/>
        <v>0</v>
      </c>
      <c r="V176" s="93"/>
      <c r="W176" s="93"/>
      <c r="X176" s="97"/>
      <c r="Y176" s="97"/>
      <c r="Z176" s="98"/>
      <c r="AA176" s="97"/>
      <c r="AB176" s="98"/>
      <c r="AC176" s="98"/>
      <c r="AD176" s="98"/>
      <c r="AE176" s="93"/>
      <c r="AF176" s="93"/>
      <c r="AG176" s="99"/>
      <c r="AH176" s="99"/>
      <c r="AI176" s="100"/>
    </row>
    <row r="177" spans="1:35" ht="15">
      <c r="A177" s="113"/>
      <c r="B177" s="113"/>
      <c r="C177" s="113"/>
      <c r="D177" s="159" t="s">
        <v>455</v>
      </c>
      <c r="E177" s="166" t="s">
        <v>459</v>
      </c>
      <c r="F177" s="163" t="s">
        <v>457</v>
      </c>
      <c r="G177" s="165"/>
      <c r="H177" s="91" t="s">
        <v>458</v>
      </c>
      <c r="I177" s="92"/>
      <c r="J177" s="93"/>
      <c r="K177" s="93"/>
      <c r="L177" s="94" t="b">
        <v>0</v>
      </c>
      <c r="M177" s="94" t="b">
        <v>0</v>
      </c>
      <c r="N177" s="95"/>
      <c r="O177" s="95"/>
      <c r="P177" s="96">
        <f t="shared" si="27"/>
        <v>0</v>
      </c>
      <c r="Q177" s="95"/>
      <c r="R177" s="93"/>
      <c r="S177" s="95"/>
      <c r="T177" s="95"/>
      <c r="U177" s="96">
        <f t="shared" si="28"/>
        <v>0</v>
      </c>
      <c r="V177" s="93"/>
      <c r="W177" s="93"/>
      <c r="X177" s="93"/>
      <c r="Y177" s="93"/>
      <c r="Z177" s="91"/>
      <c r="AA177" s="93"/>
      <c r="AB177" s="91"/>
      <c r="AC177" s="91"/>
      <c r="AD177" s="91"/>
      <c r="AE177" s="93"/>
      <c r="AF177" s="93"/>
      <c r="AG177" s="99"/>
      <c r="AH177" s="99"/>
      <c r="AI177" s="101"/>
    </row>
    <row r="178" spans="1:35" ht="12.75">
      <c r="A178" s="113"/>
      <c r="B178" s="113"/>
      <c r="C178" s="113"/>
      <c r="D178" s="155"/>
      <c r="E178" s="155"/>
      <c r="F178" s="155"/>
      <c r="G178" s="155"/>
      <c r="H178" s="91" t="s">
        <v>58</v>
      </c>
      <c r="I178" s="102"/>
      <c r="J178" s="93"/>
      <c r="K178" s="93"/>
      <c r="L178" s="94" t="b">
        <v>0</v>
      </c>
      <c r="M178" s="94" t="b">
        <v>0</v>
      </c>
      <c r="N178" s="95"/>
      <c r="O178" s="95"/>
      <c r="P178" s="96">
        <f t="shared" si="27"/>
        <v>0</v>
      </c>
      <c r="Q178" s="95"/>
      <c r="R178" s="93"/>
      <c r="S178" s="95"/>
      <c r="T178" s="95"/>
      <c r="U178" s="96">
        <f t="shared" si="28"/>
        <v>0</v>
      </c>
      <c r="V178" s="93"/>
      <c r="W178" s="93"/>
      <c r="X178" s="93"/>
      <c r="Y178" s="93"/>
      <c r="Z178" s="91"/>
      <c r="AA178" s="93"/>
      <c r="AB178" s="91"/>
      <c r="AC178" s="91"/>
      <c r="AD178" s="91"/>
      <c r="AE178" s="93"/>
      <c r="AF178" s="93"/>
      <c r="AG178" s="99"/>
      <c r="AH178" s="99"/>
      <c r="AI178" s="99"/>
    </row>
    <row r="179" spans="1:35" ht="15">
      <c r="A179" s="113"/>
      <c r="B179" s="113"/>
      <c r="C179" s="113"/>
      <c r="D179" s="159" t="s">
        <v>460</v>
      </c>
      <c r="E179" s="163" t="s">
        <v>461</v>
      </c>
      <c r="F179" s="159" t="s">
        <v>462</v>
      </c>
      <c r="G179" s="165"/>
      <c r="H179" s="91" t="s">
        <v>49</v>
      </c>
      <c r="I179" s="103"/>
      <c r="J179" s="93"/>
      <c r="K179" s="93"/>
      <c r="L179" s="94" t="b">
        <v>0</v>
      </c>
      <c r="M179" s="94" t="b">
        <v>0</v>
      </c>
      <c r="N179" s="95"/>
      <c r="O179" s="95"/>
      <c r="P179" s="96">
        <f t="shared" si="27"/>
        <v>0</v>
      </c>
      <c r="Q179" s="95"/>
      <c r="R179" s="93"/>
      <c r="S179" s="95"/>
      <c r="T179" s="95"/>
      <c r="U179" s="96">
        <f t="shared" si="28"/>
        <v>0</v>
      </c>
      <c r="V179" s="93"/>
      <c r="W179" s="93"/>
      <c r="X179" s="93"/>
      <c r="Y179" s="93"/>
      <c r="Z179" s="91"/>
      <c r="AA179" s="93"/>
      <c r="AB179" s="91"/>
      <c r="AC179" s="91"/>
      <c r="AD179" s="91"/>
      <c r="AE179" s="93"/>
      <c r="AF179" s="93"/>
      <c r="AG179" s="99"/>
      <c r="AH179" s="99"/>
      <c r="AI179" s="101"/>
    </row>
    <row r="180" spans="1:35" ht="15">
      <c r="A180" s="113"/>
      <c r="B180" s="113"/>
      <c r="C180" s="113"/>
      <c r="D180" s="155"/>
      <c r="E180" s="155"/>
      <c r="F180" s="155"/>
      <c r="G180" s="155"/>
      <c r="H180" s="91" t="s">
        <v>58</v>
      </c>
      <c r="I180" s="103"/>
      <c r="J180" s="93"/>
      <c r="K180" s="93"/>
      <c r="L180" s="94" t="b">
        <v>0</v>
      </c>
      <c r="M180" s="94" t="b">
        <v>0</v>
      </c>
      <c r="N180" s="95"/>
      <c r="O180" s="95"/>
      <c r="P180" s="96">
        <f t="shared" si="27"/>
        <v>0</v>
      </c>
      <c r="Q180" s="95"/>
      <c r="R180" s="93"/>
      <c r="S180" s="95"/>
      <c r="T180" s="95"/>
      <c r="U180" s="96">
        <f t="shared" si="28"/>
        <v>0</v>
      </c>
      <c r="V180" s="93"/>
      <c r="W180" s="93"/>
      <c r="X180" s="97"/>
      <c r="Y180" s="97"/>
      <c r="Z180" s="98"/>
      <c r="AA180" s="97"/>
      <c r="AB180" s="98"/>
      <c r="AC180" s="98"/>
      <c r="AD180" s="98"/>
      <c r="AE180" s="93"/>
      <c r="AF180" s="93"/>
      <c r="AG180" s="99"/>
      <c r="AH180" s="99"/>
      <c r="AI180" s="101"/>
    </row>
    <row r="181" spans="1:35" ht="15">
      <c r="A181" s="113"/>
      <c r="B181" s="113"/>
      <c r="C181" s="113"/>
      <c r="D181" s="159" t="s">
        <v>453</v>
      </c>
      <c r="E181" s="159" t="s">
        <v>463</v>
      </c>
      <c r="F181" s="159" t="s">
        <v>464</v>
      </c>
      <c r="G181" s="165"/>
      <c r="H181" s="91" t="s">
        <v>465</v>
      </c>
      <c r="I181" s="103"/>
      <c r="J181" s="93"/>
      <c r="K181" s="93"/>
      <c r="L181" s="94" t="b">
        <v>0</v>
      </c>
      <c r="M181" s="94" t="b">
        <v>0</v>
      </c>
      <c r="N181" s="95"/>
      <c r="O181" s="95"/>
      <c r="P181" s="96">
        <f t="shared" si="27"/>
        <v>0</v>
      </c>
      <c r="Q181" s="95"/>
      <c r="R181" s="93"/>
      <c r="S181" s="95"/>
      <c r="T181" s="95"/>
      <c r="U181" s="96">
        <f t="shared" si="28"/>
        <v>0</v>
      </c>
      <c r="V181" s="93"/>
      <c r="W181" s="93"/>
      <c r="X181" s="97"/>
      <c r="Y181" s="97"/>
      <c r="Z181" s="98"/>
      <c r="AA181" s="97"/>
      <c r="AB181" s="98"/>
      <c r="AC181" s="98"/>
      <c r="AD181" s="98"/>
      <c r="AE181" s="93"/>
      <c r="AF181" s="93"/>
      <c r="AG181" s="99"/>
      <c r="AH181" s="99"/>
      <c r="AI181" s="101"/>
    </row>
    <row r="182" spans="1:35" ht="15">
      <c r="A182" s="113"/>
      <c r="B182" s="113"/>
      <c r="C182" s="113"/>
      <c r="D182" s="155"/>
      <c r="E182" s="155"/>
      <c r="F182" s="155"/>
      <c r="G182" s="155"/>
      <c r="H182" s="91" t="s">
        <v>58</v>
      </c>
      <c r="I182" s="103"/>
      <c r="J182" s="93"/>
      <c r="K182" s="93"/>
      <c r="L182" s="94" t="b">
        <v>0</v>
      </c>
      <c r="M182" s="94" t="b">
        <v>0</v>
      </c>
      <c r="N182" s="95"/>
      <c r="O182" s="95"/>
      <c r="P182" s="96">
        <f t="shared" si="27"/>
        <v>0</v>
      </c>
      <c r="Q182" s="95"/>
      <c r="R182" s="93"/>
      <c r="S182" s="95"/>
      <c r="T182" s="95"/>
      <c r="U182" s="96">
        <f t="shared" si="28"/>
        <v>0</v>
      </c>
      <c r="V182" s="93"/>
      <c r="W182" s="93"/>
      <c r="X182" s="97"/>
      <c r="Y182" s="97"/>
      <c r="Z182" s="98"/>
      <c r="AA182" s="97"/>
      <c r="AB182" s="98"/>
      <c r="AC182" s="98"/>
      <c r="AD182" s="98"/>
      <c r="AE182" s="93"/>
      <c r="AF182" s="93"/>
      <c r="AG182" s="99"/>
      <c r="AH182" s="99"/>
      <c r="AI182" s="101"/>
    </row>
    <row r="183" spans="1:35" ht="12.75">
      <c r="A183" s="114"/>
      <c r="B183" s="114"/>
      <c r="C183" s="114"/>
      <c r="D183" s="115"/>
      <c r="E183" s="115"/>
      <c r="F183" s="115"/>
      <c r="G183" s="116"/>
      <c r="H183" s="115"/>
      <c r="I183" s="117"/>
      <c r="J183" s="116"/>
      <c r="K183" s="116"/>
      <c r="L183" s="116"/>
      <c r="M183" s="116"/>
      <c r="N183" s="118"/>
      <c r="O183" s="118"/>
      <c r="P183" s="119"/>
      <c r="Q183" s="118"/>
      <c r="R183" s="116"/>
      <c r="S183" s="118"/>
      <c r="T183" s="118"/>
      <c r="U183" s="119"/>
      <c r="V183" s="116"/>
      <c r="W183" s="116"/>
      <c r="X183" s="116"/>
      <c r="Y183" s="116"/>
      <c r="Z183" s="115"/>
      <c r="AA183" s="116"/>
      <c r="AB183" s="115"/>
      <c r="AC183" s="115"/>
      <c r="AD183" s="115"/>
      <c r="AE183" s="116"/>
      <c r="AF183" s="116"/>
      <c r="AG183" s="116"/>
      <c r="AH183" s="116"/>
      <c r="AI183" s="116"/>
    </row>
    <row r="184" spans="1:35" ht="12.75">
      <c r="A184" s="162" t="s">
        <v>197</v>
      </c>
      <c r="B184" s="162" t="s">
        <v>178</v>
      </c>
      <c r="C184" s="162" t="s">
        <v>198</v>
      </c>
      <c r="D184" s="162" t="s">
        <v>453</v>
      </c>
      <c r="E184" s="160" t="s">
        <v>47</v>
      </c>
      <c r="F184" s="162" t="s">
        <v>454</v>
      </c>
      <c r="G184" s="164"/>
      <c r="H184" s="77" t="s">
        <v>49</v>
      </c>
      <c r="I184" s="108"/>
      <c r="J184" s="78"/>
      <c r="K184" s="78"/>
      <c r="L184" s="79" t="b">
        <v>0</v>
      </c>
      <c r="M184" s="79" t="b">
        <v>0</v>
      </c>
      <c r="N184" s="81"/>
      <c r="O184" s="81"/>
      <c r="P184" s="80">
        <f t="shared" ref="P184:P195" si="29">N184+O184</f>
        <v>0</v>
      </c>
      <c r="Q184" s="81"/>
      <c r="R184" s="78"/>
      <c r="S184" s="81"/>
      <c r="T184" s="81"/>
      <c r="U184" s="80">
        <f t="shared" ref="U184:U195" si="30">S184+T184</f>
        <v>0</v>
      </c>
      <c r="V184" s="78"/>
      <c r="W184" s="78"/>
      <c r="X184" s="78"/>
      <c r="Y184" s="78"/>
      <c r="Z184" s="77"/>
      <c r="AA184" s="78"/>
      <c r="AB184" s="77"/>
      <c r="AC184" s="77"/>
      <c r="AD184" s="77"/>
      <c r="AE184" s="78"/>
      <c r="AF184" s="78"/>
      <c r="AG184" s="109"/>
      <c r="AH184" s="109"/>
      <c r="AI184" s="78"/>
    </row>
    <row r="185" spans="1:35" ht="12.75">
      <c r="A185" s="155"/>
      <c r="B185" s="155"/>
      <c r="C185" s="155"/>
      <c r="D185" s="155"/>
      <c r="E185" s="155"/>
      <c r="F185" s="155"/>
      <c r="G185" s="155"/>
      <c r="H185" s="85" t="s">
        <v>58</v>
      </c>
      <c r="I185" s="112"/>
      <c r="J185" s="84"/>
      <c r="K185" s="84"/>
      <c r="L185" s="86" t="b">
        <v>0</v>
      </c>
      <c r="M185" s="86" t="b">
        <v>0</v>
      </c>
      <c r="N185" s="83"/>
      <c r="O185" s="83"/>
      <c r="P185" s="87">
        <f t="shared" si="29"/>
        <v>0</v>
      </c>
      <c r="Q185" s="83"/>
      <c r="R185" s="84"/>
      <c r="S185" s="83"/>
      <c r="T185" s="83"/>
      <c r="U185" s="87">
        <f t="shared" si="30"/>
        <v>0</v>
      </c>
      <c r="V185" s="84"/>
      <c r="W185" s="84"/>
      <c r="X185" s="84"/>
      <c r="Y185" s="84"/>
      <c r="Z185" s="85"/>
      <c r="AA185" s="84"/>
      <c r="AB185" s="85"/>
      <c r="AC185" s="85"/>
      <c r="AD185" s="85"/>
      <c r="AE185" s="84"/>
      <c r="AF185" s="84"/>
      <c r="AG185" s="110"/>
      <c r="AH185" s="110"/>
      <c r="AI185" s="84"/>
    </row>
    <row r="186" spans="1:35" ht="12.75">
      <c r="A186" s="155"/>
      <c r="B186" s="155"/>
      <c r="C186" s="155"/>
      <c r="D186" s="157" t="s">
        <v>453</v>
      </c>
      <c r="E186" s="157" t="s">
        <v>59</v>
      </c>
      <c r="F186" s="157" t="s">
        <v>454</v>
      </c>
      <c r="G186" s="158"/>
      <c r="H186" s="5" t="s">
        <v>49</v>
      </c>
      <c r="I186" s="17"/>
      <c r="J186" s="9"/>
      <c r="K186" s="9"/>
      <c r="L186" s="11" t="b">
        <v>0</v>
      </c>
      <c r="M186" s="11" t="b">
        <v>0</v>
      </c>
      <c r="N186" s="7"/>
      <c r="O186" s="7"/>
      <c r="P186" s="8">
        <f t="shared" si="29"/>
        <v>0</v>
      </c>
      <c r="Q186" s="7"/>
      <c r="R186" s="9"/>
      <c r="S186" s="7"/>
      <c r="T186" s="7"/>
      <c r="U186" s="8">
        <f t="shared" si="30"/>
        <v>0</v>
      </c>
      <c r="V186" s="9"/>
      <c r="W186" s="9"/>
      <c r="X186" s="18"/>
      <c r="Y186" s="18"/>
      <c r="Z186" s="19"/>
      <c r="AA186" s="18"/>
      <c r="AB186" s="19"/>
      <c r="AC186" s="19"/>
      <c r="AD186" s="19"/>
      <c r="AE186" s="9"/>
      <c r="AF186" s="9"/>
      <c r="AG186" s="26"/>
      <c r="AH186" s="26"/>
      <c r="AI186" s="89"/>
    </row>
    <row r="187" spans="1:35" ht="12.75">
      <c r="A187" s="155"/>
      <c r="B187" s="155"/>
      <c r="C187" s="155"/>
      <c r="D187" s="155"/>
      <c r="E187" s="155"/>
      <c r="F187" s="155"/>
      <c r="G187" s="155"/>
      <c r="H187" s="5" t="s">
        <v>58</v>
      </c>
      <c r="I187" s="22"/>
      <c r="J187" s="9"/>
      <c r="K187" s="9"/>
      <c r="L187" s="11" t="b">
        <v>0</v>
      </c>
      <c r="M187" s="11" t="b">
        <v>0</v>
      </c>
      <c r="N187" s="7"/>
      <c r="O187" s="7"/>
      <c r="P187" s="8">
        <f t="shared" si="29"/>
        <v>0</v>
      </c>
      <c r="Q187" s="7"/>
      <c r="R187" s="9"/>
      <c r="S187" s="7"/>
      <c r="T187" s="7"/>
      <c r="U187" s="8">
        <f t="shared" si="30"/>
        <v>0</v>
      </c>
      <c r="V187" s="9"/>
      <c r="W187" s="9"/>
      <c r="X187" s="18"/>
      <c r="Y187" s="18"/>
      <c r="Z187" s="19"/>
      <c r="AA187" s="18"/>
      <c r="AB187" s="19"/>
      <c r="AC187" s="19"/>
      <c r="AD187" s="19"/>
      <c r="AE187" s="9"/>
      <c r="AF187" s="9"/>
      <c r="AG187" s="26"/>
      <c r="AH187" s="26"/>
      <c r="AI187" s="9"/>
    </row>
    <row r="188" spans="1:35" ht="15">
      <c r="A188" s="113"/>
      <c r="B188" s="113"/>
      <c r="C188" s="113"/>
      <c r="D188" s="159" t="s">
        <v>455</v>
      </c>
      <c r="E188" s="159" t="s">
        <v>456</v>
      </c>
      <c r="F188" s="163" t="s">
        <v>457</v>
      </c>
      <c r="G188" s="165"/>
      <c r="H188" s="91" t="s">
        <v>458</v>
      </c>
      <c r="I188" s="92"/>
      <c r="J188" s="93"/>
      <c r="K188" s="93"/>
      <c r="L188" s="94" t="b">
        <v>0</v>
      </c>
      <c r="M188" s="94" t="b">
        <v>0</v>
      </c>
      <c r="N188" s="95"/>
      <c r="O188" s="95"/>
      <c r="P188" s="96">
        <f t="shared" si="29"/>
        <v>0</v>
      </c>
      <c r="Q188" s="95"/>
      <c r="R188" s="93"/>
      <c r="S188" s="95"/>
      <c r="T188" s="95"/>
      <c r="U188" s="96">
        <f t="shared" si="30"/>
        <v>0</v>
      </c>
      <c r="V188" s="93"/>
      <c r="W188" s="93"/>
      <c r="X188" s="97"/>
      <c r="Y188" s="97"/>
      <c r="Z188" s="98"/>
      <c r="AA188" s="97"/>
      <c r="AB188" s="98"/>
      <c r="AC188" s="98"/>
      <c r="AD188" s="98"/>
      <c r="AE188" s="93"/>
      <c r="AF188" s="93"/>
      <c r="AG188" s="99"/>
      <c r="AH188" s="99"/>
      <c r="AI188" s="93"/>
    </row>
    <row r="189" spans="1:35" ht="15">
      <c r="A189" s="113"/>
      <c r="B189" s="113"/>
      <c r="C189" s="113"/>
      <c r="D189" s="155"/>
      <c r="E189" s="155"/>
      <c r="F189" s="155"/>
      <c r="G189" s="155"/>
      <c r="H189" s="91" t="s">
        <v>58</v>
      </c>
      <c r="I189" s="92"/>
      <c r="J189" s="93"/>
      <c r="K189" s="93"/>
      <c r="L189" s="94" t="b">
        <v>0</v>
      </c>
      <c r="M189" s="94" t="b">
        <v>0</v>
      </c>
      <c r="N189" s="95"/>
      <c r="O189" s="95"/>
      <c r="P189" s="96">
        <f t="shared" si="29"/>
        <v>0</v>
      </c>
      <c r="Q189" s="95"/>
      <c r="R189" s="93"/>
      <c r="S189" s="95"/>
      <c r="T189" s="95"/>
      <c r="U189" s="96">
        <f t="shared" si="30"/>
        <v>0</v>
      </c>
      <c r="V189" s="93"/>
      <c r="W189" s="93"/>
      <c r="X189" s="97"/>
      <c r="Y189" s="97"/>
      <c r="Z189" s="98"/>
      <c r="AA189" s="97"/>
      <c r="AB189" s="98"/>
      <c r="AC189" s="98"/>
      <c r="AD189" s="98"/>
      <c r="AE189" s="93"/>
      <c r="AF189" s="93"/>
      <c r="AG189" s="99"/>
      <c r="AH189" s="99"/>
      <c r="AI189" s="100"/>
    </row>
    <row r="190" spans="1:35" ht="15">
      <c r="A190" s="113"/>
      <c r="B190" s="113"/>
      <c r="C190" s="113"/>
      <c r="D190" s="159" t="s">
        <v>455</v>
      </c>
      <c r="E190" s="166" t="s">
        <v>459</v>
      </c>
      <c r="F190" s="163" t="s">
        <v>457</v>
      </c>
      <c r="G190" s="165"/>
      <c r="H190" s="91" t="s">
        <v>458</v>
      </c>
      <c r="I190" s="92"/>
      <c r="J190" s="93"/>
      <c r="K190" s="93"/>
      <c r="L190" s="94" t="b">
        <v>0</v>
      </c>
      <c r="M190" s="94" t="b">
        <v>0</v>
      </c>
      <c r="N190" s="95"/>
      <c r="O190" s="95"/>
      <c r="P190" s="96">
        <f t="shared" si="29"/>
        <v>0</v>
      </c>
      <c r="Q190" s="95"/>
      <c r="R190" s="93"/>
      <c r="S190" s="95"/>
      <c r="T190" s="95"/>
      <c r="U190" s="96">
        <f t="shared" si="30"/>
        <v>0</v>
      </c>
      <c r="V190" s="93"/>
      <c r="W190" s="93"/>
      <c r="X190" s="93"/>
      <c r="Y190" s="93"/>
      <c r="Z190" s="91"/>
      <c r="AA190" s="93"/>
      <c r="AB190" s="91"/>
      <c r="AC190" s="91"/>
      <c r="AD190" s="91"/>
      <c r="AE190" s="93"/>
      <c r="AF190" s="93"/>
      <c r="AG190" s="99"/>
      <c r="AH190" s="99"/>
      <c r="AI190" s="101"/>
    </row>
    <row r="191" spans="1:35" ht="12.75">
      <c r="A191" s="113"/>
      <c r="B191" s="113"/>
      <c r="C191" s="113"/>
      <c r="D191" s="155"/>
      <c r="E191" s="155"/>
      <c r="F191" s="155"/>
      <c r="G191" s="155"/>
      <c r="H191" s="91" t="s">
        <v>58</v>
      </c>
      <c r="I191" s="102"/>
      <c r="J191" s="93"/>
      <c r="K191" s="93"/>
      <c r="L191" s="94" t="b">
        <v>0</v>
      </c>
      <c r="M191" s="94" t="b">
        <v>0</v>
      </c>
      <c r="N191" s="95"/>
      <c r="O191" s="95"/>
      <c r="P191" s="96">
        <f t="shared" si="29"/>
        <v>0</v>
      </c>
      <c r="Q191" s="95"/>
      <c r="R191" s="93"/>
      <c r="S191" s="95"/>
      <c r="T191" s="95"/>
      <c r="U191" s="96">
        <f t="shared" si="30"/>
        <v>0</v>
      </c>
      <c r="V191" s="93"/>
      <c r="W191" s="93"/>
      <c r="X191" s="93"/>
      <c r="Y191" s="93"/>
      <c r="Z191" s="91"/>
      <c r="AA191" s="93"/>
      <c r="AB191" s="91"/>
      <c r="AC191" s="91"/>
      <c r="AD191" s="91"/>
      <c r="AE191" s="93"/>
      <c r="AF191" s="93"/>
      <c r="AG191" s="99"/>
      <c r="AH191" s="99"/>
      <c r="AI191" s="99"/>
    </row>
    <row r="192" spans="1:35" ht="15">
      <c r="A192" s="113"/>
      <c r="B192" s="113"/>
      <c r="C192" s="113"/>
      <c r="D192" s="159" t="s">
        <v>460</v>
      </c>
      <c r="E192" s="163" t="s">
        <v>461</v>
      </c>
      <c r="F192" s="159" t="s">
        <v>462</v>
      </c>
      <c r="G192" s="165"/>
      <c r="H192" s="91" t="s">
        <v>49</v>
      </c>
      <c r="I192" s="103"/>
      <c r="J192" s="93"/>
      <c r="K192" s="93"/>
      <c r="L192" s="94" t="b">
        <v>0</v>
      </c>
      <c r="M192" s="94" t="b">
        <v>0</v>
      </c>
      <c r="N192" s="95"/>
      <c r="O192" s="95"/>
      <c r="P192" s="96">
        <f t="shared" si="29"/>
        <v>0</v>
      </c>
      <c r="Q192" s="95"/>
      <c r="R192" s="93"/>
      <c r="S192" s="95"/>
      <c r="T192" s="95"/>
      <c r="U192" s="96">
        <f t="shared" si="30"/>
        <v>0</v>
      </c>
      <c r="V192" s="93"/>
      <c r="W192" s="93"/>
      <c r="X192" s="93"/>
      <c r="Y192" s="93"/>
      <c r="Z192" s="91"/>
      <c r="AA192" s="93"/>
      <c r="AB192" s="91"/>
      <c r="AC192" s="91"/>
      <c r="AD192" s="91"/>
      <c r="AE192" s="93"/>
      <c r="AF192" s="93"/>
      <c r="AG192" s="99"/>
      <c r="AH192" s="99"/>
      <c r="AI192" s="101"/>
    </row>
    <row r="193" spans="1:35" ht="15">
      <c r="A193" s="113"/>
      <c r="B193" s="113"/>
      <c r="C193" s="113"/>
      <c r="D193" s="155"/>
      <c r="E193" s="155"/>
      <c r="F193" s="155"/>
      <c r="G193" s="155"/>
      <c r="H193" s="91" t="s">
        <v>58</v>
      </c>
      <c r="I193" s="103"/>
      <c r="J193" s="93"/>
      <c r="K193" s="93"/>
      <c r="L193" s="94" t="b">
        <v>0</v>
      </c>
      <c r="M193" s="94" t="b">
        <v>0</v>
      </c>
      <c r="N193" s="95"/>
      <c r="O193" s="95"/>
      <c r="P193" s="96">
        <f t="shared" si="29"/>
        <v>0</v>
      </c>
      <c r="Q193" s="95"/>
      <c r="R193" s="93"/>
      <c r="S193" s="95"/>
      <c r="T193" s="95"/>
      <c r="U193" s="96">
        <f t="shared" si="30"/>
        <v>0</v>
      </c>
      <c r="V193" s="93"/>
      <c r="W193" s="93"/>
      <c r="X193" s="97"/>
      <c r="Y193" s="97"/>
      <c r="Z193" s="98"/>
      <c r="AA193" s="97"/>
      <c r="AB193" s="98"/>
      <c r="AC193" s="98"/>
      <c r="AD193" s="98"/>
      <c r="AE193" s="93"/>
      <c r="AF193" s="93"/>
      <c r="AG193" s="99"/>
      <c r="AH193" s="99"/>
      <c r="AI193" s="101"/>
    </row>
    <row r="194" spans="1:35" ht="15">
      <c r="A194" s="113"/>
      <c r="B194" s="113"/>
      <c r="C194" s="113"/>
      <c r="D194" s="159" t="s">
        <v>453</v>
      </c>
      <c r="E194" s="159" t="s">
        <v>463</v>
      </c>
      <c r="F194" s="159" t="s">
        <v>464</v>
      </c>
      <c r="G194" s="165"/>
      <c r="H194" s="91" t="s">
        <v>465</v>
      </c>
      <c r="I194" s="103"/>
      <c r="J194" s="93"/>
      <c r="K194" s="93"/>
      <c r="L194" s="94" t="b">
        <v>0</v>
      </c>
      <c r="M194" s="94" t="b">
        <v>0</v>
      </c>
      <c r="N194" s="95"/>
      <c r="O194" s="95"/>
      <c r="P194" s="96">
        <f t="shared" si="29"/>
        <v>0</v>
      </c>
      <c r="Q194" s="95"/>
      <c r="R194" s="93"/>
      <c r="S194" s="95"/>
      <c r="T194" s="95"/>
      <c r="U194" s="96">
        <f t="shared" si="30"/>
        <v>0</v>
      </c>
      <c r="V194" s="93"/>
      <c r="W194" s="93"/>
      <c r="X194" s="97"/>
      <c r="Y194" s="97"/>
      <c r="Z194" s="98"/>
      <c r="AA194" s="97"/>
      <c r="AB194" s="98"/>
      <c r="AC194" s="98"/>
      <c r="AD194" s="98"/>
      <c r="AE194" s="93"/>
      <c r="AF194" s="93"/>
      <c r="AG194" s="99"/>
      <c r="AH194" s="99"/>
      <c r="AI194" s="101"/>
    </row>
    <row r="195" spans="1:35" ht="15">
      <c r="A195" s="113"/>
      <c r="B195" s="113"/>
      <c r="C195" s="113"/>
      <c r="D195" s="155"/>
      <c r="E195" s="155"/>
      <c r="F195" s="155"/>
      <c r="G195" s="155"/>
      <c r="H195" s="91" t="s">
        <v>58</v>
      </c>
      <c r="I195" s="103"/>
      <c r="J195" s="93"/>
      <c r="K195" s="93"/>
      <c r="L195" s="94" t="b">
        <v>0</v>
      </c>
      <c r="M195" s="94" t="b">
        <v>0</v>
      </c>
      <c r="N195" s="95"/>
      <c r="O195" s="95"/>
      <c r="P195" s="96">
        <f t="shared" si="29"/>
        <v>0</v>
      </c>
      <c r="Q195" s="95"/>
      <c r="R195" s="93"/>
      <c r="S195" s="95"/>
      <c r="T195" s="95"/>
      <c r="U195" s="96">
        <f t="shared" si="30"/>
        <v>0</v>
      </c>
      <c r="V195" s="93"/>
      <c r="W195" s="93"/>
      <c r="X195" s="97"/>
      <c r="Y195" s="97"/>
      <c r="Z195" s="98"/>
      <c r="AA195" s="97"/>
      <c r="AB195" s="98"/>
      <c r="AC195" s="98"/>
      <c r="AD195" s="98"/>
      <c r="AE195" s="93"/>
      <c r="AF195" s="93"/>
      <c r="AG195" s="99"/>
      <c r="AH195" s="99"/>
      <c r="AI195" s="101"/>
    </row>
    <row r="196" spans="1:35" ht="12.75">
      <c r="A196" s="114"/>
      <c r="B196" s="114"/>
      <c r="C196" s="114"/>
      <c r="D196" s="115"/>
      <c r="E196" s="115"/>
      <c r="F196" s="115"/>
      <c r="G196" s="116"/>
      <c r="H196" s="115"/>
      <c r="I196" s="117"/>
      <c r="J196" s="116"/>
      <c r="K196" s="116"/>
      <c r="L196" s="116"/>
      <c r="M196" s="116"/>
      <c r="N196" s="118"/>
      <c r="O196" s="118"/>
      <c r="P196" s="119"/>
      <c r="Q196" s="118"/>
      <c r="R196" s="116"/>
      <c r="S196" s="118"/>
      <c r="T196" s="118"/>
      <c r="U196" s="119"/>
      <c r="V196" s="116"/>
      <c r="W196" s="116"/>
      <c r="X196" s="116"/>
      <c r="Y196" s="116"/>
      <c r="Z196" s="115"/>
      <c r="AA196" s="116"/>
      <c r="AB196" s="115"/>
      <c r="AC196" s="115"/>
      <c r="AD196" s="115"/>
      <c r="AE196" s="116"/>
      <c r="AF196" s="116"/>
      <c r="AG196" s="116"/>
      <c r="AH196" s="116"/>
      <c r="AI196" s="116"/>
    </row>
    <row r="197" spans="1:35" ht="12.75">
      <c r="A197" s="162" t="s">
        <v>209</v>
      </c>
      <c r="B197" s="162" t="s">
        <v>178</v>
      </c>
      <c r="C197" s="162" t="s">
        <v>210</v>
      </c>
      <c r="D197" s="162" t="s">
        <v>453</v>
      </c>
      <c r="E197" s="160" t="s">
        <v>47</v>
      </c>
      <c r="F197" s="162" t="s">
        <v>454</v>
      </c>
      <c r="G197" s="164"/>
      <c r="H197" s="77" t="s">
        <v>49</v>
      </c>
      <c r="I197" s="108"/>
      <c r="J197" s="78"/>
      <c r="K197" s="78"/>
      <c r="L197" s="79" t="b">
        <v>0</v>
      </c>
      <c r="M197" s="79" t="b">
        <v>0</v>
      </c>
      <c r="N197" s="81"/>
      <c r="O197" s="81"/>
      <c r="P197" s="80">
        <f t="shared" ref="P197:P208" si="31">N197+O197</f>
        <v>0</v>
      </c>
      <c r="Q197" s="81"/>
      <c r="R197" s="78"/>
      <c r="S197" s="81"/>
      <c r="T197" s="81"/>
      <c r="U197" s="80">
        <f t="shared" ref="U197:U208" si="32">S197+T197</f>
        <v>0</v>
      </c>
      <c r="V197" s="78"/>
      <c r="W197" s="78"/>
      <c r="X197" s="78"/>
      <c r="Y197" s="78"/>
      <c r="Z197" s="77"/>
      <c r="AA197" s="78"/>
      <c r="AB197" s="77"/>
      <c r="AC197" s="77"/>
      <c r="AD197" s="77"/>
      <c r="AE197" s="78"/>
      <c r="AF197" s="78"/>
      <c r="AG197" s="109"/>
      <c r="AH197" s="109"/>
      <c r="AI197" s="78"/>
    </row>
    <row r="198" spans="1:35" ht="12.75">
      <c r="A198" s="155"/>
      <c r="B198" s="155"/>
      <c r="C198" s="155"/>
      <c r="D198" s="155"/>
      <c r="E198" s="155"/>
      <c r="F198" s="155"/>
      <c r="G198" s="155"/>
      <c r="H198" s="85" t="s">
        <v>58</v>
      </c>
      <c r="I198" s="112"/>
      <c r="J198" s="84"/>
      <c r="K198" s="84"/>
      <c r="L198" s="86" t="b">
        <v>0</v>
      </c>
      <c r="M198" s="86" t="b">
        <v>0</v>
      </c>
      <c r="N198" s="83"/>
      <c r="O198" s="83"/>
      <c r="P198" s="87">
        <f t="shared" si="31"/>
        <v>0</v>
      </c>
      <c r="Q198" s="83"/>
      <c r="R198" s="84"/>
      <c r="S198" s="83"/>
      <c r="T198" s="83"/>
      <c r="U198" s="87">
        <f t="shared" si="32"/>
        <v>0</v>
      </c>
      <c r="V198" s="84"/>
      <c r="W198" s="84"/>
      <c r="X198" s="84"/>
      <c r="Y198" s="84"/>
      <c r="Z198" s="85"/>
      <c r="AA198" s="84"/>
      <c r="AB198" s="85"/>
      <c r="AC198" s="85"/>
      <c r="AD198" s="85"/>
      <c r="AE198" s="84"/>
      <c r="AF198" s="84"/>
      <c r="AG198" s="110"/>
      <c r="AH198" s="110"/>
      <c r="AI198" s="84"/>
    </row>
    <row r="199" spans="1:35" ht="12.75">
      <c r="A199" s="155"/>
      <c r="B199" s="155"/>
      <c r="C199" s="155"/>
      <c r="D199" s="157" t="s">
        <v>453</v>
      </c>
      <c r="E199" s="157" t="s">
        <v>59</v>
      </c>
      <c r="F199" s="157" t="s">
        <v>454</v>
      </c>
      <c r="G199" s="158"/>
      <c r="H199" s="5" t="s">
        <v>49</v>
      </c>
      <c r="I199" s="17"/>
      <c r="J199" s="9"/>
      <c r="K199" s="9"/>
      <c r="L199" s="11" t="b">
        <v>0</v>
      </c>
      <c r="M199" s="11" t="b">
        <v>0</v>
      </c>
      <c r="N199" s="7"/>
      <c r="O199" s="7"/>
      <c r="P199" s="8">
        <f t="shared" si="31"/>
        <v>0</v>
      </c>
      <c r="Q199" s="7"/>
      <c r="R199" s="9"/>
      <c r="S199" s="7"/>
      <c r="T199" s="7"/>
      <c r="U199" s="8">
        <f t="shared" si="32"/>
        <v>0</v>
      </c>
      <c r="V199" s="9"/>
      <c r="W199" s="9"/>
      <c r="X199" s="18"/>
      <c r="Y199" s="18"/>
      <c r="Z199" s="19"/>
      <c r="AA199" s="18"/>
      <c r="AB199" s="19"/>
      <c r="AC199" s="19"/>
      <c r="AD199" s="19"/>
      <c r="AE199" s="9"/>
      <c r="AF199" s="9"/>
      <c r="AG199" s="26"/>
      <c r="AH199" s="26"/>
      <c r="AI199" s="89"/>
    </row>
    <row r="200" spans="1:35" ht="12.75">
      <c r="A200" s="155"/>
      <c r="B200" s="155"/>
      <c r="C200" s="155"/>
      <c r="D200" s="155"/>
      <c r="E200" s="155"/>
      <c r="F200" s="155"/>
      <c r="G200" s="155"/>
      <c r="H200" s="5" t="s">
        <v>58</v>
      </c>
      <c r="I200" s="22"/>
      <c r="J200" s="9"/>
      <c r="K200" s="9"/>
      <c r="L200" s="11" t="b">
        <v>0</v>
      </c>
      <c r="M200" s="11" t="b">
        <v>0</v>
      </c>
      <c r="N200" s="7"/>
      <c r="O200" s="7"/>
      <c r="P200" s="8">
        <f t="shared" si="31"/>
        <v>0</v>
      </c>
      <c r="Q200" s="7"/>
      <c r="R200" s="9"/>
      <c r="S200" s="7"/>
      <c r="T200" s="7"/>
      <c r="U200" s="8">
        <f t="shared" si="32"/>
        <v>0</v>
      </c>
      <c r="V200" s="9"/>
      <c r="W200" s="9"/>
      <c r="X200" s="18"/>
      <c r="Y200" s="18"/>
      <c r="Z200" s="19"/>
      <c r="AA200" s="18"/>
      <c r="AB200" s="19"/>
      <c r="AC200" s="19"/>
      <c r="AD200" s="19"/>
      <c r="AE200" s="9"/>
      <c r="AF200" s="9"/>
      <c r="AG200" s="26"/>
      <c r="AH200" s="26"/>
      <c r="AI200" s="9"/>
    </row>
    <row r="201" spans="1:35" ht="15">
      <c r="A201" s="113"/>
      <c r="B201" s="113"/>
      <c r="C201" s="113"/>
      <c r="D201" s="159" t="s">
        <v>455</v>
      </c>
      <c r="E201" s="159" t="s">
        <v>456</v>
      </c>
      <c r="F201" s="163" t="s">
        <v>457</v>
      </c>
      <c r="G201" s="165"/>
      <c r="H201" s="91" t="s">
        <v>458</v>
      </c>
      <c r="I201" s="92"/>
      <c r="J201" s="93"/>
      <c r="K201" s="93"/>
      <c r="L201" s="94" t="b">
        <v>0</v>
      </c>
      <c r="M201" s="94" t="b">
        <v>0</v>
      </c>
      <c r="N201" s="95"/>
      <c r="O201" s="95"/>
      <c r="P201" s="96">
        <f t="shared" si="31"/>
        <v>0</v>
      </c>
      <c r="Q201" s="95"/>
      <c r="R201" s="93"/>
      <c r="S201" s="95"/>
      <c r="T201" s="95"/>
      <c r="U201" s="96">
        <f t="shared" si="32"/>
        <v>0</v>
      </c>
      <c r="V201" s="93"/>
      <c r="W201" s="93"/>
      <c r="X201" s="97"/>
      <c r="Y201" s="97"/>
      <c r="Z201" s="98"/>
      <c r="AA201" s="97"/>
      <c r="AB201" s="98"/>
      <c r="AC201" s="98"/>
      <c r="AD201" s="98"/>
      <c r="AE201" s="93"/>
      <c r="AF201" s="93"/>
      <c r="AG201" s="99"/>
      <c r="AH201" s="99"/>
      <c r="AI201" s="93"/>
    </row>
    <row r="202" spans="1:35" ht="15">
      <c r="A202" s="113"/>
      <c r="B202" s="113"/>
      <c r="C202" s="113"/>
      <c r="D202" s="155"/>
      <c r="E202" s="155"/>
      <c r="F202" s="155"/>
      <c r="G202" s="155"/>
      <c r="H202" s="91" t="s">
        <v>58</v>
      </c>
      <c r="I202" s="92"/>
      <c r="J202" s="93"/>
      <c r="K202" s="93"/>
      <c r="L202" s="94" t="b">
        <v>0</v>
      </c>
      <c r="M202" s="94" t="b">
        <v>0</v>
      </c>
      <c r="N202" s="95"/>
      <c r="O202" s="95"/>
      <c r="P202" s="96">
        <f t="shared" si="31"/>
        <v>0</v>
      </c>
      <c r="Q202" s="95"/>
      <c r="R202" s="93"/>
      <c r="S202" s="95"/>
      <c r="T202" s="95"/>
      <c r="U202" s="96">
        <f t="shared" si="32"/>
        <v>0</v>
      </c>
      <c r="V202" s="93"/>
      <c r="W202" s="93"/>
      <c r="X202" s="97"/>
      <c r="Y202" s="97"/>
      <c r="Z202" s="98"/>
      <c r="AA202" s="97"/>
      <c r="AB202" s="98"/>
      <c r="AC202" s="98"/>
      <c r="AD202" s="98"/>
      <c r="AE202" s="93"/>
      <c r="AF202" s="93"/>
      <c r="AG202" s="99"/>
      <c r="AH202" s="99"/>
      <c r="AI202" s="100"/>
    </row>
    <row r="203" spans="1:35" ht="15">
      <c r="A203" s="113"/>
      <c r="B203" s="113"/>
      <c r="C203" s="113"/>
      <c r="D203" s="159" t="s">
        <v>455</v>
      </c>
      <c r="E203" s="166" t="s">
        <v>459</v>
      </c>
      <c r="F203" s="163" t="s">
        <v>457</v>
      </c>
      <c r="G203" s="165"/>
      <c r="H203" s="91" t="s">
        <v>458</v>
      </c>
      <c r="I203" s="92"/>
      <c r="J203" s="93"/>
      <c r="K203" s="93"/>
      <c r="L203" s="94" t="b">
        <v>0</v>
      </c>
      <c r="M203" s="94" t="b">
        <v>0</v>
      </c>
      <c r="N203" s="95"/>
      <c r="O203" s="95"/>
      <c r="P203" s="96">
        <f t="shared" si="31"/>
        <v>0</v>
      </c>
      <c r="Q203" s="95"/>
      <c r="R203" s="93"/>
      <c r="S203" s="95"/>
      <c r="T203" s="95"/>
      <c r="U203" s="96">
        <f t="shared" si="32"/>
        <v>0</v>
      </c>
      <c r="V203" s="93"/>
      <c r="W203" s="93"/>
      <c r="X203" s="93"/>
      <c r="Y203" s="93"/>
      <c r="Z203" s="91"/>
      <c r="AA203" s="93"/>
      <c r="AB203" s="91"/>
      <c r="AC203" s="91"/>
      <c r="AD203" s="91"/>
      <c r="AE203" s="93"/>
      <c r="AF203" s="93"/>
      <c r="AG203" s="99"/>
      <c r="AH203" s="99"/>
      <c r="AI203" s="101"/>
    </row>
    <row r="204" spans="1:35" ht="12.75">
      <c r="A204" s="113"/>
      <c r="B204" s="113"/>
      <c r="C204" s="113"/>
      <c r="D204" s="155"/>
      <c r="E204" s="155"/>
      <c r="F204" s="155"/>
      <c r="G204" s="155"/>
      <c r="H204" s="91" t="s">
        <v>58</v>
      </c>
      <c r="I204" s="102"/>
      <c r="J204" s="93"/>
      <c r="K204" s="93"/>
      <c r="L204" s="94" t="b">
        <v>0</v>
      </c>
      <c r="M204" s="94" t="b">
        <v>0</v>
      </c>
      <c r="N204" s="95"/>
      <c r="O204" s="95"/>
      <c r="P204" s="96">
        <f t="shared" si="31"/>
        <v>0</v>
      </c>
      <c r="Q204" s="95"/>
      <c r="R204" s="93"/>
      <c r="S204" s="95"/>
      <c r="T204" s="95"/>
      <c r="U204" s="96">
        <f t="shared" si="32"/>
        <v>0</v>
      </c>
      <c r="V204" s="93"/>
      <c r="W204" s="93"/>
      <c r="X204" s="93"/>
      <c r="Y204" s="93"/>
      <c r="Z204" s="91"/>
      <c r="AA204" s="93"/>
      <c r="AB204" s="91"/>
      <c r="AC204" s="91"/>
      <c r="AD204" s="91"/>
      <c r="AE204" s="93"/>
      <c r="AF204" s="93"/>
      <c r="AG204" s="99"/>
      <c r="AH204" s="99"/>
      <c r="AI204" s="99"/>
    </row>
    <row r="205" spans="1:35" ht="15">
      <c r="A205" s="113"/>
      <c r="B205" s="113"/>
      <c r="C205" s="113"/>
      <c r="D205" s="159" t="s">
        <v>460</v>
      </c>
      <c r="E205" s="163" t="s">
        <v>461</v>
      </c>
      <c r="F205" s="159" t="s">
        <v>462</v>
      </c>
      <c r="G205" s="165"/>
      <c r="H205" s="91" t="s">
        <v>49</v>
      </c>
      <c r="I205" s="103"/>
      <c r="J205" s="93"/>
      <c r="K205" s="93"/>
      <c r="L205" s="94" t="b">
        <v>0</v>
      </c>
      <c r="M205" s="94" t="b">
        <v>0</v>
      </c>
      <c r="N205" s="95"/>
      <c r="O205" s="95"/>
      <c r="P205" s="96">
        <f t="shared" si="31"/>
        <v>0</v>
      </c>
      <c r="Q205" s="95"/>
      <c r="R205" s="93"/>
      <c r="S205" s="95"/>
      <c r="T205" s="95"/>
      <c r="U205" s="96">
        <f t="shared" si="32"/>
        <v>0</v>
      </c>
      <c r="V205" s="93"/>
      <c r="W205" s="93"/>
      <c r="X205" s="93"/>
      <c r="Y205" s="93"/>
      <c r="Z205" s="91"/>
      <c r="AA205" s="93"/>
      <c r="AB205" s="91"/>
      <c r="AC205" s="91"/>
      <c r="AD205" s="91"/>
      <c r="AE205" s="93"/>
      <c r="AF205" s="93"/>
      <c r="AG205" s="99"/>
      <c r="AH205" s="99"/>
      <c r="AI205" s="101"/>
    </row>
    <row r="206" spans="1:35" ht="15">
      <c r="A206" s="113"/>
      <c r="B206" s="113"/>
      <c r="C206" s="113"/>
      <c r="D206" s="155"/>
      <c r="E206" s="155"/>
      <c r="F206" s="155"/>
      <c r="G206" s="155"/>
      <c r="H206" s="91" t="s">
        <v>58</v>
      </c>
      <c r="I206" s="103"/>
      <c r="J206" s="93"/>
      <c r="K206" s="93"/>
      <c r="L206" s="94" t="b">
        <v>0</v>
      </c>
      <c r="M206" s="94" t="b">
        <v>0</v>
      </c>
      <c r="N206" s="95"/>
      <c r="O206" s="95"/>
      <c r="P206" s="96">
        <f t="shared" si="31"/>
        <v>0</v>
      </c>
      <c r="Q206" s="95"/>
      <c r="R206" s="93"/>
      <c r="S206" s="95"/>
      <c r="T206" s="95"/>
      <c r="U206" s="96">
        <f t="shared" si="32"/>
        <v>0</v>
      </c>
      <c r="V206" s="93"/>
      <c r="W206" s="93"/>
      <c r="X206" s="97"/>
      <c r="Y206" s="97"/>
      <c r="Z206" s="98"/>
      <c r="AA206" s="97"/>
      <c r="AB206" s="98"/>
      <c r="AC206" s="98"/>
      <c r="AD206" s="98"/>
      <c r="AE206" s="93"/>
      <c r="AF206" s="93"/>
      <c r="AG206" s="99"/>
      <c r="AH206" s="99"/>
      <c r="AI206" s="101"/>
    </row>
    <row r="207" spans="1:35" ht="15">
      <c r="A207" s="113"/>
      <c r="B207" s="113"/>
      <c r="C207" s="113"/>
      <c r="D207" s="159" t="s">
        <v>453</v>
      </c>
      <c r="E207" s="159" t="s">
        <v>463</v>
      </c>
      <c r="F207" s="159" t="s">
        <v>464</v>
      </c>
      <c r="G207" s="165"/>
      <c r="H207" s="91" t="s">
        <v>465</v>
      </c>
      <c r="I207" s="103"/>
      <c r="J207" s="93"/>
      <c r="K207" s="93"/>
      <c r="L207" s="94" t="b">
        <v>0</v>
      </c>
      <c r="M207" s="94" t="b">
        <v>0</v>
      </c>
      <c r="N207" s="95"/>
      <c r="O207" s="95"/>
      <c r="P207" s="96">
        <f t="shared" si="31"/>
        <v>0</v>
      </c>
      <c r="Q207" s="95"/>
      <c r="R207" s="93"/>
      <c r="S207" s="95"/>
      <c r="T207" s="95"/>
      <c r="U207" s="96">
        <f t="shared" si="32"/>
        <v>0</v>
      </c>
      <c r="V207" s="93"/>
      <c r="W207" s="93"/>
      <c r="X207" s="97"/>
      <c r="Y207" s="97"/>
      <c r="Z207" s="98"/>
      <c r="AA207" s="97"/>
      <c r="AB207" s="98"/>
      <c r="AC207" s="98"/>
      <c r="AD207" s="98"/>
      <c r="AE207" s="93"/>
      <c r="AF207" s="93"/>
      <c r="AG207" s="99"/>
      <c r="AH207" s="99"/>
      <c r="AI207" s="101"/>
    </row>
    <row r="208" spans="1:35" ht="15">
      <c r="A208" s="113"/>
      <c r="B208" s="113"/>
      <c r="C208" s="113"/>
      <c r="D208" s="155"/>
      <c r="E208" s="155"/>
      <c r="F208" s="155"/>
      <c r="G208" s="155"/>
      <c r="H208" s="91" t="s">
        <v>58</v>
      </c>
      <c r="I208" s="103"/>
      <c r="J208" s="93"/>
      <c r="K208" s="93"/>
      <c r="L208" s="94" t="b">
        <v>0</v>
      </c>
      <c r="M208" s="94" t="b">
        <v>0</v>
      </c>
      <c r="N208" s="95"/>
      <c r="O208" s="95"/>
      <c r="P208" s="96">
        <f t="shared" si="31"/>
        <v>0</v>
      </c>
      <c r="Q208" s="95"/>
      <c r="R208" s="93"/>
      <c r="S208" s="95"/>
      <c r="T208" s="95"/>
      <c r="U208" s="96">
        <f t="shared" si="32"/>
        <v>0</v>
      </c>
      <c r="V208" s="93"/>
      <c r="W208" s="93"/>
      <c r="X208" s="97"/>
      <c r="Y208" s="97"/>
      <c r="Z208" s="98"/>
      <c r="AA208" s="97"/>
      <c r="AB208" s="98"/>
      <c r="AC208" s="98"/>
      <c r="AD208" s="98"/>
      <c r="AE208" s="93"/>
      <c r="AF208" s="93"/>
      <c r="AG208" s="99"/>
      <c r="AH208" s="99"/>
      <c r="AI208" s="101"/>
    </row>
    <row r="209" spans="1:35" ht="12.75">
      <c r="A209" s="114"/>
      <c r="B209" s="114"/>
      <c r="C209" s="114"/>
      <c r="D209" s="115"/>
      <c r="E209" s="115"/>
      <c r="F209" s="115"/>
      <c r="G209" s="116"/>
      <c r="H209" s="115"/>
      <c r="I209" s="117"/>
      <c r="J209" s="116"/>
      <c r="K209" s="116"/>
      <c r="L209" s="116"/>
      <c r="M209" s="116"/>
      <c r="N209" s="118"/>
      <c r="O209" s="118"/>
      <c r="P209" s="119"/>
      <c r="Q209" s="118"/>
      <c r="R209" s="116"/>
      <c r="S209" s="118"/>
      <c r="T209" s="118"/>
      <c r="U209" s="119"/>
      <c r="V209" s="116"/>
      <c r="W209" s="116"/>
      <c r="X209" s="116"/>
      <c r="Y209" s="116"/>
      <c r="Z209" s="115"/>
      <c r="AA209" s="116"/>
      <c r="AB209" s="115"/>
      <c r="AC209" s="115"/>
      <c r="AD209" s="115"/>
      <c r="AE209" s="116"/>
      <c r="AF209" s="116"/>
      <c r="AG209" s="116"/>
      <c r="AH209" s="116"/>
      <c r="AI209" s="116"/>
    </row>
    <row r="210" spans="1:35" ht="12.75">
      <c r="A210" s="162" t="s">
        <v>220</v>
      </c>
      <c r="B210" s="162" t="s">
        <v>178</v>
      </c>
      <c r="C210" s="162" t="s">
        <v>220</v>
      </c>
      <c r="D210" s="162" t="s">
        <v>453</v>
      </c>
      <c r="E210" s="160" t="s">
        <v>47</v>
      </c>
      <c r="F210" s="162" t="s">
        <v>454</v>
      </c>
      <c r="G210" s="164"/>
      <c r="H210" s="77" t="s">
        <v>49</v>
      </c>
      <c r="I210" s="108"/>
      <c r="J210" s="78"/>
      <c r="K210" s="78"/>
      <c r="L210" s="79" t="b">
        <v>0</v>
      </c>
      <c r="M210" s="79" t="b">
        <v>0</v>
      </c>
      <c r="N210" s="81"/>
      <c r="O210" s="81"/>
      <c r="P210" s="80">
        <f t="shared" ref="P210:P221" si="33">N210+O210</f>
        <v>0</v>
      </c>
      <c r="Q210" s="81"/>
      <c r="R210" s="78"/>
      <c r="S210" s="81"/>
      <c r="T210" s="81"/>
      <c r="U210" s="80">
        <f t="shared" ref="U210:U221" si="34">S210+T210</f>
        <v>0</v>
      </c>
      <c r="V210" s="78"/>
      <c r="W210" s="78"/>
      <c r="X210" s="78"/>
      <c r="Y210" s="78"/>
      <c r="Z210" s="77"/>
      <c r="AA210" s="78"/>
      <c r="AB210" s="77"/>
      <c r="AC210" s="77"/>
      <c r="AD210" s="77"/>
      <c r="AE210" s="78"/>
      <c r="AF210" s="78"/>
      <c r="AG210" s="109"/>
      <c r="AH210" s="109"/>
      <c r="AI210" s="78"/>
    </row>
    <row r="211" spans="1:35" ht="12.75">
      <c r="A211" s="155"/>
      <c r="B211" s="155"/>
      <c r="C211" s="155"/>
      <c r="D211" s="155"/>
      <c r="E211" s="155"/>
      <c r="F211" s="155"/>
      <c r="G211" s="155"/>
      <c r="H211" s="85" t="s">
        <v>58</v>
      </c>
      <c r="I211" s="112"/>
      <c r="J211" s="84"/>
      <c r="K211" s="84"/>
      <c r="L211" s="86" t="b">
        <v>0</v>
      </c>
      <c r="M211" s="86" t="b">
        <v>0</v>
      </c>
      <c r="N211" s="83"/>
      <c r="O211" s="83"/>
      <c r="P211" s="87">
        <f t="shared" si="33"/>
        <v>0</v>
      </c>
      <c r="Q211" s="83"/>
      <c r="R211" s="84"/>
      <c r="S211" s="83"/>
      <c r="T211" s="83"/>
      <c r="U211" s="87">
        <f t="shared" si="34"/>
        <v>0</v>
      </c>
      <c r="V211" s="84"/>
      <c r="W211" s="84"/>
      <c r="X211" s="84"/>
      <c r="Y211" s="84"/>
      <c r="Z211" s="85"/>
      <c r="AA211" s="84"/>
      <c r="AB211" s="85"/>
      <c r="AC211" s="85"/>
      <c r="AD211" s="85"/>
      <c r="AE211" s="84"/>
      <c r="AF211" s="84"/>
      <c r="AG211" s="110"/>
      <c r="AH211" s="110"/>
      <c r="AI211" s="84"/>
    </row>
    <row r="212" spans="1:35" ht="12.75">
      <c r="A212" s="155"/>
      <c r="B212" s="155"/>
      <c r="C212" s="155"/>
      <c r="D212" s="157" t="s">
        <v>453</v>
      </c>
      <c r="E212" s="157" t="s">
        <v>59</v>
      </c>
      <c r="F212" s="157" t="s">
        <v>454</v>
      </c>
      <c r="G212" s="158"/>
      <c r="H212" s="5" t="s">
        <v>49</v>
      </c>
      <c r="I212" s="17"/>
      <c r="J212" s="9"/>
      <c r="K212" s="9"/>
      <c r="L212" s="11" t="b">
        <v>0</v>
      </c>
      <c r="M212" s="11" t="b">
        <v>0</v>
      </c>
      <c r="N212" s="7"/>
      <c r="O212" s="7"/>
      <c r="P212" s="8">
        <f t="shared" si="33"/>
        <v>0</v>
      </c>
      <c r="Q212" s="7"/>
      <c r="R212" s="9"/>
      <c r="S212" s="7"/>
      <c r="T212" s="7"/>
      <c r="U212" s="8">
        <f t="shared" si="34"/>
        <v>0</v>
      </c>
      <c r="V212" s="9"/>
      <c r="W212" s="9"/>
      <c r="X212" s="18"/>
      <c r="Y212" s="18"/>
      <c r="Z212" s="19"/>
      <c r="AA212" s="18"/>
      <c r="AB212" s="19"/>
      <c r="AC212" s="19"/>
      <c r="AD212" s="19"/>
      <c r="AE212" s="9"/>
      <c r="AF212" s="9"/>
      <c r="AG212" s="26"/>
      <c r="AH212" s="26"/>
      <c r="AI212" s="89"/>
    </row>
    <row r="213" spans="1:35" ht="12.75">
      <c r="A213" s="155"/>
      <c r="B213" s="155"/>
      <c r="C213" s="155"/>
      <c r="D213" s="155"/>
      <c r="E213" s="155"/>
      <c r="F213" s="155"/>
      <c r="G213" s="155"/>
      <c r="H213" s="5" t="s">
        <v>58</v>
      </c>
      <c r="I213" s="22"/>
      <c r="J213" s="9"/>
      <c r="K213" s="9"/>
      <c r="L213" s="11" t="b">
        <v>0</v>
      </c>
      <c r="M213" s="11" t="b">
        <v>0</v>
      </c>
      <c r="N213" s="7"/>
      <c r="O213" s="7"/>
      <c r="P213" s="8">
        <f t="shared" si="33"/>
        <v>0</v>
      </c>
      <c r="Q213" s="7"/>
      <c r="R213" s="9"/>
      <c r="S213" s="7"/>
      <c r="T213" s="7"/>
      <c r="U213" s="8">
        <f t="shared" si="34"/>
        <v>0</v>
      </c>
      <c r="V213" s="9"/>
      <c r="W213" s="9"/>
      <c r="X213" s="18"/>
      <c r="Y213" s="18"/>
      <c r="Z213" s="19"/>
      <c r="AA213" s="18"/>
      <c r="AB213" s="19"/>
      <c r="AC213" s="19"/>
      <c r="AD213" s="19"/>
      <c r="AE213" s="9"/>
      <c r="AF213" s="9"/>
      <c r="AG213" s="26"/>
      <c r="AH213" s="26"/>
      <c r="AI213" s="9"/>
    </row>
    <row r="214" spans="1:35" ht="15">
      <c r="A214" s="113"/>
      <c r="B214" s="113"/>
      <c r="C214" s="113"/>
      <c r="D214" s="159" t="s">
        <v>455</v>
      </c>
      <c r="E214" s="159" t="s">
        <v>456</v>
      </c>
      <c r="F214" s="163" t="s">
        <v>457</v>
      </c>
      <c r="G214" s="165"/>
      <c r="H214" s="91" t="s">
        <v>458</v>
      </c>
      <c r="I214" s="92"/>
      <c r="J214" s="93"/>
      <c r="K214" s="93"/>
      <c r="L214" s="94" t="b">
        <v>0</v>
      </c>
      <c r="M214" s="94" t="b">
        <v>0</v>
      </c>
      <c r="N214" s="95"/>
      <c r="O214" s="95"/>
      <c r="P214" s="96">
        <f t="shared" si="33"/>
        <v>0</v>
      </c>
      <c r="Q214" s="95"/>
      <c r="R214" s="93"/>
      <c r="S214" s="95"/>
      <c r="T214" s="95"/>
      <c r="U214" s="96">
        <f t="shared" si="34"/>
        <v>0</v>
      </c>
      <c r="V214" s="93"/>
      <c r="W214" s="93"/>
      <c r="X214" s="97"/>
      <c r="Y214" s="97"/>
      <c r="Z214" s="98"/>
      <c r="AA214" s="97"/>
      <c r="AB214" s="98"/>
      <c r="AC214" s="98"/>
      <c r="AD214" s="98"/>
      <c r="AE214" s="93"/>
      <c r="AF214" s="93"/>
      <c r="AG214" s="99"/>
      <c r="AH214" s="99"/>
      <c r="AI214" s="93"/>
    </row>
    <row r="215" spans="1:35" ht="15">
      <c r="A215" s="113"/>
      <c r="B215" s="113"/>
      <c r="C215" s="113"/>
      <c r="D215" s="155"/>
      <c r="E215" s="155"/>
      <c r="F215" s="155"/>
      <c r="G215" s="155"/>
      <c r="H215" s="91" t="s">
        <v>58</v>
      </c>
      <c r="I215" s="92"/>
      <c r="J215" s="93"/>
      <c r="K215" s="93"/>
      <c r="L215" s="94" t="b">
        <v>0</v>
      </c>
      <c r="M215" s="94" t="b">
        <v>0</v>
      </c>
      <c r="N215" s="95"/>
      <c r="O215" s="95"/>
      <c r="P215" s="96">
        <f t="shared" si="33"/>
        <v>0</v>
      </c>
      <c r="Q215" s="95"/>
      <c r="R215" s="93"/>
      <c r="S215" s="95"/>
      <c r="T215" s="95"/>
      <c r="U215" s="96">
        <f t="shared" si="34"/>
        <v>0</v>
      </c>
      <c r="V215" s="93"/>
      <c r="W215" s="93"/>
      <c r="X215" s="97"/>
      <c r="Y215" s="97"/>
      <c r="Z215" s="98"/>
      <c r="AA215" s="97"/>
      <c r="AB215" s="98"/>
      <c r="AC215" s="98"/>
      <c r="AD215" s="98"/>
      <c r="AE215" s="93"/>
      <c r="AF215" s="93"/>
      <c r="AG215" s="99"/>
      <c r="AH215" s="99"/>
      <c r="AI215" s="100"/>
    </row>
    <row r="216" spans="1:35" ht="15">
      <c r="A216" s="113"/>
      <c r="B216" s="113"/>
      <c r="C216" s="113"/>
      <c r="D216" s="159" t="s">
        <v>455</v>
      </c>
      <c r="E216" s="166" t="s">
        <v>459</v>
      </c>
      <c r="F216" s="163" t="s">
        <v>457</v>
      </c>
      <c r="G216" s="165"/>
      <c r="H216" s="91" t="s">
        <v>458</v>
      </c>
      <c r="I216" s="92"/>
      <c r="J216" s="93"/>
      <c r="K216" s="93"/>
      <c r="L216" s="94" t="b">
        <v>0</v>
      </c>
      <c r="M216" s="94" t="b">
        <v>0</v>
      </c>
      <c r="N216" s="95"/>
      <c r="O216" s="95"/>
      <c r="P216" s="96">
        <f t="shared" si="33"/>
        <v>0</v>
      </c>
      <c r="Q216" s="95"/>
      <c r="R216" s="93"/>
      <c r="S216" s="95"/>
      <c r="T216" s="95"/>
      <c r="U216" s="96">
        <f t="shared" si="34"/>
        <v>0</v>
      </c>
      <c r="V216" s="93"/>
      <c r="W216" s="93"/>
      <c r="X216" s="93"/>
      <c r="Y216" s="93"/>
      <c r="Z216" s="91"/>
      <c r="AA216" s="93"/>
      <c r="AB216" s="91"/>
      <c r="AC216" s="91"/>
      <c r="AD216" s="91"/>
      <c r="AE216" s="93"/>
      <c r="AF216" s="93"/>
      <c r="AG216" s="99"/>
      <c r="AH216" s="99"/>
      <c r="AI216" s="101"/>
    </row>
    <row r="217" spans="1:35" ht="12.75">
      <c r="A217" s="113"/>
      <c r="B217" s="113"/>
      <c r="C217" s="113"/>
      <c r="D217" s="155"/>
      <c r="E217" s="155"/>
      <c r="F217" s="155"/>
      <c r="G217" s="155"/>
      <c r="H217" s="91" t="s">
        <v>58</v>
      </c>
      <c r="I217" s="102"/>
      <c r="J217" s="93"/>
      <c r="K217" s="93"/>
      <c r="L217" s="94" t="b">
        <v>0</v>
      </c>
      <c r="M217" s="94" t="b">
        <v>0</v>
      </c>
      <c r="N217" s="95"/>
      <c r="O217" s="95"/>
      <c r="P217" s="96">
        <f t="shared" si="33"/>
        <v>0</v>
      </c>
      <c r="Q217" s="95"/>
      <c r="R217" s="93"/>
      <c r="S217" s="95"/>
      <c r="T217" s="95"/>
      <c r="U217" s="96">
        <f t="shared" si="34"/>
        <v>0</v>
      </c>
      <c r="V217" s="93"/>
      <c r="W217" s="93"/>
      <c r="X217" s="93"/>
      <c r="Y217" s="93"/>
      <c r="Z217" s="91"/>
      <c r="AA217" s="93"/>
      <c r="AB217" s="91"/>
      <c r="AC217" s="91"/>
      <c r="AD217" s="91"/>
      <c r="AE217" s="93"/>
      <c r="AF217" s="93"/>
      <c r="AG217" s="99"/>
      <c r="AH217" s="99"/>
      <c r="AI217" s="99"/>
    </row>
    <row r="218" spans="1:35" ht="15">
      <c r="A218" s="113"/>
      <c r="B218" s="113"/>
      <c r="C218" s="113"/>
      <c r="D218" s="159" t="s">
        <v>460</v>
      </c>
      <c r="E218" s="163" t="s">
        <v>461</v>
      </c>
      <c r="F218" s="159" t="s">
        <v>462</v>
      </c>
      <c r="G218" s="165"/>
      <c r="H218" s="91" t="s">
        <v>49</v>
      </c>
      <c r="I218" s="103"/>
      <c r="J218" s="93"/>
      <c r="K218" s="93"/>
      <c r="L218" s="94" t="b">
        <v>0</v>
      </c>
      <c r="M218" s="94" t="b">
        <v>0</v>
      </c>
      <c r="N218" s="95"/>
      <c r="O218" s="95"/>
      <c r="P218" s="96">
        <f t="shared" si="33"/>
        <v>0</v>
      </c>
      <c r="Q218" s="95"/>
      <c r="R218" s="93"/>
      <c r="S218" s="95"/>
      <c r="T218" s="95"/>
      <c r="U218" s="96">
        <f t="shared" si="34"/>
        <v>0</v>
      </c>
      <c r="V218" s="93"/>
      <c r="W218" s="93"/>
      <c r="X218" s="93"/>
      <c r="Y218" s="93"/>
      <c r="Z218" s="91"/>
      <c r="AA218" s="93"/>
      <c r="AB218" s="91"/>
      <c r="AC218" s="91"/>
      <c r="AD218" s="91"/>
      <c r="AE218" s="93"/>
      <c r="AF218" s="93"/>
      <c r="AG218" s="99"/>
      <c r="AH218" s="99"/>
      <c r="AI218" s="101"/>
    </row>
    <row r="219" spans="1:35" ht="15">
      <c r="A219" s="113"/>
      <c r="B219" s="113"/>
      <c r="C219" s="113"/>
      <c r="D219" s="155"/>
      <c r="E219" s="155"/>
      <c r="F219" s="155"/>
      <c r="G219" s="155"/>
      <c r="H219" s="91" t="s">
        <v>58</v>
      </c>
      <c r="I219" s="103"/>
      <c r="J219" s="93"/>
      <c r="K219" s="93"/>
      <c r="L219" s="94" t="b">
        <v>0</v>
      </c>
      <c r="M219" s="94" t="b">
        <v>0</v>
      </c>
      <c r="N219" s="95"/>
      <c r="O219" s="95"/>
      <c r="P219" s="96">
        <f t="shared" si="33"/>
        <v>0</v>
      </c>
      <c r="Q219" s="95"/>
      <c r="R219" s="93"/>
      <c r="S219" s="95"/>
      <c r="T219" s="95"/>
      <c r="U219" s="96">
        <f t="shared" si="34"/>
        <v>0</v>
      </c>
      <c r="V219" s="93"/>
      <c r="W219" s="93"/>
      <c r="X219" s="97"/>
      <c r="Y219" s="97"/>
      <c r="Z219" s="98"/>
      <c r="AA219" s="97"/>
      <c r="AB219" s="98"/>
      <c r="AC219" s="98"/>
      <c r="AD219" s="98"/>
      <c r="AE219" s="93"/>
      <c r="AF219" s="93"/>
      <c r="AG219" s="99"/>
      <c r="AH219" s="99"/>
      <c r="AI219" s="101"/>
    </row>
    <row r="220" spans="1:35" ht="15">
      <c r="A220" s="113"/>
      <c r="B220" s="113"/>
      <c r="C220" s="113"/>
      <c r="D220" s="159" t="s">
        <v>453</v>
      </c>
      <c r="E220" s="159" t="s">
        <v>463</v>
      </c>
      <c r="F220" s="159" t="s">
        <v>464</v>
      </c>
      <c r="G220" s="165"/>
      <c r="H220" s="91" t="s">
        <v>465</v>
      </c>
      <c r="I220" s="103"/>
      <c r="J220" s="93"/>
      <c r="K220" s="93"/>
      <c r="L220" s="94" t="b">
        <v>0</v>
      </c>
      <c r="M220" s="94" t="b">
        <v>0</v>
      </c>
      <c r="N220" s="95"/>
      <c r="O220" s="95"/>
      <c r="P220" s="96">
        <f t="shared" si="33"/>
        <v>0</v>
      </c>
      <c r="Q220" s="95"/>
      <c r="R220" s="93"/>
      <c r="S220" s="95"/>
      <c r="T220" s="95"/>
      <c r="U220" s="96">
        <f t="shared" si="34"/>
        <v>0</v>
      </c>
      <c r="V220" s="93"/>
      <c r="W220" s="93"/>
      <c r="X220" s="97"/>
      <c r="Y220" s="97"/>
      <c r="Z220" s="98"/>
      <c r="AA220" s="97"/>
      <c r="AB220" s="98"/>
      <c r="AC220" s="98"/>
      <c r="AD220" s="98"/>
      <c r="AE220" s="93"/>
      <c r="AF220" s="93"/>
      <c r="AG220" s="99"/>
      <c r="AH220" s="99"/>
      <c r="AI220" s="101"/>
    </row>
    <row r="221" spans="1:35" ht="15">
      <c r="A221" s="113"/>
      <c r="B221" s="113"/>
      <c r="C221" s="113"/>
      <c r="D221" s="155"/>
      <c r="E221" s="155"/>
      <c r="F221" s="155"/>
      <c r="G221" s="155"/>
      <c r="H221" s="91" t="s">
        <v>58</v>
      </c>
      <c r="I221" s="103"/>
      <c r="J221" s="93"/>
      <c r="K221" s="93"/>
      <c r="L221" s="94" t="b">
        <v>0</v>
      </c>
      <c r="M221" s="94" t="b">
        <v>0</v>
      </c>
      <c r="N221" s="95"/>
      <c r="O221" s="95"/>
      <c r="P221" s="96">
        <f t="shared" si="33"/>
        <v>0</v>
      </c>
      <c r="Q221" s="95"/>
      <c r="R221" s="93"/>
      <c r="S221" s="95"/>
      <c r="T221" s="95"/>
      <c r="U221" s="96">
        <f t="shared" si="34"/>
        <v>0</v>
      </c>
      <c r="V221" s="93"/>
      <c r="W221" s="93"/>
      <c r="X221" s="97"/>
      <c r="Y221" s="97"/>
      <c r="Z221" s="98"/>
      <c r="AA221" s="97"/>
      <c r="AB221" s="98"/>
      <c r="AC221" s="98"/>
      <c r="AD221" s="98"/>
      <c r="AE221" s="93"/>
      <c r="AF221" s="93"/>
      <c r="AG221" s="99"/>
      <c r="AH221" s="99"/>
      <c r="AI221" s="101"/>
    </row>
    <row r="222" spans="1:35" ht="12.75">
      <c r="A222" s="123"/>
      <c r="B222" s="123"/>
      <c r="C222" s="123"/>
      <c r="D222" s="124"/>
      <c r="E222" s="124"/>
      <c r="F222" s="124"/>
      <c r="G222" s="125"/>
      <c r="H222" s="124"/>
      <c r="I222" s="126"/>
      <c r="J222" s="125"/>
      <c r="K222" s="125"/>
      <c r="L222" s="125"/>
      <c r="M222" s="125"/>
      <c r="N222" s="127"/>
      <c r="O222" s="127"/>
      <c r="P222" s="128"/>
      <c r="Q222" s="127"/>
      <c r="R222" s="125"/>
      <c r="S222" s="127"/>
      <c r="T222" s="127"/>
      <c r="U222" s="128"/>
      <c r="V222" s="125"/>
      <c r="W222" s="125"/>
      <c r="X222" s="125"/>
      <c r="Y222" s="125"/>
      <c r="Z222" s="124"/>
      <c r="AA222" s="125"/>
      <c r="AB222" s="124"/>
      <c r="AC222" s="124"/>
      <c r="AD222" s="124"/>
      <c r="AE222" s="125"/>
      <c r="AF222" s="125"/>
      <c r="AG222" s="125"/>
      <c r="AH222" s="125"/>
      <c r="AI222" s="125"/>
    </row>
    <row r="223" spans="1:35" ht="12.75">
      <c r="A223" s="173" t="s">
        <v>231</v>
      </c>
      <c r="B223" s="162" t="s">
        <v>163</v>
      </c>
      <c r="C223" s="174" t="s">
        <v>232</v>
      </c>
      <c r="D223" s="162" t="s">
        <v>453</v>
      </c>
      <c r="E223" s="160" t="s">
        <v>47</v>
      </c>
      <c r="F223" s="162" t="s">
        <v>454</v>
      </c>
      <c r="G223" s="164"/>
      <c r="H223" s="77" t="s">
        <v>49</v>
      </c>
      <c r="I223" s="108"/>
      <c r="J223" s="78"/>
      <c r="K223" s="78"/>
      <c r="L223" s="79" t="b">
        <v>0</v>
      </c>
      <c r="M223" s="79" t="b">
        <v>0</v>
      </c>
      <c r="N223" s="81"/>
      <c r="O223" s="81"/>
      <c r="P223" s="80">
        <f t="shared" ref="P223:P234" si="35">N223+O223</f>
        <v>0</v>
      </c>
      <c r="Q223" s="81"/>
      <c r="R223" s="78"/>
      <c r="S223" s="81"/>
      <c r="T223" s="81"/>
      <c r="U223" s="80">
        <f t="shared" ref="U223:U234" si="36">S223+T223</f>
        <v>0</v>
      </c>
      <c r="V223" s="78"/>
      <c r="W223" s="78"/>
      <c r="X223" s="78"/>
      <c r="Y223" s="78"/>
      <c r="Z223" s="77"/>
      <c r="AA223" s="78"/>
      <c r="AB223" s="77"/>
      <c r="AC223" s="77"/>
      <c r="AD223" s="77"/>
      <c r="AE223" s="78"/>
      <c r="AF223" s="78"/>
      <c r="AG223" s="109"/>
      <c r="AH223" s="109"/>
      <c r="AI223" s="78"/>
    </row>
    <row r="224" spans="1:35" ht="12.75">
      <c r="A224" s="155"/>
      <c r="B224" s="155"/>
      <c r="C224" s="155"/>
      <c r="D224" s="155"/>
      <c r="E224" s="155"/>
      <c r="F224" s="155"/>
      <c r="G224" s="155"/>
      <c r="H224" s="85" t="s">
        <v>58</v>
      </c>
      <c r="I224" s="112"/>
      <c r="J224" s="84"/>
      <c r="K224" s="84"/>
      <c r="L224" s="86" t="b">
        <v>0</v>
      </c>
      <c r="M224" s="86" t="b">
        <v>0</v>
      </c>
      <c r="N224" s="83"/>
      <c r="O224" s="83"/>
      <c r="P224" s="87">
        <f t="shared" si="35"/>
        <v>0</v>
      </c>
      <c r="Q224" s="83"/>
      <c r="R224" s="84"/>
      <c r="S224" s="83"/>
      <c r="T224" s="83"/>
      <c r="U224" s="87">
        <f t="shared" si="36"/>
        <v>0</v>
      </c>
      <c r="V224" s="84"/>
      <c r="W224" s="84"/>
      <c r="X224" s="84"/>
      <c r="Y224" s="84"/>
      <c r="Z224" s="85"/>
      <c r="AA224" s="84"/>
      <c r="AB224" s="85"/>
      <c r="AC224" s="85"/>
      <c r="AD224" s="85"/>
      <c r="AE224" s="84"/>
      <c r="AF224" s="84"/>
      <c r="AG224" s="110"/>
      <c r="AH224" s="110"/>
      <c r="AI224" s="84"/>
    </row>
    <row r="225" spans="1:35" ht="12.75">
      <c r="A225" s="155"/>
      <c r="B225" s="155"/>
      <c r="C225" s="155"/>
      <c r="D225" s="157" t="s">
        <v>453</v>
      </c>
      <c r="E225" s="157" t="s">
        <v>59</v>
      </c>
      <c r="F225" s="157" t="s">
        <v>454</v>
      </c>
      <c r="G225" s="158"/>
      <c r="H225" s="5" t="s">
        <v>49</v>
      </c>
      <c r="I225" s="17"/>
      <c r="J225" s="9"/>
      <c r="K225" s="9"/>
      <c r="L225" s="11" t="b">
        <v>0</v>
      </c>
      <c r="M225" s="11" t="b">
        <v>0</v>
      </c>
      <c r="N225" s="7"/>
      <c r="O225" s="7"/>
      <c r="P225" s="8">
        <f t="shared" si="35"/>
        <v>0</v>
      </c>
      <c r="Q225" s="7"/>
      <c r="R225" s="9"/>
      <c r="S225" s="7"/>
      <c r="T225" s="7"/>
      <c r="U225" s="8">
        <f t="shared" si="36"/>
        <v>0</v>
      </c>
      <c r="V225" s="9"/>
      <c r="W225" s="9"/>
      <c r="X225" s="18"/>
      <c r="Y225" s="18"/>
      <c r="Z225" s="19"/>
      <c r="AA225" s="18"/>
      <c r="AB225" s="19"/>
      <c r="AC225" s="19"/>
      <c r="AD225" s="19"/>
      <c r="AE225" s="9"/>
      <c r="AF225" s="9"/>
      <c r="AG225" s="26"/>
      <c r="AH225" s="26"/>
      <c r="AI225" s="89"/>
    </row>
    <row r="226" spans="1:35" ht="12.75">
      <c r="A226" s="155"/>
      <c r="B226" s="155"/>
      <c r="C226" s="155"/>
      <c r="D226" s="155"/>
      <c r="E226" s="155"/>
      <c r="F226" s="155"/>
      <c r="G226" s="155"/>
      <c r="H226" s="5" t="s">
        <v>58</v>
      </c>
      <c r="I226" s="22"/>
      <c r="J226" s="9"/>
      <c r="K226" s="9"/>
      <c r="L226" s="11" t="b">
        <v>0</v>
      </c>
      <c r="M226" s="11" t="b">
        <v>0</v>
      </c>
      <c r="N226" s="7"/>
      <c r="O226" s="7"/>
      <c r="P226" s="8">
        <f t="shared" si="35"/>
        <v>0</v>
      </c>
      <c r="Q226" s="7"/>
      <c r="R226" s="9"/>
      <c r="S226" s="7"/>
      <c r="T226" s="7"/>
      <c r="U226" s="8">
        <f t="shared" si="36"/>
        <v>0</v>
      </c>
      <c r="V226" s="9"/>
      <c r="W226" s="9"/>
      <c r="X226" s="18"/>
      <c r="Y226" s="18"/>
      <c r="Z226" s="19"/>
      <c r="AA226" s="18"/>
      <c r="AB226" s="19"/>
      <c r="AC226" s="19"/>
      <c r="AD226" s="19"/>
      <c r="AE226" s="9"/>
      <c r="AF226" s="9"/>
      <c r="AG226" s="26"/>
      <c r="AH226" s="26"/>
      <c r="AI226" s="9"/>
    </row>
    <row r="227" spans="1:35" ht="15">
      <c r="A227" s="129"/>
      <c r="B227" s="113"/>
      <c r="C227" s="113"/>
      <c r="D227" s="159" t="s">
        <v>455</v>
      </c>
      <c r="E227" s="159" t="s">
        <v>456</v>
      </c>
      <c r="F227" s="163" t="s">
        <v>457</v>
      </c>
      <c r="G227" s="165"/>
      <c r="H227" s="91" t="s">
        <v>458</v>
      </c>
      <c r="I227" s="92"/>
      <c r="J227" s="93"/>
      <c r="K227" s="93"/>
      <c r="L227" s="94" t="b">
        <v>0</v>
      </c>
      <c r="M227" s="94" t="b">
        <v>0</v>
      </c>
      <c r="N227" s="95"/>
      <c r="O227" s="95"/>
      <c r="P227" s="96">
        <f t="shared" si="35"/>
        <v>0</v>
      </c>
      <c r="Q227" s="95"/>
      <c r="R227" s="93"/>
      <c r="S227" s="95"/>
      <c r="T227" s="95"/>
      <c r="U227" s="96">
        <f t="shared" si="36"/>
        <v>0</v>
      </c>
      <c r="V227" s="93"/>
      <c r="W227" s="93"/>
      <c r="X227" s="97"/>
      <c r="Y227" s="97"/>
      <c r="Z227" s="98"/>
      <c r="AA227" s="97"/>
      <c r="AB227" s="98"/>
      <c r="AC227" s="98"/>
      <c r="AD227" s="98"/>
      <c r="AE227" s="93"/>
      <c r="AF227" s="93"/>
      <c r="AG227" s="99"/>
      <c r="AH227" s="99"/>
      <c r="AI227" s="93"/>
    </row>
    <row r="228" spans="1:35" ht="15">
      <c r="A228" s="129"/>
      <c r="B228" s="113"/>
      <c r="C228" s="113"/>
      <c r="D228" s="155"/>
      <c r="E228" s="155"/>
      <c r="F228" s="155"/>
      <c r="G228" s="155"/>
      <c r="H228" s="91" t="s">
        <v>58</v>
      </c>
      <c r="I228" s="92"/>
      <c r="J228" s="93"/>
      <c r="K228" s="93"/>
      <c r="L228" s="94" t="b">
        <v>0</v>
      </c>
      <c r="M228" s="94" t="b">
        <v>0</v>
      </c>
      <c r="N228" s="95"/>
      <c r="O228" s="95"/>
      <c r="P228" s="96">
        <f t="shared" si="35"/>
        <v>0</v>
      </c>
      <c r="Q228" s="95"/>
      <c r="R228" s="93"/>
      <c r="S228" s="95"/>
      <c r="T228" s="95"/>
      <c r="U228" s="96">
        <f t="shared" si="36"/>
        <v>0</v>
      </c>
      <c r="V228" s="93"/>
      <c r="W228" s="93"/>
      <c r="X228" s="97"/>
      <c r="Y228" s="97"/>
      <c r="Z228" s="98"/>
      <c r="AA228" s="97"/>
      <c r="AB228" s="98"/>
      <c r="AC228" s="98"/>
      <c r="AD228" s="98"/>
      <c r="AE228" s="93"/>
      <c r="AF228" s="93"/>
      <c r="AG228" s="99"/>
      <c r="AH228" s="99"/>
      <c r="AI228" s="100"/>
    </row>
    <row r="229" spans="1:35" ht="15">
      <c r="A229" s="129"/>
      <c r="B229" s="113"/>
      <c r="C229" s="113"/>
      <c r="D229" s="159" t="s">
        <v>455</v>
      </c>
      <c r="E229" s="166" t="s">
        <v>459</v>
      </c>
      <c r="F229" s="163" t="s">
        <v>457</v>
      </c>
      <c r="G229" s="165"/>
      <c r="H229" s="91" t="s">
        <v>458</v>
      </c>
      <c r="I229" s="92"/>
      <c r="J229" s="93"/>
      <c r="K229" s="93"/>
      <c r="L229" s="94" t="b">
        <v>0</v>
      </c>
      <c r="M229" s="94" t="b">
        <v>0</v>
      </c>
      <c r="N229" s="95"/>
      <c r="O229" s="95"/>
      <c r="P229" s="96">
        <f t="shared" si="35"/>
        <v>0</v>
      </c>
      <c r="Q229" s="95"/>
      <c r="R229" s="93"/>
      <c r="S229" s="95"/>
      <c r="T229" s="95"/>
      <c r="U229" s="96">
        <f t="shared" si="36"/>
        <v>0</v>
      </c>
      <c r="V229" s="93"/>
      <c r="W229" s="93"/>
      <c r="X229" s="93"/>
      <c r="Y229" s="93"/>
      <c r="Z229" s="91"/>
      <c r="AA229" s="93"/>
      <c r="AB229" s="91"/>
      <c r="AC229" s="91"/>
      <c r="AD229" s="91"/>
      <c r="AE229" s="93"/>
      <c r="AF229" s="93"/>
      <c r="AG229" s="99"/>
      <c r="AH229" s="99"/>
      <c r="AI229" s="101"/>
    </row>
    <row r="230" spans="1:35" ht="15">
      <c r="A230" s="129"/>
      <c r="B230" s="113"/>
      <c r="C230" s="113"/>
      <c r="D230" s="155"/>
      <c r="E230" s="155"/>
      <c r="F230" s="155"/>
      <c r="G230" s="155"/>
      <c r="H230" s="91" t="s">
        <v>58</v>
      </c>
      <c r="I230" s="102"/>
      <c r="J230" s="93"/>
      <c r="K230" s="93"/>
      <c r="L230" s="94" t="b">
        <v>0</v>
      </c>
      <c r="M230" s="94" t="b">
        <v>0</v>
      </c>
      <c r="N230" s="95"/>
      <c r="O230" s="95"/>
      <c r="P230" s="96">
        <f t="shared" si="35"/>
        <v>0</v>
      </c>
      <c r="Q230" s="95"/>
      <c r="R230" s="93"/>
      <c r="S230" s="95"/>
      <c r="T230" s="95"/>
      <c r="U230" s="96">
        <f t="shared" si="36"/>
        <v>0</v>
      </c>
      <c r="V230" s="93"/>
      <c r="W230" s="93"/>
      <c r="X230" s="93"/>
      <c r="Y230" s="93"/>
      <c r="Z230" s="91"/>
      <c r="AA230" s="93"/>
      <c r="AB230" s="91"/>
      <c r="AC230" s="91"/>
      <c r="AD230" s="91"/>
      <c r="AE230" s="93"/>
      <c r="AF230" s="93"/>
      <c r="AG230" s="99"/>
      <c r="AH230" s="99"/>
      <c r="AI230" s="99"/>
    </row>
    <row r="231" spans="1:35" ht="15">
      <c r="A231" s="129"/>
      <c r="B231" s="113"/>
      <c r="C231" s="113"/>
      <c r="D231" s="159" t="s">
        <v>460</v>
      </c>
      <c r="E231" s="163" t="s">
        <v>461</v>
      </c>
      <c r="F231" s="159" t="s">
        <v>462</v>
      </c>
      <c r="G231" s="165"/>
      <c r="H231" s="91" t="s">
        <v>49</v>
      </c>
      <c r="I231" s="103"/>
      <c r="J231" s="93"/>
      <c r="K231" s="93"/>
      <c r="L231" s="94" t="b">
        <v>0</v>
      </c>
      <c r="M231" s="94" t="b">
        <v>0</v>
      </c>
      <c r="N231" s="95"/>
      <c r="O231" s="95"/>
      <c r="P231" s="96">
        <f t="shared" si="35"/>
        <v>0</v>
      </c>
      <c r="Q231" s="95"/>
      <c r="R231" s="93"/>
      <c r="S231" s="95"/>
      <c r="T231" s="95"/>
      <c r="U231" s="96">
        <f t="shared" si="36"/>
        <v>0</v>
      </c>
      <c r="V231" s="93"/>
      <c r="W231" s="93"/>
      <c r="X231" s="93"/>
      <c r="Y231" s="93"/>
      <c r="Z231" s="91"/>
      <c r="AA231" s="93"/>
      <c r="AB231" s="91"/>
      <c r="AC231" s="91"/>
      <c r="AD231" s="91"/>
      <c r="AE231" s="93"/>
      <c r="AF231" s="93"/>
      <c r="AG231" s="99"/>
      <c r="AH231" s="99"/>
      <c r="AI231" s="101"/>
    </row>
    <row r="232" spans="1:35" ht="15">
      <c r="A232" s="129"/>
      <c r="B232" s="113"/>
      <c r="C232" s="113"/>
      <c r="D232" s="155"/>
      <c r="E232" s="155"/>
      <c r="F232" s="155"/>
      <c r="G232" s="155"/>
      <c r="H232" s="91" t="s">
        <v>58</v>
      </c>
      <c r="I232" s="103"/>
      <c r="J232" s="93"/>
      <c r="K232" s="93"/>
      <c r="L232" s="94" t="b">
        <v>0</v>
      </c>
      <c r="M232" s="94" t="b">
        <v>0</v>
      </c>
      <c r="N232" s="95"/>
      <c r="O232" s="95"/>
      <c r="P232" s="96">
        <f t="shared" si="35"/>
        <v>0</v>
      </c>
      <c r="Q232" s="95"/>
      <c r="R232" s="93"/>
      <c r="S232" s="95"/>
      <c r="T232" s="95"/>
      <c r="U232" s="96">
        <f t="shared" si="36"/>
        <v>0</v>
      </c>
      <c r="V232" s="93"/>
      <c r="W232" s="93"/>
      <c r="X232" s="97"/>
      <c r="Y232" s="97"/>
      <c r="Z232" s="98"/>
      <c r="AA232" s="97"/>
      <c r="AB232" s="98"/>
      <c r="AC232" s="98"/>
      <c r="AD232" s="98"/>
      <c r="AE232" s="93"/>
      <c r="AF232" s="93"/>
      <c r="AG232" s="99"/>
      <c r="AH232" s="99"/>
      <c r="AI232" s="101"/>
    </row>
    <row r="233" spans="1:35" ht="15">
      <c r="A233" s="129"/>
      <c r="B233" s="113"/>
      <c r="C233" s="113"/>
      <c r="D233" s="159" t="s">
        <v>453</v>
      </c>
      <c r="E233" s="159" t="s">
        <v>463</v>
      </c>
      <c r="F233" s="159" t="s">
        <v>464</v>
      </c>
      <c r="G233" s="165"/>
      <c r="H233" s="91" t="s">
        <v>465</v>
      </c>
      <c r="I233" s="103"/>
      <c r="J233" s="93"/>
      <c r="K233" s="93"/>
      <c r="L233" s="94" t="b">
        <v>0</v>
      </c>
      <c r="M233" s="94" t="b">
        <v>0</v>
      </c>
      <c r="N233" s="95"/>
      <c r="O233" s="95"/>
      <c r="P233" s="96">
        <f t="shared" si="35"/>
        <v>0</v>
      </c>
      <c r="Q233" s="95"/>
      <c r="R233" s="93"/>
      <c r="S233" s="95"/>
      <c r="T233" s="95"/>
      <c r="U233" s="96">
        <f t="shared" si="36"/>
        <v>0</v>
      </c>
      <c r="V233" s="93"/>
      <c r="W233" s="93"/>
      <c r="X233" s="97"/>
      <c r="Y233" s="97"/>
      <c r="Z233" s="98"/>
      <c r="AA233" s="97"/>
      <c r="AB233" s="98"/>
      <c r="AC233" s="98"/>
      <c r="AD233" s="98"/>
      <c r="AE233" s="93"/>
      <c r="AF233" s="93"/>
      <c r="AG233" s="99"/>
      <c r="AH233" s="99"/>
      <c r="AI233" s="101"/>
    </row>
    <row r="234" spans="1:35" ht="15">
      <c r="A234" s="129"/>
      <c r="B234" s="113"/>
      <c r="C234" s="113"/>
      <c r="D234" s="155"/>
      <c r="E234" s="155"/>
      <c r="F234" s="155"/>
      <c r="G234" s="155"/>
      <c r="H234" s="91" t="s">
        <v>58</v>
      </c>
      <c r="I234" s="103"/>
      <c r="J234" s="93"/>
      <c r="K234" s="93"/>
      <c r="L234" s="94" t="b">
        <v>0</v>
      </c>
      <c r="M234" s="94" t="b">
        <v>0</v>
      </c>
      <c r="N234" s="95"/>
      <c r="O234" s="95"/>
      <c r="P234" s="96">
        <f t="shared" si="35"/>
        <v>0</v>
      </c>
      <c r="Q234" s="95"/>
      <c r="R234" s="93"/>
      <c r="S234" s="95"/>
      <c r="T234" s="95"/>
      <c r="U234" s="96">
        <f t="shared" si="36"/>
        <v>0</v>
      </c>
      <c r="V234" s="93"/>
      <c r="W234" s="93"/>
      <c r="X234" s="97"/>
      <c r="Y234" s="97"/>
      <c r="Z234" s="98"/>
      <c r="AA234" s="97"/>
      <c r="AB234" s="98"/>
      <c r="AC234" s="98"/>
      <c r="AD234" s="98"/>
      <c r="AE234" s="93"/>
      <c r="AF234" s="93"/>
      <c r="AG234" s="99"/>
      <c r="AH234" s="99"/>
      <c r="AI234" s="101"/>
    </row>
    <row r="235" spans="1:35" ht="12.75">
      <c r="A235" s="114"/>
      <c r="B235" s="114"/>
      <c r="C235" s="114"/>
      <c r="D235" s="130"/>
      <c r="E235" s="115"/>
      <c r="F235" s="115"/>
      <c r="G235" s="116"/>
      <c r="H235" s="115"/>
      <c r="I235" s="131"/>
      <c r="J235" s="116"/>
      <c r="K235" s="116"/>
      <c r="L235" s="116"/>
      <c r="M235" s="116"/>
      <c r="N235" s="118"/>
      <c r="O235" s="118"/>
      <c r="P235" s="119"/>
      <c r="Q235" s="118"/>
      <c r="R235" s="116"/>
      <c r="S235" s="118"/>
      <c r="T235" s="118"/>
      <c r="U235" s="119"/>
      <c r="V235" s="116"/>
      <c r="W235" s="116"/>
      <c r="X235" s="116"/>
      <c r="Y235" s="116"/>
      <c r="Z235" s="115"/>
      <c r="AA235" s="116"/>
      <c r="AB235" s="115"/>
      <c r="AC235" s="115"/>
      <c r="AD235" s="115"/>
      <c r="AE235" s="116"/>
      <c r="AF235" s="116"/>
      <c r="AG235" s="116"/>
      <c r="AH235" s="116"/>
      <c r="AI235" s="116"/>
    </row>
    <row r="236" spans="1:35" ht="12.75">
      <c r="A236" s="172" t="s">
        <v>239</v>
      </c>
      <c r="B236" s="162" t="s">
        <v>163</v>
      </c>
      <c r="C236" s="161" t="s">
        <v>164</v>
      </c>
      <c r="D236" s="162" t="s">
        <v>453</v>
      </c>
      <c r="E236" s="160" t="s">
        <v>47</v>
      </c>
      <c r="F236" s="162" t="s">
        <v>454</v>
      </c>
      <c r="G236" s="164"/>
      <c r="H236" s="77" t="s">
        <v>49</v>
      </c>
      <c r="I236" s="108"/>
      <c r="J236" s="78"/>
      <c r="K236" s="78"/>
      <c r="L236" s="79" t="b">
        <v>0</v>
      </c>
      <c r="M236" s="79" t="b">
        <v>0</v>
      </c>
      <c r="N236" s="81"/>
      <c r="O236" s="81"/>
      <c r="P236" s="80">
        <f t="shared" ref="P236:P247" si="37">N236+O236</f>
        <v>0</v>
      </c>
      <c r="Q236" s="81"/>
      <c r="R236" s="78"/>
      <c r="S236" s="81"/>
      <c r="T236" s="81"/>
      <c r="U236" s="80">
        <f t="shared" ref="U236:U247" si="38">S236+T236</f>
        <v>0</v>
      </c>
      <c r="V236" s="78"/>
      <c r="W236" s="78"/>
      <c r="X236" s="78"/>
      <c r="Y236" s="78"/>
      <c r="Z236" s="77"/>
      <c r="AA236" s="78"/>
      <c r="AB236" s="77"/>
      <c r="AC236" s="77"/>
      <c r="AD236" s="77"/>
      <c r="AE236" s="78"/>
      <c r="AF236" s="78"/>
      <c r="AG236" s="109"/>
      <c r="AH236" s="109"/>
      <c r="AI236" s="78"/>
    </row>
    <row r="237" spans="1:35" ht="12.75">
      <c r="A237" s="155"/>
      <c r="B237" s="155"/>
      <c r="C237" s="155"/>
      <c r="D237" s="155"/>
      <c r="E237" s="155"/>
      <c r="F237" s="155"/>
      <c r="G237" s="155"/>
      <c r="H237" s="85" t="s">
        <v>58</v>
      </c>
      <c r="I237" s="112"/>
      <c r="J237" s="84"/>
      <c r="K237" s="84"/>
      <c r="L237" s="86" t="b">
        <v>0</v>
      </c>
      <c r="M237" s="86" t="b">
        <v>0</v>
      </c>
      <c r="N237" s="83"/>
      <c r="O237" s="83"/>
      <c r="P237" s="87">
        <f t="shared" si="37"/>
        <v>0</v>
      </c>
      <c r="Q237" s="83"/>
      <c r="R237" s="84"/>
      <c r="S237" s="83"/>
      <c r="T237" s="83"/>
      <c r="U237" s="87">
        <f t="shared" si="38"/>
        <v>0</v>
      </c>
      <c r="V237" s="84"/>
      <c r="W237" s="84"/>
      <c r="X237" s="84"/>
      <c r="Y237" s="84"/>
      <c r="Z237" s="85"/>
      <c r="AA237" s="84"/>
      <c r="AB237" s="85"/>
      <c r="AC237" s="85"/>
      <c r="AD237" s="85"/>
      <c r="AE237" s="84"/>
      <c r="AF237" s="84"/>
      <c r="AG237" s="110"/>
      <c r="AH237" s="110"/>
      <c r="AI237" s="84"/>
    </row>
    <row r="238" spans="1:35" ht="12.75">
      <c r="A238" s="155"/>
      <c r="B238" s="155"/>
      <c r="C238" s="155"/>
      <c r="D238" s="157" t="s">
        <v>453</v>
      </c>
      <c r="E238" s="157" t="s">
        <v>59</v>
      </c>
      <c r="F238" s="157" t="s">
        <v>454</v>
      </c>
      <c r="G238" s="158"/>
      <c r="H238" s="5" t="s">
        <v>49</v>
      </c>
      <c r="I238" s="17"/>
      <c r="J238" s="9"/>
      <c r="K238" s="9"/>
      <c r="L238" s="11" t="b">
        <v>0</v>
      </c>
      <c r="M238" s="11" t="b">
        <v>0</v>
      </c>
      <c r="N238" s="7"/>
      <c r="O238" s="7"/>
      <c r="P238" s="8">
        <f t="shared" si="37"/>
        <v>0</v>
      </c>
      <c r="Q238" s="7"/>
      <c r="R238" s="9"/>
      <c r="S238" s="7"/>
      <c r="T238" s="7"/>
      <c r="U238" s="8">
        <f t="shared" si="38"/>
        <v>0</v>
      </c>
      <c r="V238" s="9"/>
      <c r="W238" s="9"/>
      <c r="X238" s="18"/>
      <c r="Y238" s="18"/>
      <c r="Z238" s="19"/>
      <c r="AA238" s="18"/>
      <c r="AB238" s="19"/>
      <c r="AC238" s="19"/>
      <c r="AD238" s="19"/>
      <c r="AE238" s="9"/>
      <c r="AF238" s="9"/>
      <c r="AG238" s="26"/>
      <c r="AH238" s="26"/>
      <c r="AI238" s="89"/>
    </row>
    <row r="239" spans="1:35" ht="12.75">
      <c r="A239" s="155"/>
      <c r="B239" s="155"/>
      <c r="C239" s="155"/>
      <c r="D239" s="155"/>
      <c r="E239" s="155"/>
      <c r="F239" s="155"/>
      <c r="G239" s="155"/>
      <c r="H239" s="5" t="s">
        <v>58</v>
      </c>
      <c r="I239" s="22"/>
      <c r="J239" s="9"/>
      <c r="K239" s="9"/>
      <c r="L239" s="11" t="b">
        <v>0</v>
      </c>
      <c r="M239" s="11" t="b">
        <v>0</v>
      </c>
      <c r="N239" s="7"/>
      <c r="O239" s="7"/>
      <c r="P239" s="8">
        <f t="shared" si="37"/>
        <v>0</v>
      </c>
      <c r="Q239" s="7"/>
      <c r="R239" s="9"/>
      <c r="S239" s="7"/>
      <c r="T239" s="7"/>
      <c r="U239" s="8">
        <f t="shared" si="38"/>
        <v>0</v>
      </c>
      <c r="V239" s="9"/>
      <c r="W239" s="9"/>
      <c r="X239" s="18"/>
      <c r="Y239" s="18"/>
      <c r="Z239" s="19"/>
      <c r="AA239" s="18"/>
      <c r="AB239" s="19"/>
      <c r="AC239" s="19"/>
      <c r="AD239" s="19"/>
      <c r="AE239" s="9"/>
      <c r="AF239" s="9"/>
      <c r="AG239" s="26"/>
      <c r="AH239" s="26"/>
      <c r="AI239" s="9"/>
    </row>
    <row r="240" spans="1:35" ht="15">
      <c r="A240" s="129"/>
      <c r="B240" s="113"/>
      <c r="C240" s="113"/>
      <c r="D240" s="159" t="s">
        <v>455</v>
      </c>
      <c r="E240" s="159" t="s">
        <v>456</v>
      </c>
      <c r="F240" s="163" t="s">
        <v>457</v>
      </c>
      <c r="G240" s="165"/>
      <c r="H240" s="91" t="s">
        <v>458</v>
      </c>
      <c r="I240" s="92"/>
      <c r="J240" s="93"/>
      <c r="K240" s="93"/>
      <c r="L240" s="94" t="b">
        <v>0</v>
      </c>
      <c r="M240" s="94" t="b">
        <v>0</v>
      </c>
      <c r="N240" s="95"/>
      <c r="O240" s="95"/>
      <c r="P240" s="96">
        <f t="shared" si="37"/>
        <v>0</v>
      </c>
      <c r="Q240" s="95"/>
      <c r="R240" s="93"/>
      <c r="S240" s="95"/>
      <c r="T240" s="95"/>
      <c r="U240" s="96">
        <f t="shared" si="38"/>
        <v>0</v>
      </c>
      <c r="V240" s="93"/>
      <c r="W240" s="93"/>
      <c r="X240" s="97"/>
      <c r="Y240" s="97"/>
      <c r="Z240" s="98"/>
      <c r="AA240" s="97"/>
      <c r="AB240" s="98"/>
      <c r="AC240" s="98"/>
      <c r="AD240" s="98"/>
      <c r="AE240" s="93"/>
      <c r="AF240" s="93"/>
      <c r="AG240" s="99"/>
      <c r="AH240" s="99"/>
      <c r="AI240" s="93"/>
    </row>
    <row r="241" spans="1:35" ht="15">
      <c r="A241" s="129"/>
      <c r="B241" s="113"/>
      <c r="C241" s="113"/>
      <c r="D241" s="155"/>
      <c r="E241" s="155"/>
      <c r="F241" s="155"/>
      <c r="G241" s="155"/>
      <c r="H241" s="91" t="s">
        <v>58</v>
      </c>
      <c r="I241" s="92"/>
      <c r="J241" s="93"/>
      <c r="K241" s="93"/>
      <c r="L241" s="94" t="b">
        <v>0</v>
      </c>
      <c r="M241" s="94" t="b">
        <v>0</v>
      </c>
      <c r="N241" s="95"/>
      <c r="O241" s="95"/>
      <c r="P241" s="96">
        <f t="shared" si="37"/>
        <v>0</v>
      </c>
      <c r="Q241" s="95"/>
      <c r="R241" s="93"/>
      <c r="S241" s="95"/>
      <c r="T241" s="95"/>
      <c r="U241" s="96">
        <f t="shared" si="38"/>
        <v>0</v>
      </c>
      <c r="V241" s="93"/>
      <c r="W241" s="93"/>
      <c r="X241" s="97"/>
      <c r="Y241" s="97"/>
      <c r="Z241" s="98"/>
      <c r="AA241" s="97"/>
      <c r="AB241" s="98"/>
      <c r="AC241" s="98"/>
      <c r="AD241" s="98"/>
      <c r="AE241" s="93"/>
      <c r="AF241" s="93"/>
      <c r="AG241" s="99"/>
      <c r="AH241" s="99"/>
      <c r="AI241" s="100"/>
    </row>
    <row r="242" spans="1:35" ht="15">
      <c r="A242" s="129"/>
      <c r="B242" s="113"/>
      <c r="C242" s="113"/>
      <c r="D242" s="159" t="s">
        <v>455</v>
      </c>
      <c r="E242" s="166" t="s">
        <v>459</v>
      </c>
      <c r="F242" s="163" t="s">
        <v>457</v>
      </c>
      <c r="G242" s="165"/>
      <c r="H242" s="91" t="s">
        <v>458</v>
      </c>
      <c r="I242" s="92"/>
      <c r="J242" s="93"/>
      <c r="K242" s="93"/>
      <c r="L242" s="94" t="b">
        <v>0</v>
      </c>
      <c r="M242" s="94" t="b">
        <v>0</v>
      </c>
      <c r="N242" s="95"/>
      <c r="O242" s="95"/>
      <c r="P242" s="96">
        <f t="shared" si="37"/>
        <v>0</v>
      </c>
      <c r="Q242" s="95"/>
      <c r="R242" s="93"/>
      <c r="S242" s="95"/>
      <c r="T242" s="95"/>
      <c r="U242" s="96">
        <f t="shared" si="38"/>
        <v>0</v>
      </c>
      <c r="V242" s="93"/>
      <c r="W242" s="93"/>
      <c r="X242" s="93"/>
      <c r="Y242" s="93"/>
      <c r="Z242" s="91"/>
      <c r="AA242" s="93"/>
      <c r="AB242" s="91"/>
      <c r="AC242" s="91"/>
      <c r="AD242" s="91"/>
      <c r="AE242" s="93"/>
      <c r="AF242" s="93"/>
      <c r="AG242" s="99"/>
      <c r="AH242" s="99"/>
      <c r="AI242" s="101"/>
    </row>
    <row r="243" spans="1:35" ht="15">
      <c r="A243" s="129"/>
      <c r="B243" s="113"/>
      <c r="C243" s="113"/>
      <c r="D243" s="155"/>
      <c r="E243" s="155"/>
      <c r="F243" s="155"/>
      <c r="G243" s="155"/>
      <c r="H243" s="91" t="s">
        <v>58</v>
      </c>
      <c r="I243" s="102"/>
      <c r="J243" s="93"/>
      <c r="K243" s="93"/>
      <c r="L243" s="94" t="b">
        <v>0</v>
      </c>
      <c r="M243" s="94" t="b">
        <v>0</v>
      </c>
      <c r="N243" s="95"/>
      <c r="O243" s="95"/>
      <c r="P243" s="96">
        <f t="shared" si="37"/>
        <v>0</v>
      </c>
      <c r="Q243" s="95"/>
      <c r="R243" s="93"/>
      <c r="S243" s="95"/>
      <c r="T243" s="95"/>
      <c r="U243" s="96">
        <f t="shared" si="38"/>
        <v>0</v>
      </c>
      <c r="V243" s="93"/>
      <c r="W243" s="93"/>
      <c r="X243" s="93"/>
      <c r="Y243" s="93"/>
      <c r="Z243" s="91"/>
      <c r="AA243" s="93"/>
      <c r="AB243" s="91"/>
      <c r="AC243" s="91"/>
      <c r="AD243" s="91"/>
      <c r="AE243" s="93"/>
      <c r="AF243" s="93"/>
      <c r="AG243" s="99"/>
      <c r="AH243" s="99"/>
      <c r="AI243" s="99"/>
    </row>
    <row r="244" spans="1:35" ht="15">
      <c r="A244" s="129"/>
      <c r="B244" s="113"/>
      <c r="C244" s="113"/>
      <c r="D244" s="159" t="s">
        <v>460</v>
      </c>
      <c r="E244" s="163" t="s">
        <v>461</v>
      </c>
      <c r="F244" s="159" t="s">
        <v>462</v>
      </c>
      <c r="G244" s="165"/>
      <c r="H244" s="91" t="s">
        <v>49</v>
      </c>
      <c r="I244" s="103"/>
      <c r="J244" s="93"/>
      <c r="K244" s="93"/>
      <c r="L244" s="94" t="b">
        <v>0</v>
      </c>
      <c r="M244" s="94" t="b">
        <v>0</v>
      </c>
      <c r="N244" s="95"/>
      <c r="O244" s="95"/>
      <c r="P244" s="96">
        <f t="shared" si="37"/>
        <v>0</v>
      </c>
      <c r="Q244" s="95"/>
      <c r="R244" s="93"/>
      <c r="S244" s="95"/>
      <c r="T244" s="95"/>
      <c r="U244" s="96">
        <f t="shared" si="38"/>
        <v>0</v>
      </c>
      <c r="V244" s="93"/>
      <c r="W244" s="93"/>
      <c r="X244" s="93"/>
      <c r="Y244" s="93"/>
      <c r="Z244" s="91"/>
      <c r="AA244" s="93"/>
      <c r="AB244" s="91"/>
      <c r="AC244" s="91"/>
      <c r="AD244" s="91"/>
      <c r="AE244" s="93"/>
      <c r="AF244" s="93"/>
      <c r="AG244" s="99"/>
      <c r="AH244" s="99"/>
      <c r="AI244" s="101"/>
    </row>
    <row r="245" spans="1:35" ht="15">
      <c r="A245" s="129"/>
      <c r="B245" s="113"/>
      <c r="C245" s="113"/>
      <c r="D245" s="155"/>
      <c r="E245" s="155"/>
      <c r="F245" s="155"/>
      <c r="G245" s="155"/>
      <c r="H245" s="91" t="s">
        <v>58</v>
      </c>
      <c r="I245" s="103"/>
      <c r="J245" s="93"/>
      <c r="K245" s="93"/>
      <c r="L245" s="94" t="b">
        <v>0</v>
      </c>
      <c r="M245" s="94" t="b">
        <v>0</v>
      </c>
      <c r="N245" s="95"/>
      <c r="O245" s="95"/>
      <c r="P245" s="96">
        <f t="shared" si="37"/>
        <v>0</v>
      </c>
      <c r="Q245" s="95"/>
      <c r="R245" s="93"/>
      <c r="S245" s="95"/>
      <c r="T245" s="95"/>
      <c r="U245" s="96">
        <f t="shared" si="38"/>
        <v>0</v>
      </c>
      <c r="V245" s="93"/>
      <c r="W245" s="93"/>
      <c r="X245" s="97"/>
      <c r="Y245" s="97"/>
      <c r="Z245" s="98"/>
      <c r="AA245" s="97"/>
      <c r="AB245" s="98"/>
      <c r="AC245" s="98"/>
      <c r="AD245" s="98"/>
      <c r="AE245" s="93"/>
      <c r="AF245" s="93"/>
      <c r="AG245" s="99"/>
      <c r="AH245" s="99"/>
      <c r="AI245" s="101"/>
    </row>
    <row r="246" spans="1:35" ht="15">
      <c r="A246" s="129"/>
      <c r="B246" s="113"/>
      <c r="C246" s="113"/>
      <c r="D246" s="159" t="s">
        <v>453</v>
      </c>
      <c r="E246" s="159" t="s">
        <v>463</v>
      </c>
      <c r="F246" s="159" t="s">
        <v>464</v>
      </c>
      <c r="G246" s="165"/>
      <c r="H246" s="91" t="s">
        <v>465</v>
      </c>
      <c r="I246" s="103"/>
      <c r="J246" s="93"/>
      <c r="K246" s="93"/>
      <c r="L246" s="94" t="b">
        <v>0</v>
      </c>
      <c r="M246" s="94" t="b">
        <v>0</v>
      </c>
      <c r="N246" s="95"/>
      <c r="O246" s="95"/>
      <c r="P246" s="96">
        <f t="shared" si="37"/>
        <v>0</v>
      </c>
      <c r="Q246" s="95"/>
      <c r="R246" s="93"/>
      <c r="S246" s="95"/>
      <c r="T246" s="95"/>
      <c r="U246" s="96">
        <f t="shared" si="38"/>
        <v>0</v>
      </c>
      <c r="V246" s="93"/>
      <c r="W246" s="93"/>
      <c r="X246" s="97"/>
      <c r="Y246" s="97"/>
      <c r="Z246" s="98"/>
      <c r="AA246" s="97"/>
      <c r="AB246" s="98"/>
      <c r="AC246" s="98"/>
      <c r="AD246" s="98"/>
      <c r="AE246" s="93"/>
      <c r="AF246" s="93"/>
      <c r="AG246" s="99"/>
      <c r="AH246" s="99"/>
      <c r="AI246" s="101"/>
    </row>
    <row r="247" spans="1:35" ht="15">
      <c r="A247" s="129"/>
      <c r="B247" s="113"/>
      <c r="C247" s="113"/>
      <c r="D247" s="155"/>
      <c r="E247" s="155"/>
      <c r="F247" s="155"/>
      <c r="G247" s="155"/>
      <c r="H247" s="91" t="s">
        <v>58</v>
      </c>
      <c r="I247" s="103"/>
      <c r="J247" s="93"/>
      <c r="K247" s="93"/>
      <c r="L247" s="94" t="b">
        <v>0</v>
      </c>
      <c r="M247" s="94" t="b">
        <v>0</v>
      </c>
      <c r="N247" s="95"/>
      <c r="O247" s="95"/>
      <c r="P247" s="96">
        <f t="shared" si="37"/>
        <v>0</v>
      </c>
      <c r="Q247" s="95"/>
      <c r="R247" s="93"/>
      <c r="S247" s="95"/>
      <c r="T247" s="95"/>
      <c r="U247" s="96">
        <f t="shared" si="38"/>
        <v>0</v>
      </c>
      <c r="V247" s="93"/>
      <c r="W247" s="93"/>
      <c r="X247" s="97"/>
      <c r="Y247" s="97"/>
      <c r="Z247" s="98"/>
      <c r="AA247" s="97"/>
      <c r="AB247" s="98"/>
      <c r="AC247" s="98"/>
      <c r="AD247" s="98"/>
      <c r="AE247" s="93"/>
      <c r="AF247" s="93"/>
      <c r="AG247" s="99"/>
      <c r="AH247" s="99"/>
      <c r="AI247" s="101"/>
    </row>
    <row r="248" spans="1:35" ht="9" customHeight="1">
      <c r="A248" s="47"/>
      <c r="B248" s="47"/>
      <c r="C248" s="114"/>
      <c r="D248" s="130"/>
      <c r="E248" s="115"/>
      <c r="F248" s="115"/>
      <c r="G248" s="116"/>
      <c r="H248" s="115"/>
      <c r="I248" s="131"/>
      <c r="J248" s="116"/>
      <c r="K248" s="116"/>
      <c r="L248" s="116"/>
      <c r="M248" s="116"/>
      <c r="N248" s="118"/>
      <c r="O248" s="118"/>
      <c r="P248" s="119"/>
      <c r="Q248" s="118"/>
      <c r="R248" s="116"/>
      <c r="S248" s="118"/>
      <c r="T248" s="118"/>
      <c r="U248" s="119"/>
      <c r="V248" s="116"/>
      <c r="W248" s="116"/>
      <c r="X248" s="116"/>
      <c r="Y248" s="116"/>
      <c r="Z248" s="115"/>
      <c r="AA248" s="116"/>
      <c r="AB248" s="115"/>
      <c r="AC248" s="115"/>
      <c r="AD248" s="115"/>
      <c r="AE248" s="116"/>
      <c r="AF248" s="116"/>
      <c r="AG248" s="116"/>
      <c r="AH248" s="116"/>
      <c r="AI248" s="116"/>
    </row>
    <row r="249" spans="1:35" ht="12.75">
      <c r="A249" s="172" t="s">
        <v>243</v>
      </c>
      <c r="B249" s="162" t="s">
        <v>178</v>
      </c>
      <c r="C249" s="162" t="s">
        <v>244</v>
      </c>
      <c r="D249" s="162" t="s">
        <v>453</v>
      </c>
      <c r="E249" s="160" t="s">
        <v>47</v>
      </c>
      <c r="F249" s="162" t="s">
        <v>454</v>
      </c>
      <c r="G249" s="164"/>
      <c r="H249" s="77" t="s">
        <v>49</v>
      </c>
      <c r="I249" s="108"/>
      <c r="J249" s="78"/>
      <c r="K249" s="78"/>
      <c r="L249" s="79" t="b">
        <v>0</v>
      </c>
      <c r="M249" s="79" t="b">
        <v>0</v>
      </c>
      <c r="N249" s="81"/>
      <c r="O249" s="81"/>
      <c r="P249" s="80">
        <f t="shared" ref="P249:P260" si="39">N249+O249</f>
        <v>0</v>
      </c>
      <c r="Q249" s="81"/>
      <c r="R249" s="78"/>
      <c r="S249" s="81"/>
      <c r="T249" s="81"/>
      <c r="U249" s="80">
        <f t="shared" ref="U249:U260" si="40">S249+T249</f>
        <v>0</v>
      </c>
      <c r="V249" s="78"/>
      <c r="W249" s="78"/>
      <c r="X249" s="78"/>
      <c r="Y249" s="78"/>
      <c r="Z249" s="77"/>
      <c r="AA249" s="78"/>
      <c r="AB249" s="77"/>
      <c r="AC249" s="77"/>
      <c r="AD249" s="77"/>
      <c r="AE249" s="78"/>
      <c r="AF249" s="78"/>
      <c r="AG249" s="109"/>
      <c r="AH249" s="109"/>
      <c r="AI249" s="78"/>
    </row>
    <row r="250" spans="1:35" ht="12.75">
      <c r="A250" s="155"/>
      <c r="B250" s="155"/>
      <c r="C250" s="155"/>
      <c r="D250" s="155"/>
      <c r="E250" s="155"/>
      <c r="F250" s="155"/>
      <c r="G250" s="155"/>
      <c r="H250" s="85" t="s">
        <v>58</v>
      </c>
      <c r="I250" s="112"/>
      <c r="J250" s="84"/>
      <c r="K250" s="84"/>
      <c r="L250" s="86" t="b">
        <v>0</v>
      </c>
      <c r="M250" s="86" t="b">
        <v>0</v>
      </c>
      <c r="N250" s="83"/>
      <c r="O250" s="83"/>
      <c r="P250" s="87">
        <f t="shared" si="39"/>
        <v>0</v>
      </c>
      <c r="Q250" s="83"/>
      <c r="R250" s="84"/>
      <c r="S250" s="83"/>
      <c r="T250" s="83"/>
      <c r="U250" s="87">
        <f t="shared" si="40"/>
        <v>0</v>
      </c>
      <c r="V250" s="84"/>
      <c r="W250" s="84"/>
      <c r="X250" s="84"/>
      <c r="Y250" s="84"/>
      <c r="Z250" s="85"/>
      <c r="AA250" s="84"/>
      <c r="AB250" s="85"/>
      <c r="AC250" s="85"/>
      <c r="AD250" s="85"/>
      <c r="AE250" s="84"/>
      <c r="AF250" s="84"/>
      <c r="AG250" s="110"/>
      <c r="AH250" s="110"/>
      <c r="AI250" s="84"/>
    </row>
    <row r="251" spans="1:35" ht="12.75">
      <c r="A251" s="155"/>
      <c r="B251" s="155"/>
      <c r="C251" s="155"/>
      <c r="D251" s="157" t="s">
        <v>453</v>
      </c>
      <c r="E251" s="157" t="s">
        <v>59</v>
      </c>
      <c r="F251" s="157" t="s">
        <v>454</v>
      </c>
      <c r="G251" s="158"/>
      <c r="H251" s="5" t="s">
        <v>49</v>
      </c>
      <c r="I251" s="17"/>
      <c r="J251" s="9"/>
      <c r="K251" s="9"/>
      <c r="L251" s="11" t="b">
        <v>0</v>
      </c>
      <c r="M251" s="11" t="b">
        <v>0</v>
      </c>
      <c r="N251" s="7"/>
      <c r="O251" s="7"/>
      <c r="P251" s="8">
        <f t="shared" si="39"/>
        <v>0</v>
      </c>
      <c r="Q251" s="7"/>
      <c r="R251" s="9"/>
      <c r="S251" s="7"/>
      <c r="T251" s="7"/>
      <c r="U251" s="8">
        <f t="shared" si="40"/>
        <v>0</v>
      </c>
      <c r="V251" s="9"/>
      <c r="W251" s="9"/>
      <c r="X251" s="18"/>
      <c r="Y251" s="18"/>
      <c r="Z251" s="19"/>
      <c r="AA251" s="18"/>
      <c r="AB251" s="19"/>
      <c r="AC251" s="19"/>
      <c r="AD251" s="19"/>
      <c r="AE251" s="9"/>
      <c r="AF251" s="9"/>
      <c r="AG251" s="26"/>
      <c r="AH251" s="26"/>
      <c r="AI251" s="89"/>
    </row>
    <row r="252" spans="1:35" ht="12.75">
      <c r="A252" s="155"/>
      <c r="B252" s="155"/>
      <c r="C252" s="155"/>
      <c r="D252" s="155"/>
      <c r="E252" s="155"/>
      <c r="F252" s="155"/>
      <c r="G252" s="155"/>
      <c r="H252" s="5" t="s">
        <v>58</v>
      </c>
      <c r="I252" s="22"/>
      <c r="J252" s="9"/>
      <c r="K252" s="9"/>
      <c r="L252" s="11" t="b">
        <v>0</v>
      </c>
      <c r="M252" s="11" t="b">
        <v>0</v>
      </c>
      <c r="N252" s="7"/>
      <c r="O252" s="7"/>
      <c r="P252" s="8">
        <f t="shared" si="39"/>
        <v>0</v>
      </c>
      <c r="Q252" s="7"/>
      <c r="R252" s="9"/>
      <c r="S252" s="7"/>
      <c r="T252" s="7"/>
      <c r="U252" s="8">
        <f t="shared" si="40"/>
        <v>0</v>
      </c>
      <c r="V252" s="9"/>
      <c r="W252" s="9"/>
      <c r="X252" s="18"/>
      <c r="Y252" s="18"/>
      <c r="Z252" s="19"/>
      <c r="AA252" s="18"/>
      <c r="AB252" s="19"/>
      <c r="AC252" s="19"/>
      <c r="AD252" s="19"/>
      <c r="AE252" s="9"/>
      <c r="AF252" s="9"/>
      <c r="AG252" s="26"/>
      <c r="AH252" s="26"/>
      <c r="AI252" s="9"/>
    </row>
    <row r="253" spans="1:35" ht="15">
      <c r="A253" s="129"/>
      <c r="B253" s="113"/>
      <c r="C253" s="113"/>
      <c r="D253" s="159" t="s">
        <v>455</v>
      </c>
      <c r="E253" s="159" t="s">
        <v>456</v>
      </c>
      <c r="F253" s="163" t="s">
        <v>457</v>
      </c>
      <c r="G253" s="165"/>
      <c r="H253" s="91" t="s">
        <v>458</v>
      </c>
      <c r="I253" s="92"/>
      <c r="J253" s="93"/>
      <c r="K253" s="93"/>
      <c r="L253" s="94" t="b">
        <v>0</v>
      </c>
      <c r="M253" s="94" t="b">
        <v>0</v>
      </c>
      <c r="N253" s="95"/>
      <c r="O253" s="95"/>
      <c r="P253" s="96">
        <f t="shared" si="39"/>
        <v>0</v>
      </c>
      <c r="Q253" s="95"/>
      <c r="R253" s="93"/>
      <c r="S253" s="95"/>
      <c r="T253" s="95"/>
      <c r="U253" s="96">
        <f t="shared" si="40"/>
        <v>0</v>
      </c>
      <c r="V253" s="93"/>
      <c r="W253" s="93"/>
      <c r="X253" s="97"/>
      <c r="Y253" s="97"/>
      <c r="Z253" s="98"/>
      <c r="AA253" s="97"/>
      <c r="AB253" s="98"/>
      <c r="AC253" s="98"/>
      <c r="AD253" s="98"/>
      <c r="AE253" s="93"/>
      <c r="AF253" s="93"/>
      <c r="AG253" s="99"/>
      <c r="AH253" s="99"/>
      <c r="AI253" s="93"/>
    </row>
    <row r="254" spans="1:35" ht="15">
      <c r="A254" s="129"/>
      <c r="B254" s="113"/>
      <c r="C254" s="113"/>
      <c r="D254" s="155"/>
      <c r="E254" s="155"/>
      <c r="F254" s="155"/>
      <c r="G254" s="155"/>
      <c r="H254" s="91" t="s">
        <v>58</v>
      </c>
      <c r="I254" s="92"/>
      <c r="J254" s="93"/>
      <c r="K254" s="93"/>
      <c r="L254" s="94" t="b">
        <v>0</v>
      </c>
      <c r="M254" s="94" t="b">
        <v>0</v>
      </c>
      <c r="N254" s="95"/>
      <c r="O254" s="95"/>
      <c r="P254" s="96">
        <f t="shared" si="39"/>
        <v>0</v>
      </c>
      <c r="Q254" s="95"/>
      <c r="R254" s="93"/>
      <c r="S254" s="95"/>
      <c r="T254" s="95"/>
      <c r="U254" s="96">
        <f t="shared" si="40"/>
        <v>0</v>
      </c>
      <c r="V254" s="93"/>
      <c r="W254" s="93"/>
      <c r="X254" s="97"/>
      <c r="Y254" s="97"/>
      <c r="Z254" s="98"/>
      <c r="AA254" s="97"/>
      <c r="AB254" s="98"/>
      <c r="AC254" s="98"/>
      <c r="AD254" s="98"/>
      <c r="AE254" s="93"/>
      <c r="AF254" s="93"/>
      <c r="AG254" s="99"/>
      <c r="AH254" s="99"/>
      <c r="AI254" s="100"/>
    </row>
    <row r="255" spans="1:35" ht="15">
      <c r="A255" s="129"/>
      <c r="B255" s="113"/>
      <c r="C255" s="113"/>
      <c r="D255" s="159" t="s">
        <v>455</v>
      </c>
      <c r="E255" s="166" t="s">
        <v>459</v>
      </c>
      <c r="F255" s="163" t="s">
        <v>457</v>
      </c>
      <c r="G255" s="165"/>
      <c r="H255" s="91" t="s">
        <v>458</v>
      </c>
      <c r="I255" s="92"/>
      <c r="J255" s="93"/>
      <c r="K255" s="93"/>
      <c r="L255" s="94" t="b">
        <v>0</v>
      </c>
      <c r="M255" s="94" t="b">
        <v>0</v>
      </c>
      <c r="N255" s="95"/>
      <c r="O255" s="95"/>
      <c r="P255" s="96">
        <f t="shared" si="39"/>
        <v>0</v>
      </c>
      <c r="Q255" s="95"/>
      <c r="R255" s="93"/>
      <c r="S255" s="95"/>
      <c r="T255" s="95"/>
      <c r="U255" s="96">
        <f t="shared" si="40"/>
        <v>0</v>
      </c>
      <c r="V255" s="93"/>
      <c r="W255" s="93"/>
      <c r="X255" s="93"/>
      <c r="Y255" s="93"/>
      <c r="Z255" s="91"/>
      <c r="AA255" s="93"/>
      <c r="AB255" s="91"/>
      <c r="AC255" s="91"/>
      <c r="AD255" s="91"/>
      <c r="AE255" s="93"/>
      <c r="AF255" s="93"/>
      <c r="AG255" s="99"/>
      <c r="AH255" s="99"/>
      <c r="AI255" s="101"/>
    </row>
    <row r="256" spans="1:35" ht="15">
      <c r="A256" s="129"/>
      <c r="B256" s="113"/>
      <c r="C256" s="113"/>
      <c r="D256" s="155"/>
      <c r="E256" s="155"/>
      <c r="F256" s="155"/>
      <c r="G256" s="155"/>
      <c r="H256" s="91" t="s">
        <v>58</v>
      </c>
      <c r="I256" s="102"/>
      <c r="J256" s="93"/>
      <c r="K256" s="93"/>
      <c r="L256" s="94" t="b">
        <v>0</v>
      </c>
      <c r="M256" s="94" t="b">
        <v>0</v>
      </c>
      <c r="N256" s="95"/>
      <c r="O256" s="95"/>
      <c r="P256" s="96">
        <f t="shared" si="39"/>
        <v>0</v>
      </c>
      <c r="Q256" s="95"/>
      <c r="R256" s="93"/>
      <c r="S256" s="95"/>
      <c r="T256" s="95"/>
      <c r="U256" s="96">
        <f t="shared" si="40"/>
        <v>0</v>
      </c>
      <c r="V256" s="93"/>
      <c r="W256" s="93"/>
      <c r="X256" s="93"/>
      <c r="Y256" s="93"/>
      <c r="Z256" s="91"/>
      <c r="AA256" s="93"/>
      <c r="AB256" s="91"/>
      <c r="AC256" s="91"/>
      <c r="AD256" s="91"/>
      <c r="AE256" s="93"/>
      <c r="AF256" s="93"/>
      <c r="AG256" s="99"/>
      <c r="AH256" s="99"/>
      <c r="AI256" s="99"/>
    </row>
    <row r="257" spans="1:35" ht="15">
      <c r="A257" s="129"/>
      <c r="B257" s="113"/>
      <c r="C257" s="113"/>
      <c r="D257" s="159" t="s">
        <v>460</v>
      </c>
      <c r="E257" s="163" t="s">
        <v>461</v>
      </c>
      <c r="F257" s="159" t="s">
        <v>462</v>
      </c>
      <c r="G257" s="165"/>
      <c r="H257" s="91" t="s">
        <v>49</v>
      </c>
      <c r="I257" s="103"/>
      <c r="J257" s="93"/>
      <c r="K257" s="93"/>
      <c r="L257" s="94" t="b">
        <v>0</v>
      </c>
      <c r="M257" s="94" t="b">
        <v>0</v>
      </c>
      <c r="N257" s="95"/>
      <c r="O257" s="95"/>
      <c r="P257" s="96">
        <f t="shared" si="39"/>
        <v>0</v>
      </c>
      <c r="Q257" s="95"/>
      <c r="R257" s="93"/>
      <c r="S257" s="95"/>
      <c r="T257" s="95"/>
      <c r="U257" s="96">
        <f t="shared" si="40"/>
        <v>0</v>
      </c>
      <c r="V257" s="93"/>
      <c r="W257" s="93"/>
      <c r="X257" s="93"/>
      <c r="Y257" s="93"/>
      <c r="Z257" s="91"/>
      <c r="AA257" s="93"/>
      <c r="AB257" s="91"/>
      <c r="AC257" s="91"/>
      <c r="AD257" s="91"/>
      <c r="AE257" s="93"/>
      <c r="AF257" s="93"/>
      <c r="AG257" s="99"/>
      <c r="AH257" s="99"/>
      <c r="AI257" s="101"/>
    </row>
    <row r="258" spans="1:35" ht="15">
      <c r="A258" s="129"/>
      <c r="B258" s="113"/>
      <c r="C258" s="113"/>
      <c r="D258" s="155"/>
      <c r="E258" s="155"/>
      <c r="F258" s="155"/>
      <c r="G258" s="155"/>
      <c r="H258" s="91" t="s">
        <v>58</v>
      </c>
      <c r="I258" s="103"/>
      <c r="J258" s="93"/>
      <c r="K258" s="93"/>
      <c r="L258" s="94" t="b">
        <v>0</v>
      </c>
      <c r="M258" s="94" t="b">
        <v>0</v>
      </c>
      <c r="N258" s="95"/>
      <c r="O258" s="95"/>
      <c r="P258" s="96">
        <f t="shared" si="39"/>
        <v>0</v>
      </c>
      <c r="Q258" s="95"/>
      <c r="R258" s="93"/>
      <c r="S258" s="95"/>
      <c r="T258" s="95"/>
      <c r="U258" s="96">
        <f t="shared" si="40"/>
        <v>0</v>
      </c>
      <c r="V258" s="93"/>
      <c r="W258" s="93"/>
      <c r="X258" s="97"/>
      <c r="Y258" s="97"/>
      <c r="Z258" s="98"/>
      <c r="AA258" s="97"/>
      <c r="AB258" s="98"/>
      <c r="AC258" s="98"/>
      <c r="AD258" s="98"/>
      <c r="AE258" s="93"/>
      <c r="AF258" s="93"/>
      <c r="AG258" s="99"/>
      <c r="AH258" s="99"/>
      <c r="AI258" s="101"/>
    </row>
    <row r="259" spans="1:35" ht="15.75" customHeight="1">
      <c r="A259" s="129"/>
      <c r="B259" s="113"/>
      <c r="C259" s="113"/>
      <c r="D259" s="159" t="s">
        <v>453</v>
      </c>
      <c r="E259" s="159" t="s">
        <v>463</v>
      </c>
      <c r="F259" s="159" t="s">
        <v>464</v>
      </c>
      <c r="G259" s="165"/>
      <c r="H259" s="91" t="s">
        <v>465</v>
      </c>
      <c r="I259" s="103"/>
      <c r="J259" s="93"/>
      <c r="K259" s="93"/>
      <c r="L259" s="94" t="b">
        <v>0</v>
      </c>
      <c r="M259" s="94" t="b">
        <v>0</v>
      </c>
      <c r="N259" s="95"/>
      <c r="O259" s="95"/>
      <c r="P259" s="96">
        <f t="shared" si="39"/>
        <v>0</v>
      </c>
      <c r="Q259" s="95"/>
      <c r="R259" s="93"/>
      <c r="S259" s="95"/>
      <c r="T259" s="95"/>
      <c r="U259" s="96">
        <f t="shared" si="40"/>
        <v>0</v>
      </c>
      <c r="V259" s="93"/>
      <c r="W259" s="93"/>
      <c r="X259" s="97"/>
      <c r="Y259" s="97"/>
      <c r="Z259" s="98"/>
      <c r="AA259" s="97"/>
      <c r="AB259" s="98"/>
      <c r="AC259" s="98"/>
      <c r="AD259" s="98"/>
      <c r="AE259" s="93"/>
      <c r="AF259" s="93"/>
      <c r="AG259" s="99"/>
      <c r="AH259" s="99"/>
      <c r="AI259" s="101"/>
    </row>
    <row r="260" spans="1:35" ht="15.75" customHeight="1">
      <c r="A260" s="129"/>
      <c r="B260" s="113"/>
      <c r="C260" s="113"/>
      <c r="D260" s="155"/>
      <c r="E260" s="155"/>
      <c r="F260" s="155"/>
      <c r="G260" s="155"/>
      <c r="H260" s="91" t="s">
        <v>58</v>
      </c>
      <c r="I260" s="103"/>
      <c r="J260" s="93"/>
      <c r="K260" s="93"/>
      <c r="L260" s="94" t="b">
        <v>0</v>
      </c>
      <c r="M260" s="94" t="b">
        <v>0</v>
      </c>
      <c r="N260" s="95"/>
      <c r="O260" s="95"/>
      <c r="P260" s="96">
        <f t="shared" si="39"/>
        <v>0</v>
      </c>
      <c r="Q260" s="95"/>
      <c r="R260" s="93"/>
      <c r="S260" s="95"/>
      <c r="T260" s="95"/>
      <c r="U260" s="96">
        <f t="shared" si="40"/>
        <v>0</v>
      </c>
      <c r="V260" s="93"/>
      <c r="W260" s="93"/>
      <c r="X260" s="97"/>
      <c r="Y260" s="97"/>
      <c r="Z260" s="98"/>
      <c r="AA260" s="97"/>
      <c r="AB260" s="98"/>
      <c r="AC260" s="98"/>
      <c r="AD260" s="98"/>
      <c r="AE260" s="93"/>
      <c r="AF260" s="93"/>
      <c r="AG260" s="99"/>
      <c r="AH260" s="99"/>
      <c r="AI260" s="101"/>
    </row>
    <row r="261" spans="1:35" ht="15" customHeight="1">
      <c r="A261" s="47"/>
      <c r="B261" s="47"/>
      <c r="C261" s="114"/>
      <c r="D261" s="115"/>
      <c r="E261" s="115"/>
      <c r="F261" s="115"/>
      <c r="G261" s="116"/>
      <c r="H261" s="115"/>
      <c r="I261" s="131"/>
      <c r="J261" s="116"/>
      <c r="K261" s="116"/>
      <c r="L261" s="116"/>
      <c r="M261" s="116"/>
      <c r="N261" s="118"/>
      <c r="O261" s="118"/>
      <c r="P261" s="119"/>
      <c r="Q261" s="118"/>
      <c r="R261" s="116"/>
      <c r="S261" s="118"/>
      <c r="T261" s="118"/>
      <c r="U261" s="119"/>
      <c r="V261" s="116"/>
      <c r="W261" s="116"/>
      <c r="X261" s="116"/>
      <c r="Y261" s="116"/>
      <c r="Z261" s="115"/>
      <c r="AA261" s="116"/>
      <c r="AB261" s="115"/>
      <c r="AC261" s="115"/>
      <c r="AD261" s="115"/>
      <c r="AE261" s="116"/>
      <c r="AF261" s="116"/>
      <c r="AG261" s="116"/>
      <c r="AH261" s="116"/>
      <c r="AI261" s="116"/>
    </row>
    <row r="262" spans="1:35" ht="12.75">
      <c r="A262" s="162" t="s">
        <v>250</v>
      </c>
      <c r="B262" s="162" t="s">
        <v>178</v>
      </c>
      <c r="C262" s="162" t="s">
        <v>220</v>
      </c>
      <c r="D262" s="162" t="s">
        <v>453</v>
      </c>
      <c r="E262" s="160" t="s">
        <v>47</v>
      </c>
      <c r="F262" s="162" t="s">
        <v>454</v>
      </c>
      <c r="G262" s="164"/>
      <c r="H262" s="77" t="s">
        <v>49</v>
      </c>
      <c r="I262" s="108"/>
      <c r="J262" s="78"/>
      <c r="K262" s="78"/>
      <c r="L262" s="79" t="b">
        <v>0</v>
      </c>
      <c r="M262" s="79" t="b">
        <v>0</v>
      </c>
      <c r="N262" s="81"/>
      <c r="O262" s="81"/>
      <c r="P262" s="80">
        <f t="shared" ref="P262:P273" si="41">N262+O262</f>
        <v>0</v>
      </c>
      <c r="Q262" s="81"/>
      <c r="R262" s="78"/>
      <c r="S262" s="81"/>
      <c r="T262" s="81"/>
      <c r="U262" s="80">
        <f t="shared" ref="U262:U273" si="42">S262+T262</f>
        <v>0</v>
      </c>
      <c r="V262" s="78"/>
      <c r="W262" s="78"/>
      <c r="X262" s="78"/>
      <c r="Y262" s="78"/>
      <c r="Z262" s="77"/>
      <c r="AA262" s="78"/>
      <c r="AB262" s="77"/>
      <c r="AC262" s="77"/>
      <c r="AD262" s="77"/>
      <c r="AE262" s="78"/>
      <c r="AF262" s="78"/>
      <c r="AG262" s="109"/>
      <c r="AH262" s="109"/>
      <c r="AI262" s="78"/>
    </row>
    <row r="263" spans="1:35" ht="12.75">
      <c r="A263" s="155"/>
      <c r="B263" s="155"/>
      <c r="C263" s="155"/>
      <c r="D263" s="155"/>
      <c r="E263" s="155"/>
      <c r="F263" s="155"/>
      <c r="G263" s="155"/>
      <c r="H263" s="85" t="s">
        <v>58</v>
      </c>
      <c r="I263" s="112"/>
      <c r="J263" s="84"/>
      <c r="K263" s="84"/>
      <c r="L263" s="86" t="b">
        <v>0</v>
      </c>
      <c r="M263" s="86" t="b">
        <v>0</v>
      </c>
      <c r="N263" s="83"/>
      <c r="O263" s="83"/>
      <c r="P263" s="87">
        <f t="shared" si="41"/>
        <v>0</v>
      </c>
      <c r="Q263" s="83"/>
      <c r="R263" s="84"/>
      <c r="S263" s="83"/>
      <c r="T263" s="83"/>
      <c r="U263" s="87">
        <f t="shared" si="42"/>
        <v>0</v>
      </c>
      <c r="V263" s="84"/>
      <c r="W263" s="84"/>
      <c r="X263" s="84"/>
      <c r="Y263" s="84"/>
      <c r="Z263" s="85"/>
      <c r="AA263" s="84"/>
      <c r="AB263" s="85"/>
      <c r="AC263" s="85"/>
      <c r="AD263" s="85"/>
      <c r="AE263" s="84"/>
      <c r="AF263" s="84"/>
      <c r="AG263" s="110"/>
      <c r="AH263" s="110"/>
      <c r="AI263" s="84"/>
    </row>
    <row r="264" spans="1:35" ht="12.75">
      <c r="A264" s="155"/>
      <c r="B264" s="155"/>
      <c r="C264" s="155"/>
      <c r="D264" s="157" t="s">
        <v>453</v>
      </c>
      <c r="E264" s="157" t="s">
        <v>59</v>
      </c>
      <c r="F264" s="157" t="s">
        <v>454</v>
      </c>
      <c r="G264" s="158"/>
      <c r="H264" s="5" t="s">
        <v>49</v>
      </c>
      <c r="I264" s="17"/>
      <c r="J264" s="9"/>
      <c r="K264" s="9"/>
      <c r="L264" s="11" t="b">
        <v>0</v>
      </c>
      <c r="M264" s="11" t="b">
        <v>0</v>
      </c>
      <c r="N264" s="7"/>
      <c r="O264" s="7"/>
      <c r="P264" s="8">
        <f t="shared" si="41"/>
        <v>0</v>
      </c>
      <c r="Q264" s="7"/>
      <c r="R264" s="9"/>
      <c r="S264" s="7"/>
      <c r="T264" s="7"/>
      <c r="U264" s="8">
        <f t="shared" si="42"/>
        <v>0</v>
      </c>
      <c r="V264" s="9"/>
      <c r="W264" s="9"/>
      <c r="X264" s="18"/>
      <c r="Y264" s="18"/>
      <c r="Z264" s="19"/>
      <c r="AA264" s="18"/>
      <c r="AB264" s="19"/>
      <c r="AC264" s="19"/>
      <c r="AD264" s="19"/>
      <c r="AE264" s="9"/>
      <c r="AF264" s="9"/>
      <c r="AG264" s="26"/>
      <c r="AH264" s="26"/>
      <c r="AI264" s="89"/>
    </row>
    <row r="265" spans="1:35" ht="12.75">
      <c r="A265" s="155"/>
      <c r="B265" s="155"/>
      <c r="C265" s="155"/>
      <c r="D265" s="155"/>
      <c r="E265" s="155"/>
      <c r="F265" s="155"/>
      <c r="G265" s="155"/>
      <c r="H265" s="5" t="s">
        <v>58</v>
      </c>
      <c r="I265" s="22"/>
      <c r="J265" s="9"/>
      <c r="K265" s="9"/>
      <c r="L265" s="11" t="b">
        <v>0</v>
      </c>
      <c r="M265" s="11" t="b">
        <v>0</v>
      </c>
      <c r="N265" s="7"/>
      <c r="O265" s="7"/>
      <c r="P265" s="8">
        <f t="shared" si="41"/>
        <v>0</v>
      </c>
      <c r="Q265" s="7"/>
      <c r="R265" s="9"/>
      <c r="S265" s="7"/>
      <c r="T265" s="7"/>
      <c r="U265" s="8">
        <f t="shared" si="42"/>
        <v>0</v>
      </c>
      <c r="V265" s="9"/>
      <c r="W265" s="9"/>
      <c r="X265" s="18"/>
      <c r="Y265" s="18"/>
      <c r="Z265" s="19"/>
      <c r="AA265" s="18"/>
      <c r="AB265" s="19"/>
      <c r="AC265" s="19"/>
      <c r="AD265" s="19"/>
      <c r="AE265" s="9"/>
      <c r="AF265" s="9"/>
      <c r="AG265" s="26"/>
      <c r="AH265" s="26"/>
      <c r="AI265" s="9"/>
    </row>
    <row r="266" spans="1:35" ht="15">
      <c r="A266" s="113"/>
      <c r="B266" s="113"/>
      <c r="C266" s="113"/>
      <c r="D266" s="159" t="s">
        <v>455</v>
      </c>
      <c r="E266" s="159" t="s">
        <v>456</v>
      </c>
      <c r="F266" s="163" t="s">
        <v>457</v>
      </c>
      <c r="G266" s="165"/>
      <c r="H266" s="91" t="s">
        <v>458</v>
      </c>
      <c r="I266" s="92"/>
      <c r="J266" s="93"/>
      <c r="K266" s="93"/>
      <c r="L266" s="94" t="b">
        <v>0</v>
      </c>
      <c r="M266" s="94" t="b">
        <v>0</v>
      </c>
      <c r="N266" s="95"/>
      <c r="O266" s="95"/>
      <c r="P266" s="96">
        <f t="shared" si="41"/>
        <v>0</v>
      </c>
      <c r="Q266" s="95"/>
      <c r="R266" s="93"/>
      <c r="S266" s="95"/>
      <c r="T266" s="95"/>
      <c r="U266" s="96">
        <f t="shared" si="42"/>
        <v>0</v>
      </c>
      <c r="V266" s="93"/>
      <c r="W266" s="93"/>
      <c r="X266" s="97"/>
      <c r="Y266" s="97"/>
      <c r="Z266" s="98"/>
      <c r="AA266" s="97"/>
      <c r="AB266" s="98"/>
      <c r="AC266" s="98"/>
      <c r="AD266" s="98"/>
      <c r="AE266" s="93"/>
      <c r="AF266" s="93"/>
      <c r="AG266" s="99"/>
      <c r="AH266" s="99"/>
      <c r="AI266" s="93"/>
    </row>
    <row r="267" spans="1:35" ht="15">
      <c r="A267" s="113"/>
      <c r="B267" s="113"/>
      <c r="C267" s="113"/>
      <c r="D267" s="155"/>
      <c r="E267" s="155"/>
      <c r="F267" s="155"/>
      <c r="G267" s="155"/>
      <c r="H267" s="91" t="s">
        <v>58</v>
      </c>
      <c r="I267" s="92"/>
      <c r="J267" s="93"/>
      <c r="K267" s="93"/>
      <c r="L267" s="94" t="b">
        <v>0</v>
      </c>
      <c r="M267" s="94" t="b">
        <v>0</v>
      </c>
      <c r="N267" s="95"/>
      <c r="O267" s="95"/>
      <c r="P267" s="96">
        <f t="shared" si="41"/>
        <v>0</v>
      </c>
      <c r="Q267" s="95"/>
      <c r="R267" s="93"/>
      <c r="S267" s="95"/>
      <c r="T267" s="95"/>
      <c r="U267" s="96">
        <f t="shared" si="42"/>
        <v>0</v>
      </c>
      <c r="V267" s="93"/>
      <c r="W267" s="93"/>
      <c r="X267" s="97"/>
      <c r="Y267" s="97"/>
      <c r="Z267" s="98"/>
      <c r="AA267" s="97"/>
      <c r="AB267" s="98"/>
      <c r="AC267" s="98"/>
      <c r="AD267" s="98"/>
      <c r="AE267" s="93"/>
      <c r="AF267" s="93"/>
      <c r="AG267" s="99"/>
      <c r="AH267" s="99"/>
      <c r="AI267" s="100"/>
    </row>
    <row r="268" spans="1:35" ht="15">
      <c r="A268" s="113"/>
      <c r="B268" s="113"/>
      <c r="C268" s="113"/>
      <c r="D268" s="159" t="s">
        <v>455</v>
      </c>
      <c r="E268" s="166" t="s">
        <v>459</v>
      </c>
      <c r="F268" s="163" t="s">
        <v>457</v>
      </c>
      <c r="G268" s="165"/>
      <c r="H268" s="91" t="s">
        <v>458</v>
      </c>
      <c r="I268" s="92"/>
      <c r="J268" s="93"/>
      <c r="K268" s="93"/>
      <c r="L268" s="94" t="b">
        <v>0</v>
      </c>
      <c r="M268" s="94" t="b">
        <v>0</v>
      </c>
      <c r="N268" s="95"/>
      <c r="O268" s="95"/>
      <c r="P268" s="96">
        <f t="shared" si="41"/>
        <v>0</v>
      </c>
      <c r="Q268" s="95"/>
      <c r="R268" s="93"/>
      <c r="S268" s="95"/>
      <c r="T268" s="95"/>
      <c r="U268" s="96">
        <f t="shared" si="42"/>
        <v>0</v>
      </c>
      <c r="V268" s="93"/>
      <c r="W268" s="93"/>
      <c r="X268" s="93"/>
      <c r="Y268" s="93"/>
      <c r="Z268" s="91"/>
      <c r="AA268" s="93"/>
      <c r="AB268" s="91"/>
      <c r="AC268" s="91"/>
      <c r="AD268" s="91"/>
      <c r="AE268" s="93"/>
      <c r="AF268" s="93"/>
      <c r="AG268" s="99"/>
      <c r="AH268" s="99"/>
      <c r="AI268" s="101"/>
    </row>
    <row r="269" spans="1:35" ht="12.75">
      <c r="A269" s="113"/>
      <c r="B269" s="113"/>
      <c r="C269" s="113"/>
      <c r="D269" s="155"/>
      <c r="E269" s="155"/>
      <c r="F269" s="155"/>
      <c r="G269" s="155"/>
      <c r="H269" s="91" t="s">
        <v>58</v>
      </c>
      <c r="I269" s="102"/>
      <c r="J269" s="93"/>
      <c r="K269" s="93"/>
      <c r="L269" s="94" t="b">
        <v>0</v>
      </c>
      <c r="M269" s="94" t="b">
        <v>0</v>
      </c>
      <c r="N269" s="95"/>
      <c r="O269" s="95"/>
      <c r="P269" s="96">
        <f t="shared" si="41"/>
        <v>0</v>
      </c>
      <c r="Q269" s="95"/>
      <c r="R269" s="93"/>
      <c r="S269" s="95"/>
      <c r="T269" s="95"/>
      <c r="U269" s="96">
        <f t="shared" si="42"/>
        <v>0</v>
      </c>
      <c r="V269" s="93"/>
      <c r="W269" s="93"/>
      <c r="X269" s="93"/>
      <c r="Y269" s="93"/>
      <c r="Z269" s="91"/>
      <c r="AA269" s="93"/>
      <c r="AB269" s="91"/>
      <c r="AC269" s="91"/>
      <c r="AD269" s="91"/>
      <c r="AE269" s="93"/>
      <c r="AF269" s="93"/>
      <c r="AG269" s="99"/>
      <c r="AH269" s="99"/>
      <c r="AI269" s="99"/>
    </row>
    <row r="270" spans="1:35" ht="15">
      <c r="A270" s="113"/>
      <c r="B270" s="113"/>
      <c r="C270" s="113"/>
      <c r="D270" s="159" t="s">
        <v>460</v>
      </c>
      <c r="E270" s="163" t="s">
        <v>461</v>
      </c>
      <c r="F270" s="159" t="s">
        <v>462</v>
      </c>
      <c r="G270" s="165"/>
      <c r="H270" s="91" t="s">
        <v>49</v>
      </c>
      <c r="I270" s="103"/>
      <c r="J270" s="93"/>
      <c r="K270" s="93"/>
      <c r="L270" s="94" t="b">
        <v>0</v>
      </c>
      <c r="M270" s="94" t="b">
        <v>0</v>
      </c>
      <c r="N270" s="95"/>
      <c r="O270" s="95"/>
      <c r="P270" s="96">
        <f t="shared" si="41"/>
        <v>0</v>
      </c>
      <c r="Q270" s="95"/>
      <c r="R270" s="93"/>
      <c r="S270" s="95"/>
      <c r="T270" s="95"/>
      <c r="U270" s="96">
        <f t="shared" si="42"/>
        <v>0</v>
      </c>
      <c r="V270" s="93"/>
      <c r="W270" s="93"/>
      <c r="X270" s="93"/>
      <c r="Y270" s="93"/>
      <c r="Z270" s="91"/>
      <c r="AA270" s="93"/>
      <c r="AB270" s="91"/>
      <c r="AC270" s="91"/>
      <c r="AD270" s="91"/>
      <c r="AE270" s="93"/>
      <c r="AF270" s="93"/>
      <c r="AG270" s="99"/>
      <c r="AH270" s="99"/>
      <c r="AI270" s="101"/>
    </row>
    <row r="271" spans="1:35" ht="15">
      <c r="A271" s="113"/>
      <c r="B271" s="113"/>
      <c r="C271" s="113"/>
      <c r="D271" s="155"/>
      <c r="E271" s="155"/>
      <c r="F271" s="155"/>
      <c r="G271" s="155"/>
      <c r="H271" s="91" t="s">
        <v>58</v>
      </c>
      <c r="I271" s="103"/>
      <c r="J271" s="93"/>
      <c r="K271" s="93"/>
      <c r="L271" s="94" t="b">
        <v>0</v>
      </c>
      <c r="M271" s="94" t="b">
        <v>0</v>
      </c>
      <c r="N271" s="95"/>
      <c r="O271" s="95"/>
      <c r="P271" s="96">
        <f t="shared" si="41"/>
        <v>0</v>
      </c>
      <c r="Q271" s="95"/>
      <c r="R271" s="93"/>
      <c r="S271" s="95"/>
      <c r="T271" s="95"/>
      <c r="U271" s="96">
        <f t="shared" si="42"/>
        <v>0</v>
      </c>
      <c r="V271" s="93"/>
      <c r="W271" s="93"/>
      <c r="X271" s="97"/>
      <c r="Y271" s="97"/>
      <c r="Z271" s="98"/>
      <c r="AA271" s="97"/>
      <c r="AB271" s="98"/>
      <c r="AC271" s="98"/>
      <c r="AD271" s="98"/>
      <c r="AE271" s="93"/>
      <c r="AF271" s="93"/>
      <c r="AG271" s="99"/>
      <c r="AH271" s="99"/>
      <c r="AI271" s="101"/>
    </row>
    <row r="272" spans="1:35" ht="15">
      <c r="A272" s="113"/>
      <c r="B272" s="113"/>
      <c r="C272" s="113"/>
      <c r="D272" s="159" t="s">
        <v>453</v>
      </c>
      <c r="E272" s="159" t="s">
        <v>463</v>
      </c>
      <c r="F272" s="159" t="s">
        <v>464</v>
      </c>
      <c r="G272" s="165"/>
      <c r="H272" s="91" t="s">
        <v>465</v>
      </c>
      <c r="I272" s="103"/>
      <c r="J272" s="93"/>
      <c r="K272" s="93"/>
      <c r="L272" s="94" t="b">
        <v>0</v>
      </c>
      <c r="M272" s="94" t="b">
        <v>0</v>
      </c>
      <c r="N272" s="95"/>
      <c r="O272" s="95"/>
      <c r="P272" s="96">
        <f t="shared" si="41"/>
        <v>0</v>
      </c>
      <c r="Q272" s="95"/>
      <c r="R272" s="93"/>
      <c r="S272" s="95"/>
      <c r="T272" s="95"/>
      <c r="U272" s="96">
        <f t="shared" si="42"/>
        <v>0</v>
      </c>
      <c r="V272" s="93"/>
      <c r="W272" s="93"/>
      <c r="X272" s="97"/>
      <c r="Y272" s="97"/>
      <c r="Z272" s="98"/>
      <c r="AA272" s="97"/>
      <c r="AB272" s="98"/>
      <c r="AC272" s="98"/>
      <c r="AD272" s="98"/>
      <c r="AE272" s="93"/>
      <c r="AF272" s="93"/>
      <c r="AG272" s="99"/>
      <c r="AH272" s="99"/>
      <c r="AI272" s="101"/>
    </row>
    <row r="273" spans="1:35" ht="15">
      <c r="A273" s="113"/>
      <c r="B273" s="113"/>
      <c r="C273" s="113"/>
      <c r="D273" s="155"/>
      <c r="E273" s="155"/>
      <c r="F273" s="155"/>
      <c r="G273" s="155"/>
      <c r="H273" s="91" t="s">
        <v>58</v>
      </c>
      <c r="I273" s="103"/>
      <c r="J273" s="93"/>
      <c r="K273" s="93"/>
      <c r="L273" s="94" t="b">
        <v>0</v>
      </c>
      <c r="M273" s="94" t="b">
        <v>0</v>
      </c>
      <c r="N273" s="95"/>
      <c r="O273" s="95"/>
      <c r="P273" s="96">
        <f t="shared" si="41"/>
        <v>0</v>
      </c>
      <c r="Q273" s="95"/>
      <c r="R273" s="93"/>
      <c r="S273" s="95"/>
      <c r="T273" s="95"/>
      <c r="U273" s="96">
        <f t="shared" si="42"/>
        <v>0</v>
      </c>
      <c r="V273" s="93"/>
      <c r="W273" s="93"/>
      <c r="X273" s="97"/>
      <c r="Y273" s="97"/>
      <c r="Z273" s="98"/>
      <c r="AA273" s="97"/>
      <c r="AB273" s="98"/>
      <c r="AC273" s="98"/>
      <c r="AD273" s="98"/>
      <c r="AE273" s="93"/>
      <c r="AF273" s="93"/>
      <c r="AG273" s="99"/>
      <c r="AH273" s="99"/>
      <c r="AI273" s="101"/>
    </row>
    <row r="274" spans="1:35" ht="12.75">
      <c r="A274" s="123"/>
      <c r="B274" s="123"/>
      <c r="C274" s="123"/>
      <c r="D274" s="124"/>
      <c r="E274" s="124"/>
      <c r="F274" s="124"/>
      <c r="G274" s="125"/>
      <c r="H274" s="124"/>
      <c r="I274" s="126"/>
      <c r="J274" s="125"/>
      <c r="K274" s="125"/>
      <c r="L274" s="125"/>
      <c r="M274" s="125"/>
      <c r="N274" s="127"/>
      <c r="O274" s="127"/>
      <c r="P274" s="128"/>
      <c r="Q274" s="127"/>
      <c r="R274" s="125"/>
      <c r="S274" s="127"/>
      <c r="T274" s="127"/>
      <c r="U274" s="128"/>
      <c r="V274" s="125"/>
      <c r="W274" s="125"/>
      <c r="X274" s="125"/>
      <c r="Y274" s="125"/>
      <c r="Z274" s="124"/>
      <c r="AA274" s="125"/>
      <c r="AB274" s="124"/>
      <c r="AC274" s="124"/>
      <c r="AD274" s="124"/>
      <c r="AE274" s="125"/>
      <c r="AF274" s="125"/>
      <c r="AG274" s="125"/>
      <c r="AH274" s="125"/>
      <c r="AI274" s="125"/>
    </row>
    <row r="275" spans="1:35" ht="12.75">
      <c r="A275" s="162" t="s">
        <v>259</v>
      </c>
      <c r="B275" s="162" t="s">
        <v>178</v>
      </c>
      <c r="C275" s="162" t="s">
        <v>260</v>
      </c>
      <c r="D275" s="162" t="s">
        <v>453</v>
      </c>
      <c r="E275" s="160" t="s">
        <v>47</v>
      </c>
      <c r="F275" s="162" t="s">
        <v>454</v>
      </c>
      <c r="G275" s="164"/>
      <c r="H275" s="77" t="s">
        <v>49</v>
      </c>
      <c r="I275" s="108"/>
      <c r="J275" s="78"/>
      <c r="K275" s="78"/>
      <c r="L275" s="79" t="b">
        <v>0</v>
      </c>
      <c r="M275" s="79" t="b">
        <v>0</v>
      </c>
      <c r="N275" s="81"/>
      <c r="O275" s="81"/>
      <c r="P275" s="80">
        <f t="shared" ref="P275:P286" si="43">N275+O275</f>
        <v>0</v>
      </c>
      <c r="Q275" s="81"/>
      <c r="R275" s="78"/>
      <c r="S275" s="81"/>
      <c r="T275" s="81"/>
      <c r="U275" s="80">
        <f t="shared" ref="U275:U286" si="44">S275+T275</f>
        <v>0</v>
      </c>
      <c r="V275" s="78"/>
      <c r="W275" s="78"/>
      <c r="X275" s="78"/>
      <c r="Y275" s="78"/>
      <c r="Z275" s="77"/>
      <c r="AA275" s="78"/>
      <c r="AB275" s="77"/>
      <c r="AC275" s="77"/>
      <c r="AD275" s="77"/>
      <c r="AE275" s="78"/>
      <c r="AF275" s="78"/>
      <c r="AG275" s="109"/>
      <c r="AH275" s="109"/>
      <c r="AI275" s="78"/>
    </row>
    <row r="276" spans="1:35" ht="12.75">
      <c r="A276" s="155"/>
      <c r="B276" s="155"/>
      <c r="C276" s="155"/>
      <c r="D276" s="155"/>
      <c r="E276" s="155"/>
      <c r="F276" s="155"/>
      <c r="G276" s="155"/>
      <c r="H276" s="85" t="s">
        <v>58</v>
      </c>
      <c r="I276" s="112"/>
      <c r="J276" s="84"/>
      <c r="K276" s="84"/>
      <c r="L276" s="86" t="b">
        <v>0</v>
      </c>
      <c r="M276" s="86" t="b">
        <v>0</v>
      </c>
      <c r="N276" s="83"/>
      <c r="O276" s="83"/>
      <c r="P276" s="87">
        <f t="shared" si="43"/>
        <v>0</v>
      </c>
      <c r="Q276" s="83"/>
      <c r="R276" s="84"/>
      <c r="S276" s="83"/>
      <c r="T276" s="83"/>
      <c r="U276" s="87">
        <f t="shared" si="44"/>
        <v>0</v>
      </c>
      <c r="V276" s="84"/>
      <c r="W276" s="84"/>
      <c r="X276" s="84"/>
      <c r="Y276" s="84"/>
      <c r="Z276" s="85"/>
      <c r="AA276" s="84"/>
      <c r="AB276" s="85"/>
      <c r="AC276" s="85"/>
      <c r="AD276" s="85"/>
      <c r="AE276" s="84"/>
      <c r="AF276" s="84"/>
      <c r="AG276" s="110"/>
      <c r="AH276" s="110"/>
      <c r="AI276" s="84"/>
    </row>
    <row r="277" spans="1:35" ht="12.75">
      <c r="A277" s="155"/>
      <c r="B277" s="155"/>
      <c r="C277" s="155"/>
      <c r="D277" s="157" t="s">
        <v>453</v>
      </c>
      <c r="E277" s="157" t="s">
        <v>59</v>
      </c>
      <c r="F277" s="157" t="s">
        <v>454</v>
      </c>
      <c r="G277" s="158"/>
      <c r="H277" s="5" t="s">
        <v>49</v>
      </c>
      <c r="I277" s="17"/>
      <c r="J277" s="9"/>
      <c r="K277" s="9"/>
      <c r="L277" s="11" t="b">
        <v>0</v>
      </c>
      <c r="M277" s="11" t="b">
        <v>0</v>
      </c>
      <c r="N277" s="7"/>
      <c r="O277" s="7"/>
      <c r="P277" s="8">
        <f t="shared" si="43"/>
        <v>0</v>
      </c>
      <c r="Q277" s="7"/>
      <c r="R277" s="9"/>
      <c r="S277" s="7"/>
      <c r="T277" s="7"/>
      <c r="U277" s="8">
        <f t="shared" si="44"/>
        <v>0</v>
      </c>
      <c r="V277" s="9"/>
      <c r="W277" s="9"/>
      <c r="X277" s="18"/>
      <c r="Y277" s="18"/>
      <c r="Z277" s="19"/>
      <c r="AA277" s="18"/>
      <c r="AB277" s="19"/>
      <c r="AC277" s="19"/>
      <c r="AD277" s="19"/>
      <c r="AE277" s="9"/>
      <c r="AF277" s="9"/>
      <c r="AG277" s="26"/>
      <c r="AH277" s="26"/>
      <c r="AI277" s="89"/>
    </row>
    <row r="278" spans="1:35" ht="12.75">
      <c r="A278" s="155"/>
      <c r="B278" s="155"/>
      <c r="C278" s="155"/>
      <c r="D278" s="155"/>
      <c r="E278" s="155"/>
      <c r="F278" s="155"/>
      <c r="G278" s="155"/>
      <c r="H278" s="5" t="s">
        <v>58</v>
      </c>
      <c r="I278" s="22"/>
      <c r="J278" s="9"/>
      <c r="K278" s="9"/>
      <c r="L278" s="11" t="b">
        <v>0</v>
      </c>
      <c r="M278" s="11" t="b">
        <v>0</v>
      </c>
      <c r="N278" s="7"/>
      <c r="O278" s="7"/>
      <c r="P278" s="8">
        <f t="shared" si="43"/>
        <v>0</v>
      </c>
      <c r="Q278" s="7"/>
      <c r="R278" s="9"/>
      <c r="S278" s="7"/>
      <c r="T278" s="7"/>
      <c r="U278" s="8">
        <f t="shared" si="44"/>
        <v>0</v>
      </c>
      <c r="V278" s="9"/>
      <c r="W278" s="9"/>
      <c r="X278" s="18"/>
      <c r="Y278" s="18"/>
      <c r="Z278" s="19"/>
      <c r="AA278" s="18"/>
      <c r="AB278" s="19"/>
      <c r="AC278" s="19"/>
      <c r="AD278" s="19"/>
      <c r="AE278" s="9"/>
      <c r="AF278" s="9"/>
      <c r="AG278" s="26"/>
      <c r="AH278" s="26"/>
      <c r="AI278" s="9"/>
    </row>
    <row r="279" spans="1:35" ht="15">
      <c r="A279" s="113"/>
      <c r="B279" s="113"/>
      <c r="C279" s="113"/>
      <c r="D279" s="159" t="s">
        <v>455</v>
      </c>
      <c r="E279" s="159" t="s">
        <v>456</v>
      </c>
      <c r="F279" s="163" t="s">
        <v>457</v>
      </c>
      <c r="G279" s="165"/>
      <c r="H279" s="91" t="s">
        <v>458</v>
      </c>
      <c r="I279" s="92"/>
      <c r="J279" s="93"/>
      <c r="K279" s="93"/>
      <c r="L279" s="94" t="b">
        <v>0</v>
      </c>
      <c r="M279" s="94" t="b">
        <v>0</v>
      </c>
      <c r="N279" s="95"/>
      <c r="O279" s="95"/>
      <c r="P279" s="96">
        <f t="shared" si="43"/>
        <v>0</v>
      </c>
      <c r="Q279" s="95"/>
      <c r="R279" s="93"/>
      <c r="S279" s="95"/>
      <c r="T279" s="95"/>
      <c r="U279" s="96">
        <f t="shared" si="44"/>
        <v>0</v>
      </c>
      <c r="V279" s="93"/>
      <c r="W279" s="93"/>
      <c r="X279" s="97"/>
      <c r="Y279" s="97"/>
      <c r="Z279" s="98"/>
      <c r="AA279" s="97"/>
      <c r="AB279" s="98"/>
      <c r="AC279" s="98"/>
      <c r="AD279" s="98"/>
      <c r="AE279" s="93"/>
      <c r="AF279" s="93"/>
      <c r="AG279" s="99"/>
      <c r="AH279" s="99"/>
      <c r="AI279" s="93"/>
    </row>
    <row r="280" spans="1:35" ht="15">
      <c r="A280" s="113"/>
      <c r="B280" s="113"/>
      <c r="C280" s="113"/>
      <c r="D280" s="155"/>
      <c r="E280" s="155"/>
      <c r="F280" s="155"/>
      <c r="G280" s="155"/>
      <c r="H280" s="91" t="s">
        <v>58</v>
      </c>
      <c r="I280" s="92"/>
      <c r="J280" s="93"/>
      <c r="K280" s="93"/>
      <c r="L280" s="94" t="b">
        <v>0</v>
      </c>
      <c r="M280" s="94" t="b">
        <v>0</v>
      </c>
      <c r="N280" s="95"/>
      <c r="O280" s="95"/>
      <c r="P280" s="96">
        <f t="shared" si="43"/>
        <v>0</v>
      </c>
      <c r="Q280" s="95"/>
      <c r="R280" s="93"/>
      <c r="S280" s="95"/>
      <c r="T280" s="95"/>
      <c r="U280" s="96">
        <f t="shared" si="44"/>
        <v>0</v>
      </c>
      <c r="V280" s="93"/>
      <c r="W280" s="93"/>
      <c r="X280" s="97"/>
      <c r="Y280" s="97"/>
      <c r="Z280" s="98"/>
      <c r="AA280" s="97"/>
      <c r="AB280" s="98"/>
      <c r="AC280" s="98"/>
      <c r="AD280" s="98"/>
      <c r="AE280" s="93"/>
      <c r="AF280" s="93"/>
      <c r="AG280" s="99"/>
      <c r="AH280" s="99"/>
      <c r="AI280" s="100"/>
    </row>
    <row r="281" spans="1:35" ht="15">
      <c r="A281" s="113"/>
      <c r="B281" s="113"/>
      <c r="C281" s="113"/>
      <c r="D281" s="159" t="s">
        <v>455</v>
      </c>
      <c r="E281" s="166" t="s">
        <v>459</v>
      </c>
      <c r="F281" s="163" t="s">
        <v>457</v>
      </c>
      <c r="G281" s="165"/>
      <c r="H281" s="91" t="s">
        <v>458</v>
      </c>
      <c r="I281" s="92"/>
      <c r="J281" s="93"/>
      <c r="K281" s="93"/>
      <c r="L281" s="94" t="b">
        <v>0</v>
      </c>
      <c r="M281" s="94" t="b">
        <v>0</v>
      </c>
      <c r="N281" s="95"/>
      <c r="O281" s="95"/>
      <c r="P281" s="96">
        <f t="shared" si="43"/>
        <v>0</v>
      </c>
      <c r="Q281" s="95"/>
      <c r="R281" s="93"/>
      <c r="S281" s="95"/>
      <c r="T281" s="95"/>
      <c r="U281" s="96">
        <f t="shared" si="44"/>
        <v>0</v>
      </c>
      <c r="V281" s="93"/>
      <c r="W281" s="93"/>
      <c r="X281" s="93"/>
      <c r="Y281" s="93"/>
      <c r="Z281" s="91"/>
      <c r="AA281" s="93"/>
      <c r="AB281" s="91"/>
      <c r="AC281" s="91"/>
      <c r="AD281" s="91"/>
      <c r="AE281" s="93"/>
      <c r="AF281" s="93"/>
      <c r="AG281" s="99"/>
      <c r="AH281" s="99"/>
      <c r="AI281" s="101"/>
    </row>
    <row r="282" spans="1:35" ht="12.75">
      <c r="A282" s="113"/>
      <c r="B282" s="113"/>
      <c r="C282" s="113"/>
      <c r="D282" s="155"/>
      <c r="E282" s="155"/>
      <c r="F282" s="155"/>
      <c r="G282" s="155"/>
      <c r="H282" s="91" t="s">
        <v>58</v>
      </c>
      <c r="I282" s="102"/>
      <c r="J282" s="93"/>
      <c r="K282" s="93"/>
      <c r="L282" s="94" t="b">
        <v>0</v>
      </c>
      <c r="M282" s="94" t="b">
        <v>0</v>
      </c>
      <c r="N282" s="95"/>
      <c r="O282" s="95"/>
      <c r="P282" s="96">
        <f t="shared" si="43"/>
        <v>0</v>
      </c>
      <c r="Q282" s="95"/>
      <c r="R282" s="93"/>
      <c r="S282" s="95"/>
      <c r="T282" s="95"/>
      <c r="U282" s="96">
        <f t="shared" si="44"/>
        <v>0</v>
      </c>
      <c r="V282" s="93"/>
      <c r="W282" s="93"/>
      <c r="X282" s="93"/>
      <c r="Y282" s="93"/>
      <c r="Z282" s="91"/>
      <c r="AA282" s="93"/>
      <c r="AB282" s="91"/>
      <c r="AC282" s="91"/>
      <c r="AD282" s="91"/>
      <c r="AE282" s="93"/>
      <c r="AF282" s="93"/>
      <c r="AG282" s="99"/>
      <c r="AH282" s="99"/>
      <c r="AI282" s="99"/>
    </row>
    <row r="283" spans="1:35" ht="15">
      <c r="A283" s="113"/>
      <c r="B283" s="113"/>
      <c r="C283" s="113"/>
      <c r="D283" s="159" t="s">
        <v>460</v>
      </c>
      <c r="E283" s="163" t="s">
        <v>461</v>
      </c>
      <c r="F283" s="159" t="s">
        <v>462</v>
      </c>
      <c r="G283" s="165"/>
      <c r="H283" s="91" t="s">
        <v>49</v>
      </c>
      <c r="I283" s="103"/>
      <c r="J283" s="93"/>
      <c r="K283" s="93"/>
      <c r="L283" s="94" t="b">
        <v>0</v>
      </c>
      <c r="M283" s="94" t="b">
        <v>0</v>
      </c>
      <c r="N283" s="95"/>
      <c r="O283" s="95"/>
      <c r="P283" s="96">
        <f t="shared" si="43"/>
        <v>0</v>
      </c>
      <c r="Q283" s="95"/>
      <c r="R283" s="93"/>
      <c r="S283" s="95"/>
      <c r="T283" s="95"/>
      <c r="U283" s="96">
        <f t="shared" si="44"/>
        <v>0</v>
      </c>
      <c r="V283" s="93"/>
      <c r="W283" s="93"/>
      <c r="X283" s="93"/>
      <c r="Y283" s="93"/>
      <c r="Z283" s="91"/>
      <c r="AA283" s="93"/>
      <c r="AB283" s="91"/>
      <c r="AC283" s="91"/>
      <c r="AD283" s="91"/>
      <c r="AE283" s="93"/>
      <c r="AF283" s="93"/>
      <c r="AG283" s="99"/>
      <c r="AH283" s="99"/>
      <c r="AI283" s="101"/>
    </row>
    <row r="284" spans="1:35" ht="15">
      <c r="A284" s="113"/>
      <c r="B284" s="113"/>
      <c r="C284" s="113"/>
      <c r="D284" s="155"/>
      <c r="E284" s="155"/>
      <c r="F284" s="155"/>
      <c r="G284" s="155"/>
      <c r="H284" s="91" t="s">
        <v>58</v>
      </c>
      <c r="I284" s="103"/>
      <c r="J284" s="93"/>
      <c r="K284" s="93"/>
      <c r="L284" s="94" t="b">
        <v>0</v>
      </c>
      <c r="M284" s="94" t="b">
        <v>0</v>
      </c>
      <c r="N284" s="95"/>
      <c r="O284" s="95"/>
      <c r="P284" s="96">
        <f t="shared" si="43"/>
        <v>0</v>
      </c>
      <c r="Q284" s="95"/>
      <c r="R284" s="93"/>
      <c r="S284" s="95"/>
      <c r="T284" s="95"/>
      <c r="U284" s="96">
        <f t="shared" si="44"/>
        <v>0</v>
      </c>
      <c r="V284" s="93"/>
      <c r="W284" s="93"/>
      <c r="X284" s="97"/>
      <c r="Y284" s="97"/>
      <c r="Z284" s="98"/>
      <c r="AA284" s="97"/>
      <c r="AB284" s="98"/>
      <c r="AC284" s="98"/>
      <c r="AD284" s="98"/>
      <c r="AE284" s="93"/>
      <c r="AF284" s="93"/>
      <c r="AG284" s="99"/>
      <c r="AH284" s="99"/>
      <c r="AI284" s="101"/>
    </row>
    <row r="285" spans="1:35" ht="15">
      <c r="A285" s="113"/>
      <c r="B285" s="113"/>
      <c r="C285" s="113"/>
      <c r="D285" s="159" t="s">
        <v>453</v>
      </c>
      <c r="E285" s="159" t="s">
        <v>463</v>
      </c>
      <c r="F285" s="159" t="s">
        <v>464</v>
      </c>
      <c r="G285" s="165"/>
      <c r="H285" s="91" t="s">
        <v>465</v>
      </c>
      <c r="I285" s="103"/>
      <c r="J285" s="93"/>
      <c r="K285" s="93"/>
      <c r="L285" s="94" t="b">
        <v>0</v>
      </c>
      <c r="M285" s="94" t="b">
        <v>0</v>
      </c>
      <c r="N285" s="95"/>
      <c r="O285" s="95"/>
      <c r="P285" s="96">
        <f t="shared" si="43"/>
        <v>0</v>
      </c>
      <c r="Q285" s="95"/>
      <c r="R285" s="93"/>
      <c r="S285" s="95"/>
      <c r="T285" s="95"/>
      <c r="U285" s="96">
        <f t="shared" si="44"/>
        <v>0</v>
      </c>
      <c r="V285" s="93"/>
      <c r="W285" s="93"/>
      <c r="X285" s="97"/>
      <c r="Y285" s="97"/>
      <c r="Z285" s="98"/>
      <c r="AA285" s="97"/>
      <c r="AB285" s="98"/>
      <c r="AC285" s="98"/>
      <c r="AD285" s="98"/>
      <c r="AE285" s="93"/>
      <c r="AF285" s="93"/>
      <c r="AG285" s="99"/>
      <c r="AH285" s="99"/>
      <c r="AI285" s="101"/>
    </row>
    <row r="286" spans="1:35" ht="15">
      <c r="A286" s="113"/>
      <c r="B286" s="113"/>
      <c r="C286" s="113"/>
      <c r="D286" s="155"/>
      <c r="E286" s="155"/>
      <c r="F286" s="155"/>
      <c r="G286" s="155"/>
      <c r="H286" s="91" t="s">
        <v>58</v>
      </c>
      <c r="I286" s="103"/>
      <c r="J286" s="93"/>
      <c r="K286" s="93"/>
      <c r="L286" s="94" t="b">
        <v>0</v>
      </c>
      <c r="M286" s="94" t="b">
        <v>0</v>
      </c>
      <c r="N286" s="95"/>
      <c r="O286" s="95"/>
      <c r="P286" s="96">
        <f t="shared" si="43"/>
        <v>0</v>
      </c>
      <c r="Q286" s="95"/>
      <c r="R286" s="93"/>
      <c r="S286" s="95"/>
      <c r="T286" s="95"/>
      <c r="U286" s="96">
        <f t="shared" si="44"/>
        <v>0</v>
      </c>
      <c r="V286" s="93"/>
      <c r="W286" s="93"/>
      <c r="X286" s="97"/>
      <c r="Y286" s="97"/>
      <c r="Z286" s="98"/>
      <c r="AA286" s="97"/>
      <c r="AB286" s="98"/>
      <c r="AC286" s="98"/>
      <c r="AD286" s="98"/>
      <c r="AE286" s="93"/>
      <c r="AF286" s="93"/>
      <c r="AG286" s="99"/>
      <c r="AH286" s="99"/>
      <c r="AI286" s="101"/>
    </row>
    <row r="287" spans="1:35" ht="12.75">
      <c r="A287" s="114"/>
      <c r="B287" s="114"/>
      <c r="C287" s="114"/>
      <c r="D287" s="115"/>
      <c r="E287" s="115"/>
      <c r="F287" s="115"/>
      <c r="G287" s="116"/>
      <c r="H287" s="115"/>
      <c r="I287" s="117"/>
      <c r="J287" s="116"/>
      <c r="K287" s="116"/>
      <c r="L287" s="116"/>
      <c r="M287" s="116"/>
      <c r="N287" s="118"/>
      <c r="O287" s="118"/>
      <c r="P287" s="119"/>
      <c r="Q287" s="118"/>
      <c r="R287" s="116"/>
      <c r="S287" s="118"/>
      <c r="T287" s="118"/>
      <c r="U287" s="119"/>
      <c r="V287" s="116"/>
      <c r="W287" s="116"/>
      <c r="X287" s="116"/>
      <c r="Y287" s="116"/>
      <c r="Z287" s="115"/>
      <c r="AA287" s="116"/>
      <c r="AB287" s="115"/>
      <c r="AC287" s="115"/>
      <c r="AD287" s="115"/>
      <c r="AE287" s="116"/>
      <c r="AF287" s="116"/>
      <c r="AG287" s="116"/>
      <c r="AH287" s="116"/>
      <c r="AI287" s="116"/>
    </row>
    <row r="288" spans="1:35" ht="12.75">
      <c r="A288" s="162" t="s">
        <v>270</v>
      </c>
      <c r="B288" s="162" t="s">
        <v>178</v>
      </c>
      <c r="C288" s="162" t="s">
        <v>271</v>
      </c>
      <c r="D288" s="162" t="s">
        <v>453</v>
      </c>
      <c r="E288" s="160" t="s">
        <v>47</v>
      </c>
      <c r="F288" s="162" t="s">
        <v>454</v>
      </c>
      <c r="G288" s="164"/>
      <c r="H288" s="77" t="s">
        <v>49</v>
      </c>
      <c r="I288" s="108"/>
      <c r="J288" s="78"/>
      <c r="K288" s="78"/>
      <c r="L288" s="79" t="b">
        <v>0</v>
      </c>
      <c r="M288" s="79" t="b">
        <v>0</v>
      </c>
      <c r="N288" s="81"/>
      <c r="O288" s="81"/>
      <c r="P288" s="80">
        <f t="shared" ref="P288:P299" si="45">N288+O288</f>
        <v>0</v>
      </c>
      <c r="Q288" s="81"/>
      <c r="R288" s="78"/>
      <c r="S288" s="81"/>
      <c r="T288" s="81"/>
      <c r="U288" s="80">
        <f t="shared" ref="U288:U299" si="46">S288+T288</f>
        <v>0</v>
      </c>
      <c r="V288" s="78"/>
      <c r="W288" s="78"/>
      <c r="X288" s="78"/>
      <c r="Y288" s="78"/>
      <c r="Z288" s="77"/>
      <c r="AA288" s="78"/>
      <c r="AB288" s="77"/>
      <c r="AC288" s="77"/>
      <c r="AD288" s="77"/>
      <c r="AE288" s="78"/>
      <c r="AF288" s="78"/>
      <c r="AG288" s="109"/>
      <c r="AH288" s="109"/>
      <c r="AI288" s="78"/>
    </row>
    <row r="289" spans="1:35" ht="12.75">
      <c r="A289" s="155"/>
      <c r="B289" s="155"/>
      <c r="C289" s="155"/>
      <c r="D289" s="155"/>
      <c r="E289" s="155"/>
      <c r="F289" s="155"/>
      <c r="G289" s="155"/>
      <c r="H289" s="85" t="s">
        <v>58</v>
      </c>
      <c r="I289" s="112"/>
      <c r="J289" s="84"/>
      <c r="K289" s="84"/>
      <c r="L289" s="86" t="b">
        <v>0</v>
      </c>
      <c r="M289" s="86" t="b">
        <v>0</v>
      </c>
      <c r="N289" s="83"/>
      <c r="O289" s="83"/>
      <c r="P289" s="87">
        <f t="shared" si="45"/>
        <v>0</v>
      </c>
      <c r="Q289" s="83"/>
      <c r="R289" s="84"/>
      <c r="S289" s="83"/>
      <c r="T289" s="83"/>
      <c r="U289" s="87">
        <f t="shared" si="46"/>
        <v>0</v>
      </c>
      <c r="V289" s="84"/>
      <c r="W289" s="84"/>
      <c r="X289" s="84"/>
      <c r="Y289" s="84"/>
      <c r="Z289" s="85"/>
      <c r="AA289" s="84"/>
      <c r="AB289" s="85"/>
      <c r="AC289" s="85"/>
      <c r="AD289" s="85"/>
      <c r="AE289" s="84"/>
      <c r="AF289" s="84"/>
      <c r="AG289" s="110"/>
      <c r="AH289" s="110"/>
      <c r="AI289" s="84"/>
    </row>
    <row r="290" spans="1:35" ht="12.75">
      <c r="A290" s="155"/>
      <c r="B290" s="155"/>
      <c r="C290" s="155"/>
      <c r="D290" s="157" t="s">
        <v>453</v>
      </c>
      <c r="E290" s="157" t="s">
        <v>59</v>
      </c>
      <c r="F290" s="157" t="s">
        <v>454</v>
      </c>
      <c r="G290" s="158"/>
      <c r="H290" s="5" t="s">
        <v>49</v>
      </c>
      <c r="I290" s="17"/>
      <c r="J290" s="9"/>
      <c r="K290" s="9"/>
      <c r="L290" s="11" t="b">
        <v>0</v>
      </c>
      <c r="M290" s="11" t="b">
        <v>0</v>
      </c>
      <c r="N290" s="7"/>
      <c r="O290" s="7"/>
      <c r="P290" s="8">
        <f t="shared" si="45"/>
        <v>0</v>
      </c>
      <c r="Q290" s="7"/>
      <c r="R290" s="9"/>
      <c r="S290" s="7"/>
      <c r="T290" s="7"/>
      <c r="U290" s="8">
        <f t="shared" si="46"/>
        <v>0</v>
      </c>
      <c r="V290" s="9"/>
      <c r="W290" s="9"/>
      <c r="X290" s="18"/>
      <c r="Y290" s="18"/>
      <c r="Z290" s="19"/>
      <c r="AA290" s="18"/>
      <c r="AB290" s="19"/>
      <c r="AC290" s="19"/>
      <c r="AD290" s="19"/>
      <c r="AE290" s="9"/>
      <c r="AF290" s="9"/>
      <c r="AG290" s="26"/>
      <c r="AH290" s="26"/>
      <c r="AI290" s="89"/>
    </row>
    <row r="291" spans="1:35" ht="12.75">
      <c r="A291" s="155"/>
      <c r="B291" s="155"/>
      <c r="C291" s="155"/>
      <c r="D291" s="155"/>
      <c r="E291" s="155"/>
      <c r="F291" s="155"/>
      <c r="G291" s="155"/>
      <c r="H291" s="5" t="s">
        <v>58</v>
      </c>
      <c r="I291" s="22"/>
      <c r="J291" s="9"/>
      <c r="K291" s="9"/>
      <c r="L291" s="11" t="b">
        <v>0</v>
      </c>
      <c r="M291" s="11" t="b">
        <v>0</v>
      </c>
      <c r="N291" s="7"/>
      <c r="O291" s="7"/>
      <c r="P291" s="8">
        <f t="shared" si="45"/>
        <v>0</v>
      </c>
      <c r="Q291" s="7"/>
      <c r="R291" s="9"/>
      <c r="S291" s="7"/>
      <c r="T291" s="7"/>
      <c r="U291" s="8">
        <f t="shared" si="46"/>
        <v>0</v>
      </c>
      <c r="V291" s="9"/>
      <c r="W291" s="9"/>
      <c r="X291" s="18"/>
      <c r="Y291" s="18"/>
      <c r="Z291" s="19"/>
      <c r="AA291" s="18"/>
      <c r="AB291" s="19"/>
      <c r="AC291" s="19"/>
      <c r="AD291" s="19"/>
      <c r="AE291" s="9"/>
      <c r="AF291" s="9"/>
      <c r="AG291" s="26"/>
      <c r="AH291" s="26"/>
      <c r="AI291" s="9"/>
    </row>
    <row r="292" spans="1:35" ht="15">
      <c r="A292" s="113"/>
      <c r="B292" s="113"/>
      <c r="C292" s="113"/>
      <c r="D292" s="159" t="s">
        <v>455</v>
      </c>
      <c r="E292" s="159" t="s">
        <v>456</v>
      </c>
      <c r="F292" s="163" t="s">
        <v>457</v>
      </c>
      <c r="G292" s="165"/>
      <c r="H292" s="91" t="s">
        <v>458</v>
      </c>
      <c r="I292" s="92"/>
      <c r="J292" s="93"/>
      <c r="K292" s="93"/>
      <c r="L292" s="94" t="b">
        <v>0</v>
      </c>
      <c r="M292" s="94" t="b">
        <v>0</v>
      </c>
      <c r="N292" s="95"/>
      <c r="O292" s="95"/>
      <c r="P292" s="96">
        <f t="shared" si="45"/>
        <v>0</v>
      </c>
      <c r="Q292" s="95"/>
      <c r="R292" s="93"/>
      <c r="S292" s="95"/>
      <c r="T292" s="95"/>
      <c r="U292" s="96">
        <f t="shared" si="46"/>
        <v>0</v>
      </c>
      <c r="V292" s="93"/>
      <c r="W292" s="93"/>
      <c r="X292" s="97"/>
      <c r="Y292" s="97"/>
      <c r="Z292" s="98"/>
      <c r="AA292" s="97"/>
      <c r="AB292" s="98"/>
      <c r="AC292" s="98"/>
      <c r="AD292" s="98"/>
      <c r="AE292" s="93"/>
      <c r="AF292" s="93"/>
      <c r="AG292" s="99"/>
      <c r="AH292" s="99"/>
      <c r="AI292" s="93"/>
    </row>
    <row r="293" spans="1:35" ht="15">
      <c r="A293" s="113"/>
      <c r="B293" s="113"/>
      <c r="C293" s="113"/>
      <c r="D293" s="155"/>
      <c r="E293" s="155"/>
      <c r="F293" s="155"/>
      <c r="G293" s="155"/>
      <c r="H293" s="91" t="s">
        <v>58</v>
      </c>
      <c r="I293" s="92"/>
      <c r="J293" s="93"/>
      <c r="K293" s="93"/>
      <c r="L293" s="94" t="b">
        <v>0</v>
      </c>
      <c r="M293" s="94" t="b">
        <v>0</v>
      </c>
      <c r="N293" s="95"/>
      <c r="O293" s="95"/>
      <c r="P293" s="96">
        <f t="shared" si="45"/>
        <v>0</v>
      </c>
      <c r="Q293" s="95"/>
      <c r="R293" s="93"/>
      <c r="S293" s="95"/>
      <c r="T293" s="95"/>
      <c r="U293" s="96">
        <f t="shared" si="46"/>
        <v>0</v>
      </c>
      <c r="V293" s="93"/>
      <c r="W293" s="93"/>
      <c r="X293" s="97"/>
      <c r="Y293" s="97"/>
      <c r="Z293" s="98"/>
      <c r="AA293" s="97"/>
      <c r="AB293" s="98"/>
      <c r="AC293" s="98"/>
      <c r="AD293" s="98"/>
      <c r="AE293" s="93"/>
      <c r="AF293" s="93"/>
      <c r="AG293" s="99"/>
      <c r="AH293" s="99"/>
      <c r="AI293" s="100"/>
    </row>
    <row r="294" spans="1:35" ht="15">
      <c r="A294" s="113"/>
      <c r="B294" s="113"/>
      <c r="C294" s="113"/>
      <c r="D294" s="159" t="s">
        <v>455</v>
      </c>
      <c r="E294" s="166" t="s">
        <v>459</v>
      </c>
      <c r="F294" s="163" t="s">
        <v>457</v>
      </c>
      <c r="G294" s="165"/>
      <c r="H294" s="91" t="s">
        <v>458</v>
      </c>
      <c r="I294" s="92"/>
      <c r="J294" s="93"/>
      <c r="K294" s="93"/>
      <c r="L294" s="94" t="b">
        <v>0</v>
      </c>
      <c r="M294" s="94" t="b">
        <v>0</v>
      </c>
      <c r="N294" s="95"/>
      <c r="O294" s="95"/>
      <c r="P294" s="96">
        <f t="shared" si="45"/>
        <v>0</v>
      </c>
      <c r="Q294" s="95"/>
      <c r="R294" s="93"/>
      <c r="S294" s="95"/>
      <c r="T294" s="95"/>
      <c r="U294" s="96">
        <f t="shared" si="46"/>
        <v>0</v>
      </c>
      <c r="V294" s="93"/>
      <c r="W294" s="93"/>
      <c r="X294" s="93"/>
      <c r="Y294" s="93"/>
      <c r="Z294" s="91"/>
      <c r="AA294" s="93"/>
      <c r="AB294" s="91"/>
      <c r="AC294" s="91"/>
      <c r="AD294" s="91"/>
      <c r="AE294" s="93"/>
      <c r="AF294" s="93"/>
      <c r="AG294" s="99"/>
      <c r="AH294" s="99"/>
      <c r="AI294" s="101"/>
    </row>
    <row r="295" spans="1:35" ht="12.75">
      <c r="A295" s="113"/>
      <c r="B295" s="113"/>
      <c r="C295" s="113"/>
      <c r="D295" s="155"/>
      <c r="E295" s="155"/>
      <c r="F295" s="155"/>
      <c r="G295" s="155"/>
      <c r="H295" s="91" t="s">
        <v>58</v>
      </c>
      <c r="I295" s="102"/>
      <c r="J295" s="93"/>
      <c r="K295" s="93"/>
      <c r="L295" s="94" t="b">
        <v>0</v>
      </c>
      <c r="M295" s="94" t="b">
        <v>0</v>
      </c>
      <c r="N295" s="95"/>
      <c r="O295" s="95"/>
      <c r="P295" s="96">
        <f t="shared" si="45"/>
        <v>0</v>
      </c>
      <c r="Q295" s="95"/>
      <c r="R295" s="93"/>
      <c r="S295" s="95"/>
      <c r="T295" s="95"/>
      <c r="U295" s="96">
        <f t="shared" si="46"/>
        <v>0</v>
      </c>
      <c r="V295" s="93"/>
      <c r="W295" s="93"/>
      <c r="X295" s="93"/>
      <c r="Y295" s="93"/>
      <c r="Z295" s="91"/>
      <c r="AA295" s="93"/>
      <c r="AB295" s="91"/>
      <c r="AC295" s="91"/>
      <c r="AD295" s="91"/>
      <c r="AE295" s="93"/>
      <c r="AF295" s="93"/>
      <c r="AG295" s="99"/>
      <c r="AH295" s="99"/>
      <c r="AI295" s="99"/>
    </row>
    <row r="296" spans="1:35" ht="15">
      <c r="A296" s="113"/>
      <c r="B296" s="113"/>
      <c r="C296" s="113"/>
      <c r="D296" s="159" t="s">
        <v>460</v>
      </c>
      <c r="E296" s="163" t="s">
        <v>461</v>
      </c>
      <c r="F296" s="159" t="s">
        <v>462</v>
      </c>
      <c r="G296" s="165"/>
      <c r="H296" s="91" t="s">
        <v>49</v>
      </c>
      <c r="I296" s="103"/>
      <c r="J296" s="93"/>
      <c r="K296" s="93"/>
      <c r="L296" s="94" t="b">
        <v>0</v>
      </c>
      <c r="M296" s="94" t="b">
        <v>0</v>
      </c>
      <c r="N296" s="95"/>
      <c r="O296" s="95"/>
      <c r="P296" s="96">
        <f t="shared" si="45"/>
        <v>0</v>
      </c>
      <c r="Q296" s="95"/>
      <c r="R296" s="93"/>
      <c r="S296" s="95"/>
      <c r="T296" s="95"/>
      <c r="U296" s="96">
        <f t="shared" si="46"/>
        <v>0</v>
      </c>
      <c r="V296" s="93"/>
      <c r="W296" s="93"/>
      <c r="X296" s="93"/>
      <c r="Y296" s="93"/>
      <c r="Z296" s="91"/>
      <c r="AA296" s="93"/>
      <c r="AB296" s="91"/>
      <c r="AC296" s="91"/>
      <c r="AD296" s="91"/>
      <c r="AE296" s="93"/>
      <c r="AF296" s="93"/>
      <c r="AG296" s="99"/>
      <c r="AH296" s="99"/>
      <c r="AI296" s="101"/>
    </row>
    <row r="297" spans="1:35" ht="15">
      <c r="A297" s="113"/>
      <c r="B297" s="113"/>
      <c r="C297" s="113"/>
      <c r="D297" s="155"/>
      <c r="E297" s="155"/>
      <c r="F297" s="155"/>
      <c r="G297" s="155"/>
      <c r="H297" s="91" t="s">
        <v>58</v>
      </c>
      <c r="I297" s="103"/>
      <c r="J297" s="93"/>
      <c r="K297" s="93"/>
      <c r="L297" s="94" t="b">
        <v>0</v>
      </c>
      <c r="M297" s="94" t="b">
        <v>0</v>
      </c>
      <c r="N297" s="95"/>
      <c r="O297" s="95"/>
      <c r="P297" s="96">
        <f t="shared" si="45"/>
        <v>0</v>
      </c>
      <c r="Q297" s="95"/>
      <c r="R297" s="93"/>
      <c r="S297" s="95"/>
      <c r="T297" s="95"/>
      <c r="U297" s="96">
        <f t="shared" si="46"/>
        <v>0</v>
      </c>
      <c r="V297" s="93"/>
      <c r="W297" s="93"/>
      <c r="X297" s="97"/>
      <c r="Y297" s="97"/>
      <c r="Z297" s="98"/>
      <c r="AA297" s="97"/>
      <c r="AB297" s="98"/>
      <c r="AC297" s="98"/>
      <c r="AD297" s="98"/>
      <c r="AE297" s="93"/>
      <c r="AF297" s="93"/>
      <c r="AG297" s="99"/>
      <c r="AH297" s="99"/>
      <c r="AI297" s="101"/>
    </row>
    <row r="298" spans="1:35" ht="15">
      <c r="A298" s="113"/>
      <c r="B298" s="113"/>
      <c r="C298" s="113"/>
      <c r="D298" s="159" t="s">
        <v>453</v>
      </c>
      <c r="E298" s="159" t="s">
        <v>463</v>
      </c>
      <c r="F298" s="159" t="s">
        <v>464</v>
      </c>
      <c r="G298" s="165"/>
      <c r="H298" s="91" t="s">
        <v>465</v>
      </c>
      <c r="I298" s="103"/>
      <c r="J298" s="93"/>
      <c r="K298" s="93"/>
      <c r="L298" s="94" t="b">
        <v>0</v>
      </c>
      <c r="M298" s="94" t="b">
        <v>0</v>
      </c>
      <c r="N298" s="95"/>
      <c r="O298" s="95"/>
      <c r="P298" s="96">
        <f t="shared" si="45"/>
        <v>0</v>
      </c>
      <c r="Q298" s="95"/>
      <c r="R298" s="93"/>
      <c r="S298" s="95"/>
      <c r="T298" s="95"/>
      <c r="U298" s="96">
        <f t="shared" si="46"/>
        <v>0</v>
      </c>
      <c r="V298" s="93"/>
      <c r="W298" s="93"/>
      <c r="X298" s="97"/>
      <c r="Y298" s="97"/>
      <c r="Z298" s="98"/>
      <c r="AA298" s="97"/>
      <c r="AB298" s="98"/>
      <c r="AC298" s="98"/>
      <c r="AD298" s="98"/>
      <c r="AE298" s="93"/>
      <c r="AF298" s="93"/>
      <c r="AG298" s="99"/>
      <c r="AH298" s="99"/>
      <c r="AI298" s="101"/>
    </row>
    <row r="299" spans="1:35" ht="15">
      <c r="A299" s="113"/>
      <c r="B299" s="113"/>
      <c r="C299" s="113"/>
      <c r="D299" s="155"/>
      <c r="E299" s="155"/>
      <c r="F299" s="155"/>
      <c r="G299" s="155"/>
      <c r="H299" s="91" t="s">
        <v>58</v>
      </c>
      <c r="I299" s="103"/>
      <c r="J299" s="93"/>
      <c r="K299" s="93"/>
      <c r="L299" s="94" t="b">
        <v>0</v>
      </c>
      <c r="M299" s="94" t="b">
        <v>0</v>
      </c>
      <c r="N299" s="95"/>
      <c r="O299" s="95"/>
      <c r="P299" s="96">
        <f t="shared" si="45"/>
        <v>0</v>
      </c>
      <c r="Q299" s="95"/>
      <c r="R299" s="93"/>
      <c r="S299" s="95"/>
      <c r="T299" s="95"/>
      <c r="U299" s="96">
        <f t="shared" si="46"/>
        <v>0</v>
      </c>
      <c r="V299" s="93"/>
      <c r="W299" s="93"/>
      <c r="X299" s="97"/>
      <c r="Y299" s="97"/>
      <c r="Z299" s="98"/>
      <c r="AA299" s="97"/>
      <c r="AB299" s="98"/>
      <c r="AC299" s="98"/>
      <c r="AD299" s="98"/>
      <c r="AE299" s="93"/>
      <c r="AF299" s="93"/>
      <c r="AG299" s="99"/>
      <c r="AH299" s="99"/>
      <c r="AI299" s="101"/>
    </row>
    <row r="300" spans="1:35" ht="12.75">
      <c r="A300" s="114"/>
      <c r="B300" s="114"/>
      <c r="C300" s="114"/>
      <c r="D300" s="115"/>
      <c r="E300" s="115"/>
      <c r="F300" s="115"/>
      <c r="G300" s="116"/>
      <c r="H300" s="115"/>
      <c r="I300" s="117"/>
      <c r="J300" s="116"/>
      <c r="K300" s="116"/>
      <c r="L300" s="116"/>
      <c r="M300" s="116"/>
      <c r="N300" s="118"/>
      <c r="O300" s="118"/>
      <c r="P300" s="119"/>
      <c r="Q300" s="118"/>
      <c r="R300" s="116"/>
      <c r="S300" s="118"/>
      <c r="T300" s="118"/>
      <c r="U300" s="119"/>
      <c r="V300" s="116"/>
      <c r="W300" s="116"/>
      <c r="X300" s="116"/>
      <c r="Y300" s="116"/>
      <c r="Z300" s="115"/>
      <c r="AA300" s="116"/>
      <c r="AB300" s="115"/>
      <c r="AC300" s="115"/>
      <c r="AD300" s="115"/>
      <c r="AE300" s="116"/>
      <c r="AF300" s="116"/>
      <c r="AG300" s="116"/>
      <c r="AH300" s="116"/>
      <c r="AI300" s="116"/>
    </row>
    <row r="301" spans="1:35" ht="12.75">
      <c r="A301" s="161" t="s">
        <v>468</v>
      </c>
      <c r="B301" s="162" t="s">
        <v>178</v>
      </c>
      <c r="C301" s="161" t="s">
        <v>469</v>
      </c>
      <c r="D301" s="162" t="s">
        <v>453</v>
      </c>
      <c r="E301" s="160" t="s">
        <v>47</v>
      </c>
      <c r="F301" s="162" t="s">
        <v>454</v>
      </c>
      <c r="G301" s="164"/>
      <c r="H301" s="77" t="s">
        <v>49</v>
      </c>
      <c r="I301" s="108"/>
      <c r="J301" s="78"/>
      <c r="K301" s="78"/>
      <c r="L301" s="79" t="b">
        <v>0</v>
      </c>
      <c r="M301" s="79" t="b">
        <v>0</v>
      </c>
      <c r="N301" s="81"/>
      <c r="O301" s="81"/>
      <c r="P301" s="80">
        <f t="shared" ref="P301:P312" si="47">N301+O301</f>
        <v>0</v>
      </c>
      <c r="Q301" s="81"/>
      <c r="R301" s="78"/>
      <c r="S301" s="81"/>
      <c r="T301" s="81"/>
      <c r="U301" s="80">
        <f t="shared" ref="U301:U312" si="48">S301+T301</f>
        <v>0</v>
      </c>
      <c r="V301" s="78"/>
      <c r="W301" s="78"/>
      <c r="X301" s="78"/>
      <c r="Y301" s="78"/>
      <c r="Z301" s="77"/>
      <c r="AA301" s="78"/>
      <c r="AB301" s="77"/>
      <c r="AC301" s="77"/>
      <c r="AD301" s="77"/>
      <c r="AE301" s="78"/>
      <c r="AF301" s="78"/>
      <c r="AG301" s="109"/>
      <c r="AH301" s="109"/>
      <c r="AI301" s="78"/>
    </row>
    <row r="302" spans="1:35" ht="12.75">
      <c r="A302" s="155"/>
      <c r="B302" s="155"/>
      <c r="C302" s="155"/>
      <c r="D302" s="155"/>
      <c r="E302" s="155"/>
      <c r="F302" s="155"/>
      <c r="G302" s="155"/>
      <c r="H302" s="85" t="s">
        <v>58</v>
      </c>
      <c r="I302" s="112"/>
      <c r="J302" s="84"/>
      <c r="K302" s="84"/>
      <c r="L302" s="86" t="b">
        <v>0</v>
      </c>
      <c r="M302" s="86" t="b">
        <v>0</v>
      </c>
      <c r="N302" s="83"/>
      <c r="O302" s="83"/>
      <c r="P302" s="87">
        <f t="shared" si="47"/>
        <v>0</v>
      </c>
      <c r="Q302" s="83"/>
      <c r="R302" s="84"/>
      <c r="S302" s="83"/>
      <c r="T302" s="83"/>
      <c r="U302" s="87">
        <f t="shared" si="48"/>
        <v>0</v>
      </c>
      <c r="V302" s="84"/>
      <c r="W302" s="84"/>
      <c r="X302" s="84"/>
      <c r="Y302" s="84"/>
      <c r="Z302" s="85"/>
      <c r="AA302" s="84"/>
      <c r="AB302" s="85"/>
      <c r="AC302" s="85"/>
      <c r="AD302" s="85"/>
      <c r="AE302" s="84"/>
      <c r="AF302" s="84"/>
      <c r="AG302" s="110"/>
      <c r="AH302" s="110"/>
      <c r="AI302" s="84"/>
    </row>
    <row r="303" spans="1:35" ht="12.75">
      <c r="A303" s="155"/>
      <c r="B303" s="155"/>
      <c r="C303" s="155"/>
      <c r="D303" s="157" t="s">
        <v>453</v>
      </c>
      <c r="E303" s="157" t="s">
        <v>59</v>
      </c>
      <c r="F303" s="157" t="s">
        <v>454</v>
      </c>
      <c r="G303" s="158"/>
      <c r="H303" s="5" t="s">
        <v>49</v>
      </c>
      <c r="I303" s="17"/>
      <c r="J303" s="9"/>
      <c r="K303" s="9"/>
      <c r="L303" s="11" t="b">
        <v>0</v>
      </c>
      <c r="M303" s="11" t="b">
        <v>0</v>
      </c>
      <c r="N303" s="7"/>
      <c r="O303" s="7"/>
      <c r="P303" s="8">
        <f t="shared" si="47"/>
        <v>0</v>
      </c>
      <c r="Q303" s="7"/>
      <c r="R303" s="9"/>
      <c r="S303" s="7"/>
      <c r="T303" s="7"/>
      <c r="U303" s="8">
        <f t="shared" si="48"/>
        <v>0</v>
      </c>
      <c r="V303" s="9"/>
      <c r="W303" s="9"/>
      <c r="X303" s="18"/>
      <c r="Y303" s="18"/>
      <c r="Z303" s="19"/>
      <c r="AA303" s="18"/>
      <c r="AB303" s="19"/>
      <c r="AC303" s="19"/>
      <c r="AD303" s="19"/>
      <c r="AE303" s="9"/>
      <c r="AF303" s="9"/>
      <c r="AG303" s="26"/>
      <c r="AH303" s="26"/>
      <c r="AI303" s="89"/>
    </row>
    <row r="304" spans="1:35" ht="12.75">
      <c r="A304" s="155"/>
      <c r="B304" s="155"/>
      <c r="C304" s="155"/>
      <c r="D304" s="155"/>
      <c r="E304" s="155"/>
      <c r="F304" s="155"/>
      <c r="G304" s="155"/>
      <c r="H304" s="5" t="s">
        <v>58</v>
      </c>
      <c r="I304" s="22"/>
      <c r="J304" s="9"/>
      <c r="K304" s="9"/>
      <c r="L304" s="11" t="b">
        <v>0</v>
      </c>
      <c r="M304" s="11" t="b">
        <v>0</v>
      </c>
      <c r="N304" s="7"/>
      <c r="O304" s="7"/>
      <c r="P304" s="8">
        <f t="shared" si="47"/>
        <v>0</v>
      </c>
      <c r="Q304" s="7"/>
      <c r="R304" s="9"/>
      <c r="S304" s="7"/>
      <c r="T304" s="7"/>
      <c r="U304" s="8">
        <f t="shared" si="48"/>
        <v>0</v>
      </c>
      <c r="V304" s="9"/>
      <c r="W304" s="9"/>
      <c r="X304" s="18"/>
      <c r="Y304" s="18"/>
      <c r="Z304" s="19"/>
      <c r="AA304" s="18"/>
      <c r="AB304" s="19"/>
      <c r="AC304" s="19"/>
      <c r="AD304" s="19"/>
      <c r="AE304" s="9"/>
      <c r="AF304" s="9"/>
      <c r="AG304" s="26"/>
      <c r="AH304" s="26"/>
      <c r="AI304" s="9"/>
    </row>
    <row r="305" spans="1:35" ht="15">
      <c r="A305" s="113"/>
      <c r="B305" s="113"/>
      <c r="C305" s="113"/>
      <c r="D305" s="159" t="s">
        <v>455</v>
      </c>
      <c r="E305" s="159" t="s">
        <v>456</v>
      </c>
      <c r="F305" s="163" t="s">
        <v>457</v>
      </c>
      <c r="G305" s="165"/>
      <c r="H305" s="91" t="s">
        <v>458</v>
      </c>
      <c r="I305" s="92"/>
      <c r="J305" s="93"/>
      <c r="K305" s="93"/>
      <c r="L305" s="94" t="b">
        <v>0</v>
      </c>
      <c r="M305" s="94" t="b">
        <v>0</v>
      </c>
      <c r="N305" s="95"/>
      <c r="O305" s="95"/>
      <c r="P305" s="96">
        <f t="shared" si="47"/>
        <v>0</v>
      </c>
      <c r="Q305" s="95"/>
      <c r="R305" s="93"/>
      <c r="S305" s="95"/>
      <c r="T305" s="95"/>
      <c r="U305" s="96">
        <f t="shared" si="48"/>
        <v>0</v>
      </c>
      <c r="V305" s="93"/>
      <c r="W305" s="93"/>
      <c r="X305" s="97"/>
      <c r="Y305" s="97"/>
      <c r="Z305" s="98"/>
      <c r="AA305" s="97"/>
      <c r="AB305" s="98"/>
      <c r="AC305" s="98"/>
      <c r="AD305" s="98"/>
      <c r="AE305" s="93"/>
      <c r="AF305" s="93"/>
      <c r="AG305" s="99"/>
      <c r="AH305" s="99"/>
      <c r="AI305" s="93"/>
    </row>
    <row r="306" spans="1:35" ht="15">
      <c r="A306" s="113"/>
      <c r="B306" s="113"/>
      <c r="C306" s="113"/>
      <c r="D306" s="155"/>
      <c r="E306" s="155"/>
      <c r="F306" s="155"/>
      <c r="G306" s="155"/>
      <c r="H306" s="91" t="s">
        <v>58</v>
      </c>
      <c r="I306" s="92"/>
      <c r="J306" s="93"/>
      <c r="K306" s="93"/>
      <c r="L306" s="94" t="b">
        <v>0</v>
      </c>
      <c r="M306" s="94" t="b">
        <v>0</v>
      </c>
      <c r="N306" s="95"/>
      <c r="O306" s="95"/>
      <c r="P306" s="96">
        <f t="shared" si="47"/>
        <v>0</v>
      </c>
      <c r="Q306" s="95"/>
      <c r="R306" s="93"/>
      <c r="S306" s="95"/>
      <c r="T306" s="95"/>
      <c r="U306" s="96">
        <f t="shared" si="48"/>
        <v>0</v>
      </c>
      <c r="V306" s="93"/>
      <c r="W306" s="93"/>
      <c r="X306" s="97"/>
      <c r="Y306" s="97"/>
      <c r="Z306" s="98"/>
      <c r="AA306" s="97"/>
      <c r="AB306" s="98"/>
      <c r="AC306" s="98"/>
      <c r="AD306" s="98"/>
      <c r="AE306" s="93"/>
      <c r="AF306" s="93"/>
      <c r="AG306" s="99"/>
      <c r="AH306" s="99"/>
      <c r="AI306" s="100"/>
    </row>
    <row r="307" spans="1:35" ht="15">
      <c r="A307" s="113"/>
      <c r="B307" s="113"/>
      <c r="C307" s="113"/>
      <c r="D307" s="159" t="s">
        <v>455</v>
      </c>
      <c r="E307" s="166" t="s">
        <v>459</v>
      </c>
      <c r="F307" s="163" t="s">
        <v>457</v>
      </c>
      <c r="G307" s="165"/>
      <c r="H307" s="91" t="s">
        <v>458</v>
      </c>
      <c r="I307" s="92"/>
      <c r="J307" s="93"/>
      <c r="K307" s="93"/>
      <c r="L307" s="94" t="b">
        <v>0</v>
      </c>
      <c r="M307" s="94" t="b">
        <v>0</v>
      </c>
      <c r="N307" s="95"/>
      <c r="O307" s="95"/>
      <c r="P307" s="96">
        <f t="shared" si="47"/>
        <v>0</v>
      </c>
      <c r="Q307" s="95"/>
      <c r="R307" s="93"/>
      <c r="S307" s="95"/>
      <c r="T307" s="95"/>
      <c r="U307" s="96">
        <f t="shared" si="48"/>
        <v>0</v>
      </c>
      <c r="V307" s="93"/>
      <c r="W307" s="93"/>
      <c r="X307" s="93"/>
      <c r="Y307" s="93"/>
      <c r="Z307" s="91"/>
      <c r="AA307" s="93"/>
      <c r="AB307" s="91"/>
      <c r="AC307" s="91"/>
      <c r="AD307" s="91"/>
      <c r="AE307" s="93"/>
      <c r="AF307" s="93"/>
      <c r="AG307" s="99"/>
      <c r="AH307" s="99"/>
      <c r="AI307" s="101"/>
    </row>
    <row r="308" spans="1:35" ht="12.75">
      <c r="A308" s="113"/>
      <c r="B308" s="113"/>
      <c r="C308" s="113"/>
      <c r="D308" s="155"/>
      <c r="E308" s="155"/>
      <c r="F308" s="155"/>
      <c r="G308" s="155"/>
      <c r="H308" s="91" t="s">
        <v>58</v>
      </c>
      <c r="I308" s="102"/>
      <c r="J308" s="93"/>
      <c r="K308" s="93"/>
      <c r="L308" s="94" t="b">
        <v>0</v>
      </c>
      <c r="M308" s="94" t="b">
        <v>0</v>
      </c>
      <c r="N308" s="95"/>
      <c r="O308" s="95"/>
      <c r="P308" s="96">
        <f t="shared" si="47"/>
        <v>0</v>
      </c>
      <c r="Q308" s="95"/>
      <c r="R308" s="93"/>
      <c r="S308" s="95"/>
      <c r="T308" s="95"/>
      <c r="U308" s="96">
        <f t="shared" si="48"/>
        <v>0</v>
      </c>
      <c r="V308" s="93"/>
      <c r="W308" s="93"/>
      <c r="X308" s="93"/>
      <c r="Y308" s="93"/>
      <c r="Z308" s="91"/>
      <c r="AA308" s="93"/>
      <c r="AB308" s="91"/>
      <c r="AC308" s="91"/>
      <c r="AD308" s="91"/>
      <c r="AE308" s="93"/>
      <c r="AF308" s="93"/>
      <c r="AG308" s="99"/>
      <c r="AH308" s="99"/>
      <c r="AI308" s="99"/>
    </row>
    <row r="309" spans="1:35" ht="15">
      <c r="A309" s="113"/>
      <c r="B309" s="113"/>
      <c r="C309" s="113"/>
      <c r="D309" s="159" t="s">
        <v>460</v>
      </c>
      <c r="E309" s="163" t="s">
        <v>461</v>
      </c>
      <c r="F309" s="159" t="s">
        <v>462</v>
      </c>
      <c r="G309" s="165"/>
      <c r="H309" s="91" t="s">
        <v>49</v>
      </c>
      <c r="I309" s="103"/>
      <c r="J309" s="93"/>
      <c r="K309" s="93"/>
      <c r="L309" s="94" t="b">
        <v>0</v>
      </c>
      <c r="M309" s="94" t="b">
        <v>0</v>
      </c>
      <c r="N309" s="95"/>
      <c r="O309" s="95"/>
      <c r="P309" s="96">
        <f t="shared" si="47"/>
        <v>0</v>
      </c>
      <c r="Q309" s="95"/>
      <c r="R309" s="93"/>
      <c r="S309" s="95"/>
      <c r="T309" s="95"/>
      <c r="U309" s="96">
        <f t="shared" si="48"/>
        <v>0</v>
      </c>
      <c r="V309" s="93"/>
      <c r="W309" s="93"/>
      <c r="X309" s="93"/>
      <c r="Y309" s="93"/>
      <c r="Z309" s="91"/>
      <c r="AA309" s="93"/>
      <c r="AB309" s="91"/>
      <c r="AC309" s="91"/>
      <c r="AD309" s="91"/>
      <c r="AE309" s="93"/>
      <c r="AF309" s="93"/>
      <c r="AG309" s="99"/>
      <c r="AH309" s="99"/>
      <c r="AI309" s="101"/>
    </row>
    <row r="310" spans="1:35" ht="15">
      <c r="A310" s="113"/>
      <c r="B310" s="113"/>
      <c r="C310" s="113"/>
      <c r="D310" s="155"/>
      <c r="E310" s="155"/>
      <c r="F310" s="155"/>
      <c r="G310" s="155"/>
      <c r="H310" s="91" t="s">
        <v>58</v>
      </c>
      <c r="I310" s="103"/>
      <c r="J310" s="93"/>
      <c r="K310" s="93"/>
      <c r="L310" s="94" t="b">
        <v>0</v>
      </c>
      <c r="M310" s="94" t="b">
        <v>0</v>
      </c>
      <c r="N310" s="95"/>
      <c r="O310" s="95"/>
      <c r="P310" s="96">
        <f t="shared" si="47"/>
        <v>0</v>
      </c>
      <c r="Q310" s="95"/>
      <c r="R310" s="93"/>
      <c r="S310" s="95"/>
      <c r="T310" s="95"/>
      <c r="U310" s="96">
        <f t="shared" si="48"/>
        <v>0</v>
      </c>
      <c r="V310" s="93"/>
      <c r="W310" s="93"/>
      <c r="X310" s="97"/>
      <c r="Y310" s="97"/>
      <c r="Z310" s="98"/>
      <c r="AA310" s="97"/>
      <c r="AB310" s="98"/>
      <c r="AC310" s="98"/>
      <c r="AD310" s="98"/>
      <c r="AE310" s="93"/>
      <c r="AF310" s="93"/>
      <c r="AG310" s="99"/>
      <c r="AH310" s="99"/>
      <c r="AI310" s="101"/>
    </row>
    <row r="311" spans="1:35" ht="15">
      <c r="A311" s="113"/>
      <c r="B311" s="113"/>
      <c r="C311" s="113"/>
      <c r="D311" s="159" t="s">
        <v>453</v>
      </c>
      <c r="E311" s="159" t="s">
        <v>463</v>
      </c>
      <c r="F311" s="159" t="s">
        <v>464</v>
      </c>
      <c r="G311" s="165"/>
      <c r="H311" s="91" t="s">
        <v>465</v>
      </c>
      <c r="I311" s="103"/>
      <c r="J311" s="93"/>
      <c r="K311" s="93"/>
      <c r="L311" s="94" t="b">
        <v>0</v>
      </c>
      <c r="M311" s="94" t="b">
        <v>0</v>
      </c>
      <c r="N311" s="95"/>
      <c r="O311" s="95"/>
      <c r="P311" s="96">
        <f t="shared" si="47"/>
        <v>0</v>
      </c>
      <c r="Q311" s="95"/>
      <c r="R311" s="93"/>
      <c r="S311" s="95"/>
      <c r="T311" s="95"/>
      <c r="U311" s="96">
        <f t="shared" si="48"/>
        <v>0</v>
      </c>
      <c r="V311" s="93"/>
      <c r="W311" s="93"/>
      <c r="X311" s="97"/>
      <c r="Y311" s="97"/>
      <c r="Z311" s="98"/>
      <c r="AA311" s="97"/>
      <c r="AB311" s="98"/>
      <c r="AC311" s="98"/>
      <c r="AD311" s="98"/>
      <c r="AE311" s="93"/>
      <c r="AF311" s="93"/>
      <c r="AG311" s="99"/>
      <c r="AH311" s="99"/>
      <c r="AI311" s="101"/>
    </row>
    <row r="312" spans="1:35" ht="15">
      <c r="A312" s="113"/>
      <c r="B312" s="113"/>
      <c r="C312" s="113"/>
      <c r="D312" s="155"/>
      <c r="E312" s="155"/>
      <c r="F312" s="155"/>
      <c r="G312" s="155"/>
      <c r="H312" s="91" t="s">
        <v>58</v>
      </c>
      <c r="I312" s="103"/>
      <c r="J312" s="93"/>
      <c r="K312" s="93"/>
      <c r="L312" s="94" t="b">
        <v>0</v>
      </c>
      <c r="M312" s="94" t="b">
        <v>0</v>
      </c>
      <c r="N312" s="95"/>
      <c r="O312" s="95"/>
      <c r="P312" s="96">
        <f t="shared" si="47"/>
        <v>0</v>
      </c>
      <c r="Q312" s="95"/>
      <c r="R312" s="93"/>
      <c r="S312" s="95"/>
      <c r="T312" s="95"/>
      <c r="U312" s="96">
        <f t="shared" si="48"/>
        <v>0</v>
      </c>
      <c r="V312" s="93"/>
      <c r="W312" s="93"/>
      <c r="X312" s="97"/>
      <c r="Y312" s="97"/>
      <c r="Z312" s="98"/>
      <c r="AA312" s="97"/>
      <c r="AB312" s="98"/>
      <c r="AC312" s="98"/>
      <c r="AD312" s="98"/>
      <c r="AE312" s="93"/>
      <c r="AF312" s="93"/>
      <c r="AG312" s="99"/>
      <c r="AH312" s="99"/>
      <c r="AI312" s="101"/>
    </row>
    <row r="313" spans="1:35" ht="12.75">
      <c r="A313" s="114"/>
      <c r="B313" s="114"/>
      <c r="C313" s="114"/>
      <c r="D313" s="115"/>
      <c r="E313" s="115"/>
      <c r="F313" s="115"/>
      <c r="G313" s="116"/>
      <c r="H313" s="115"/>
      <c r="I313" s="117"/>
      <c r="J313" s="116"/>
      <c r="K313" s="116"/>
      <c r="L313" s="116"/>
      <c r="M313" s="116"/>
      <c r="N313" s="118"/>
      <c r="O313" s="118"/>
      <c r="P313" s="119"/>
      <c r="Q313" s="118"/>
      <c r="R313" s="116"/>
      <c r="S313" s="118"/>
      <c r="T313" s="118"/>
      <c r="U313" s="119"/>
      <c r="V313" s="116"/>
      <c r="W313" s="116"/>
      <c r="X313" s="116"/>
      <c r="Y313" s="116"/>
      <c r="Z313" s="115"/>
      <c r="AA313" s="116"/>
      <c r="AB313" s="115"/>
      <c r="AC313" s="115"/>
      <c r="AD313" s="115"/>
      <c r="AE313" s="116"/>
      <c r="AF313" s="116"/>
      <c r="AG313" s="116"/>
      <c r="AH313" s="116"/>
      <c r="AI313" s="116"/>
    </row>
    <row r="314" spans="1:35" ht="12.75">
      <c r="A314" s="161" t="s">
        <v>288</v>
      </c>
      <c r="B314" s="162" t="s">
        <v>178</v>
      </c>
      <c r="C314" s="161" t="s">
        <v>288</v>
      </c>
      <c r="D314" s="162" t="s">
        <v>453</v>
      </c>
      <c r="E314" s="160" t="s">
        <v>47</v>
      </c>
      <c r="F314" s="162" t="s">
        <v>454</v>
      </c>
      <c r="G314" s="164"/>
      <c r="H314" s="77" t="s">
        <v>49</v>
      </c>
      <c r="I314" s="108"/>
      <c r="J314" s="78"/>
      <c r="K314" s="78"/>
      <c r="L314" s="79" t="b">
        <v>0</v>
      </c>
      <c r="M314" s="79" t="b">
        <v>0</v>
      </c>
      <c r="N314" s="81"/>
      <c r="O314" s="81"/>
      <c r="P314" s="80">
        <f t="shared" ref="P314:P325" si="49">N314+O314</f>
        <v>0</v>
      </c>
      <c r="Q314" s="81"/>
      <c r="R314" s="78"/>
      <c r="S314" s="81"/>
      <c r="T314" s="81"/>
      <c r="U314" s="80">
        <f t="shared" ref="U314:U325" si="50">S314+T314</f>
        <v>0</v>
      </c>
      <c r="V314" s="78"/>
      <c r="W314" s="78"/>
      <c r="X314" s="78"/>
      <c r="Y314" s="78"/>
      <c r="Z314" s="77"/>
      <c r="AA314" s="78"/>
      <c r="AB314" s="77"/>
      <c r="AC314" s="77"/>
      <c r="AD314" s="77"/>
      <c r="AE314" s="78"/>
      <c r="AF314" s="78"/>
      <c r="AG314" s="109"/>
      <c r="AH314" s="109"/>
      <c r="AI314" s="78"/>
    </row>
    <row r="315" spans="1:35" ht="12.75">
      <c r="A315" s="155"/>
      <c r="B315" s="155"/>
      <c r="C315" s="155"/>
      <c r="D315" s="155"/>
      <c r="E315" s="155"/>
      <c r="F315" s="155"/>
      <c r="G315" s="155"/>
      <c r="H315" s="85" t="s">
        <v>58</v>
      </c>
      <c r="I315" s="112"/>
      <c r="J315" s="84"/>
      <c r="K315" s="84"/>
      <c r="L315" s="86" t="b">
        <v>0</v>
      </c>
      <c r="M315" s="86" t="b">
        <v>0</v>
      </c>
      <c r="N315" s="83"/>
      <c r="O315" s="83"/>
      <c r="P315" s="87">
        <f t="shared" si="49"/>
        <v>0</v>
      </c>
      <c r="Q315" s="83"/>
      <c r="R315" s="84"/>
      <c r="S315" s="83"/>
      <c r="T315" s="83"/>
      <c r="U315" s="87">
        <f t="shared" si="50"/>
        <v>0</v>
      </c>
      <c r="V315" s="84"/>
      <c r="W315" s="84"/>
      <c r="X315" s="84"/>
      <c r="Y315" s="84"/>
      <c r="Z315" s="85"/>
      <c r="AA315" s="84"/>
      <c r="AB315" s="85"/>
      <c r="AC315" s="85"/>
      <c r="AD315" s="85"/>
      <c r="AE315" s="84"/>
      <c r="AF315" s="84"/>
      <c r="AG315" s="110"/>
      <c r="AH315" s="110"/>
      <c r="AI315" s="84"/>
    </row>
    <row r="316" spans="1:35" ht="12.75">
      <c r="A316" s="155"/>
      <c r="B316" s="155"/>
      <c r="C316" s="155"/>
      <c r="D316" s="157" t="s">
        <v>453</v>
      </c>
      <c r="E316" s="157" t="s">
        <v>59</v>
      </c>
      <c r="F316" s="157" t="s">
        <v>454</v>
      </c>
      <c r="G316" s="158"/>
      <c r="H316" s="5" t="s">
        <v>49</v>
      </c>
      <c r="I316" s="17"/>
      <c r="J316" s="9"/>
      <c r="K316" s="9"/>
      <c r="L316" s="11" t="b">
        <v>0</v>
      </c>
      <c r="M316" s="11" t="b">
        <v>0</v>
      </c>
      <c r="N316" s="7"/>
      <c r="O316" s="7"/>
      <c r="P316" s="8">
        <f t="shared" si="49"/>
        <v>0</v>
      </c>
      <c r="Q316" s="7"/>
      <c r="R316" s="9"/>
      <c r="S316" s="7"/>
      <c r="T316" s="7"/>
      <c r="U316" s="8">
        <f t="shared" si="50"/>
        <v>0</v>
      </c>
      <c r="V316" s="9"/>
      <c r="W316" s="9"/>
      <c r="X316" s="18"/>
      <c r="Y316" s="18"/>
      <c r="Z316" s="19"/>
      <c r="AA316" s="18"/>
      <c r="AB316" s="19"/>
      <c r="AC316" s="19"/>
      <c r="AD316" s="19"/>
      <c r="AE316" s="9"/>
      <c r="AF316" s="9"/>
      <c r="AG316" s="26"/>
      <c r="AH316" s="26"/>
      <c r="AI316" s="89"/>
    </row>
    <row r="317" spans="1:35" ht="12.75">
      <c r="A317" s="155"/>
      <c r="B317" s="155"/>
      <c r="C317" s="155"/>
      <c r="D317" s="155"/>
      <c r="E317" s="155"/>
      <c r="F317" s="155"/>
      <c r="G317" s="155"/>
      <c r="H317" s="5" t="s">
        <v>58</v>
      </c>
      <c r="I317" s="22"/>
      <c r="J317" s="9"/>
      <c r="K317" s="9"/>
      <c r="L317" s="11" t="b">
        <v>0</v>
      </c>
      <c r="M317" s="11" t="b">
        <v>0</v>
      </c>
      <c r="N317" s="7"/>
      <c r="O317" s="7"/>
      <c r="P317" s="8">
        <f t="shared" si="49"/>
        <v>0</v>
      </c>
      <c r="Q317" s="7"/>
      <c r="R317" s="9"/>
      <c r="S317" s="7"/>
      <c r="T317" s="7"/>
      <c r="U317" s="8">
        <f t="shared" si="50"/>
        <v>0</v>
      </c>
      <c r="V317" s="9"/>
      <c r="W317" s="9"/>
      <c r="X317" s="18"/>
      <c r="Y317" s="18"/>
      <c r="Z317" s="19"/>
      <c r="AA317" s="18"/>
      <c r="AB317" s="19"/>
      <c r="AC317" s="19"/>
      <c r="AD317" s="19"/>
      <c r="AE317" s="9"/>
      <c r="AF317" s="9"/>
      <c r="AG317" s="26"/>
      <c r="AH317" s="26"/>
      <c r="AI317" s="9"/>
    </row>
    <row r="318" spans="1:35" ht="15">
      <c r="A318" s="113"/>
      <c r="B318" s="113"/>
      <c r="C318" s="113"/>
      <c r="D318" s="159" t="s">
        <v>455</v>
      </c>
      <c r="E318" s="159" t="s">
        <v>456</v>
      </c>
      <c r="F318" s="163" t="s">
        <v>457</v>
      </c>
      <c r="G318" s="165"/>
      <c r="H318" s="91" t="s">
        <v>458</v>
      </c>
      <c r="I318" s="92"/>
      <c r="J318" s="93"/>
      <c r="K318" s="93"/>
      <c r="L318" s="94" t="b">
        <v>0</v>
      </c>
      <c r="M318" s="94" t="b">
        <v>0</v>
      </c>
      <c r="N318" s="95"/>
      <c r="O318" s="95"/>
      <c r="P318" s="96">
        <f t="shared" si="49"/>
        <v>0</v>
      </c>
      <c r="Q318" s="95"/>
      <c r="R318" s="93"/>
      <c r="S318" s="95"/>
      <c r="T318" s="95"/>
      <c r="U318" s="96">
        <f t="shared" si="50"/>
        <v>0</v>
      </c>
      <c r="V318" s="93"/>
      <c r="W318" s="93"/>
      <c r="X318" s="97"/>
      <c r="Y318" s="97"/>
      <c r="Z318" s="98"/>
      <c r="AA318" s="97"/>
      <c r="AB318" s="98"/>
      <c r="AC318" s="98"/>
      <c r="AD318" s="98"/>
      <c r="AE318" s="93"/>
      <c r="AF318" s="93"/>
      <c r="AG318" s="99"/>
      <c r="AH318" s="99"/>
      <c r="AI318" s="93"/>
    </row>
    <row r="319" spans="1:35" ht="15">
      <c r="A319" s="113"/>
      <c r="B319" s="113"/>
      <c r="C319" s="113"/>
      <c r="D319" s="155"/>
      <c r="E319" s="155"/>
      <c r="F319" s="155"/>
      <c r="G319" s="155"/>
      <c r="H319" s="91" t="s">
        <v>58</v>
      </c>
      <c r="I319" s="92"/>
      <c r="J319" s="93"/>
      <c r="K319" s="93"/>
      <c r="L319" s="94" t="b">
        <v>0</v>
      </c>
      <c r="M319" s="94" t="b">
        <v>0</v>
      </c>
      <c r="N319" s="95"/>
      <c r="O319" s="95"/>
      <c r="P319" s="96">
        <f t="shared" si="49"/>
        <v>0</v>
      </c>
      <c r="Q319" s="95"/>
      <c r="R319" s="93"/>
      <c r="S319" s="95"/>
      <c r="T319" s="95"/>
      <c r="U319" s="96">
        <f t="shared" si="50"/>
        <v>0</v>
      </c>
      <c r="V319" s="93"/>
      <c r="W319" s="93"/>
      <c r="X319" s="97"/>
      <c r="Y319" s="97"/>
      <c r="Z319" s="98"/>
      <c r="AA319" s="97"/>
      <c r="AB319" s="98"/>
      <c r="AC319" s="98"/>
      <c r="AD319" s="98"/>
      <c r="AE319" s="93"/>
      <c r="AF319" s="93"/>
      <c r="AG319" s="99"/>
      <c r="AH319" s="99"/>
      <c r="AI319" s="100"/>
    </row>
    <row r="320" spans="1:35" ht="15">
      <c r="A320" s="113"/>
      <c r="B320" s="113"/>
      <c r="C320" s="113"/>
      <c r="D320" s="159" t="s">
        <v>455</v>
      </c>
      <c r="E320" s="166" t="s">
        <v>459</v>
      </c>
      <c r="F320" s="163" t="s">
        <v>457</v>
      </c>
      <c r="G320" s="165"/>
      <c r="H320" s="91" t="s">
        <v>458</v>
      </c>
      <c r="I320" s="92"/>
      <c r="J320" s="93"/>
      <c r="K320" s="93"/>
      <c r="L320" s="94" t="b">
        <v>0</v>
      </c>
      <c r="M320" s="94" t="b">
        <v>0</v>
      </c>
      <c r="N320" s="95"/>
      <c r="O320" s="95"/>
      <c r="P320" s="96">
        <f t="shared" si="49"/>
        <v>0</v>
      </c>
      <c r="Q320" s="95"/>
      <c r="R320" s="93"/>
      <c r="S320" s="95"/>
      <c r="T320" s="95"/>
      <c r="U320" s="96">
        <f t="shared" si="50"/>
        <v>0</v>
      </c>
      <c r="V320" s="93"/>
      <c r="W320" s="93"/>
      <c r="X320" s="93"/>
      <c r="Y320" s="93"/>
      <c r="Z320" s="91"/>
      <c r="AA320" s="93"/>
      <c r="AB320" s="91"/>
      <c r="AC320" s="91"/>
      <c r="AD320" s="91"/>
      <c r="AE320" s="93"/>
      <c r="AF320" s="93"/>
      <c r="AG320" s="99"/>
      <c r="AH320" s="99"/>
      <c r="AI320" s="101"/>
    </row>
    <row r="321" spans="1:35" ht="12.75">
      <c r="A321" s="113"/>
      <c r="B321" s="113"/>
      <c r="C321" s="113"/>
      <c r="D321" s="155"/>
      <c r="E321" s="155"/>
      <c r="F321" s="155"/>
      <c r="G321" s="155"/>
      <c r="H321" s="91" t="s">
        <v>58</v>
      </c>
      <c r="I321" s="102"/>
      <c r="J321" s="93"/>
      <c r="K321" s="93"/>
      <c r="L321" s="94" t="b">
        <v>0</v>
      </c>
      <c r="M321" s="94" t="b">
        <v>0</v>
      </c>
      <c r="N321" s="95"/>
      <c r="O321" s="95"/>
      <c r="P321" s="96">
        <f t="shared" si="49"/>
        <v>0</v>
      </c>
      <c r="Q321" s="95"/>
      <c r="R321" s="93"/>
      <c r="S321" s="95"/>
      <c r="T321" s="95"/>
      <c r="U321" s="96">
        <f t="shared" si="50"/>
        <v>0</v>
      </c>
      <c r="V321" s="93"/>
      <c r="W321" s="93"/>
      <c r="X321" s="93"/>
      <c r="Y321" s="93"/>
      <c r="Z321" s="91"/>
      <c r="AA321" s="93"/>
      <c r="AB321" s="91"/>
      <c r="AC321" s="91"/>
      <c r="AD321" s="91"/>
      <c r="AE321" s="93"/>
      <c r="AF321" s="93"/>
      <c r="AG321" s="99"/>
      <c r="AH321" s="99"/>
      <c r="AI321" s="99"/>
    </row>
    <row r="322" spans="1:35" ht="15">
      <c r="A322" s="113"/>
      <c r="B322" s="113"/>
      <c r="C322" s="113"/>
      <c r="D322" s="159" t="s">
        <v>460</v>
      </c>
      <c r="E322" s="163" t="s">
        <v>461</v>
      </c>
      <c r="F322" s="159" t="s">
        <v>462</v>
      </c>
      <c r="G322" s="165"/>
      <c r="H322" s="91" t="s">
        <v>49</v>
      </c>
      <c r="I322" s="103"/>
      <c r="J322" s="93"/>
      <c r="K322" s="93"/>
      <c r="L322" s="94" t="b">
        <v>0</v>
      </c>
      <c r="M322" s="94" t="b">
        <v>0</v>
      </c>
      <c r="N322" s="95"/>
      <c r="O322" s="95"/>
      <c r="P322" s="96">
        <f t="shared" si="49"/>
        <v>0</v>
      </c>
      <c r="Q322" s="95"/>
      <c r="R322" s="93"/>
      <c r="S322" s="95"/>
      <c r="T322" s="95"/>
      <c r="U322" s="96">
        <f t="shared" si="50"/>
        <v>0</v>
      </c>
      <c r="V322" s="93"/>
      <c r="W322" s="93"/>
      <c r="X322" s="93"/>
      <c r="Y322" s="93"/>
      <c r="Z322" s="91"/>
      <c r="AA322" s="93"/>
      <c r="AB322" s="91"/>
      <c r="AC322" s="91"/>
      <c r="AD322" s="91"/>
      <c r="AE322" s="93"/>
      <c r="AF322" s="93"/>
      <c r="AG322" s="99"/>
      <c r="AH322" s="99"/>
      <c r="AI322" s="101"/>
    </row>
    <row r="323" spans="1:35" ht="15">
      <c r="A323" s="113"/>
      <c r="B323" s="113"/>
      <c r="C323" s="113"/>
      <c r="D323" s="155"/>
      <c r="E323" s="155"/>
      <c r="F323" s="155"/>
      <c r="G323" s="155"/>
      <c r="H323" s="91" t="s">
        <v>58</v>
      </c>
      <c r="I323" s="103"/>
      <c r="J323" s="93"/>
      <c r="K323" s="93"/>
      <c r="L323" s="94" t="b">
        <v>0</v>
      </c>
      <c r="M323" s="94" t="b">
        <v>0</v>
      </c>
      <c r="N323" s="95"/>
      <c r="O323" s="95"/>
      <c r="P323" s="96">
        <f t="shared" si="49"/>
        <v>0</v>
      </c>
      <c r="Q323" s="95"/>
      <c r="R323" s="93"/>
      <c r="S323" s="95"/>
      <c r="T323" s="95"/>
      <c r="U323" s="96">
        <f t="shared" si="50"/>
        <v>0</v>
      </c>
      <c r="V323" s="93"/>
      <c r="W323" s="93"/>
      <c r="X323" s="97"/>
      <c r="Y323" s="97"/>
      <c r="Z323" s="98"/>
      <c r="AA323" s="97"/>
      <c r="AB323" s="98"/>
      <c r="AC323" s="98"/>
      <c r="AD323" s="98"/>
      <c r="AE323" s="93"/>
      <c r="AF323" s="93"/>
      <c r="AG323" s="99"/>
      <c r="AH323" s="99"/>
      <c r="AI323" s="101"/>
    </row>
    <row r="324" spans="1:35" ht="15">
      <c r="A324" s="113"/>
      <c r="B324" s="113"/>
      <c r="C324" s="113"/>
      <c r="D324" s="159" t="s">
        <v>453</v>
      </c>
      <c r="E324" s="159" t="s">
        <v>463</v>
      </c>
      <c r="F324" s="159" t="s">
        <v>464</v>
      </c>
      <c r="G324" s="165"/>
      <c r="H324" s="91" t="s">
        <v>465</v>
      </c>
      <c r="I324" s="103"/>
      <c r="J324" s="93"/>
      <c r="K324" s="93"/>
      <c r="L324" s="94" t="b">
        <v>0</v>
      </c>
      <c r="M324" s="94" t="b">
        <v>0</v>
      </c>
      <c r="N324" s="95"/>
      <c r="O324" s="95"/>
      <c r="P324" s="96">
        <f t="shared" si="49"/>
        <v>0</v>
      </c>
      <c r="Q324" s="95"/>
      <c r="R324" s="93"/>
      <c r="S324" s="95"/>
      <c r="T324" s="95"/>
      <c r="U324" s="96">
        <f t="shared" si="50"/>
        <v>0</v>
      </c>
      <c r="V324" s="93"/>
      <c r="W324" s="93"/>
      <c r="X324" s="97"/>
      <c r="Y324" s="97"/>
      <c r="Z324" s="98"/>
      <c r="AA324" s="97"/>
      <c r="AB324" s="98"/>
      <c r="AC324" s="98"/>
      <c r="AD324" s="98"/>
      <c r="AE324" s="93"/>
      <c r="AF324" s="93"/>
      <c r="AG324" s="99"/>
      <c r="AH324" s="99"/>
      <c r="AI324" s="101"/>
    </row>
    <row r="325" spans="1:35" ht="15">
      <c r="A325" s="113"/>
      <c r="B325" s="113"/>
      <c r="C325" s="113"/>
      <c r="D325" s="155"/>
      <c r="E325" s="155"/>
      <c r="F325" s="155"/>
      <c r="G325" s="155"/>
      <c r="H325" s="91" t="s">
        <v>58</v>
      </c>
      <c r="I325" s="103"/>
      <c r="J325" s="93"/>
      <c r="K325" s="93"/>
      <c r="L325" s="94" t="b">
        <v>0</v>
      </c>
      <c r="M325" s="94" t="b">
        <v>0</v>
      </c>
      <c r="N325" s="95"/>
      <c r="O325" s="95"/>
      <c r="P325" s="96">
        <f t="shared" si="49"/>
        <v>0</v>
      </c>
      <c r="Q325" s="95"/>
      <c r="R325" s="93"/>
      <c r="S325" s="95"/>
      <c r="T325" s="95"/>
      <c r="U325" s="96">
        <f t="shared" si="50"/>
        <v>0</v>
      </c>
      <c r="V325" s="93"/>
      <c r="W325" s="93"/>
      <c r="X325" s="97"/>
      <c r="Y325" s="97"/>
      <c r="Z325" s="98"/>
      <c r="AA325" s="97"/>
      <c r="AB325" s="98"/>
      <c r="AC325" s="98"/>
      <c r="AD325" s="98"/>
      <c r="AE325" s="93"/>
      <c r="AF325" s="93"/>
      <c r="AG325" s="99"/>
      <c r="AH325" s="99"/>
      <c r="AI325" s="101"/>
    </row>
    <row r="326" spans="1:35" ht="12.75">
      <c r="A326" s="114"/>
      <c r="B326" s="114"/>
      <c r="C326" s="114"/>
      <c r="D326" s="115"/>
      <c r="E326" s="115"/>
      <c r="F326" s="115"/>
      <c r="G326" s="132" t="s">
        <v>300</v>
      </c>
      <c r="H326" s="115"/>
      <c r="I326" s="117"/>
      <c r="J326" s="116"/>
      <c r="K326" s="116"/>
      <c r="L326" s="116"/>
      <c r="M326" s="116"/>
      <c r="N326" s="118"/>
      <c r="O326" s="118"/>
      <c r="P326" s="119"/>
      <c r="Q326" s="118"/>
      <c r="R326" s="116"/>
      <c r="S326" s="118"/>
      <c r="T326" s="118"/>
      <c r="U326" s="119"/>
      <c r="V326" s="116"/>
      <c r="W326" s="116"/>
      <c r="X326" s="116"/>
      <c r="Y326" s="116"/>
      <c r="Z326" s="115"/>
      <c r="AA326" s="116"/>
      <c r="AB326" s="115"/>
      <c r="AC326" s="115"/>
      <c r="AD326" s="115"/>
      <c r="AE326" s="116"/>
      <c r="AF326" s="116"/>
      <c r="AG326" s="116"/>
      <c r="AH326" s="116"/>
      <c r="AI326" s="116"/>
    </row>
    <row r="327" spans="1:35" ht="12.75">
      <c r="A327" s="161" t="s">
        <v>301</v>
      </c>
      <c r="B327" s="162" t="s">
        <v>178</v>
      </c>
      <c r="C327" s="161" t="s">
        <v>288</v>
      </c>
      <c r="D327" s="162" t="s">
        <v>453</v>
      </c>
      <c r="E327" s="160" t="s">
        <v>47</v>
      </c>
      <c r="F327" s="162" t="s">
        <v>454</v>
      </c>
      <c r="G327" s="164"/>
      <c r="H327" s="77" t="s">
        <v>49</v>
      </c>
      <c r="I327" s="108"/>
      <c r="J327" s="78"/>
      <c r="K327" s="78"/>
      <c r="L327" s="79" t="b">
        <v>0</v>
      </c>
      <c r="M327" s="79" t="b">
        <v>0</v>
      </c>
      <c r="N327" s="81"/>
      <c r="O327" s="81"/>
      <c r="P327" s="80">
        <f t="shared" ref="P327:P338" si="51">N327+O327</f>
        <v>0</v>
      </c>
      <c r="Q327" s="81"/>
      <c r="R327" s="78"/>
      <c r="S327" s="81"/>
      <c r="T327" s="81"/>
      <c r="U327" s="80">
        <f t="shared" ref="U327:U338" si="52">S327+T327</f>
        <v>0</v>
      </c>
      <c r="V327" s="78"/>
      <c r="W327" s="78"/>
      <c r="X327" s="78"/>
      <c r="Y327" s="78"/>
      <c r="Z327" s="77"/>
      <c r="AA327" s="78"/>
      <c r="AB327" s="77"/>
      <c r="AC327" s="77"/>
      <c r="AD327" s="77"/>
      <c r="AE327" s="78"/>
      <c r="AF327" s="78"/>
      <c r="AG327" s="109"/>
      <c r="AH327" s="109"/>
      <c r="AI327" s="78"/>
    </row>
    <row r="328" spans="1:35" ht="12.75">
      <c r="A328" s="155"/>
      <c r="B328" s="155"/>
      <c r="C328" s="155"/>
      <c r="D328" s="155"/>
      <c r="E328" s="155"/>
      <c r="F328" s="155"/>
      <c r="G328" s="155"/>
      <c r="H328" s="85" t="s">
        <v>58</v>
      </c>
      <c r="I328" s="112"/>
      <c r="J328" s="84"/>
      <c r="K328" s="84"/>
      <c r="L328" s="86" t="b">
        <v>0</v>
      </c>
      <c r="M328" s="86" t="b">
        <v>0</v>
      </c>
      <c r="N328" s="83"/>
      <c r="O328" s="83"/>
      <c r="P328" s="87">
        <f t="shared" si="51"/>
        <v>0</v>
      </c>
      <c r="Q328" s="83"/>
      <c r="R328" s="84"/>
      <c r="S328" s="83"/>
      <c r="T328" s="83"/>
      <c r="U328" s="87">
        <f t="shared" si="52"/>
        <v>0</v>
      </c>
      <c r="V328" s="84"/>
      <c r="W328" s="84"/>
      <c r="X328" s="84"/>
      <c r="Y328" s="84"/>
      <c r="Z328" s="85"/>
      <c r="AA328" s="84"/>
      <c r="AB328" s="85"/>
      <c r="AC328" s="85"/>
      <c r="AD328" s="85"/>
      <c r="AE328" s="84"/>
      <c r="AF328" s="84"/>
      <c r="AG328" s="110"/>
      <c r="AH328" s="110"/>
      <c r="AI328" s="84"/>
    </row>
    <row r="329" spans="1:35" ht="12.75">
      <c r="A329" s="155"/>
      <c r="B329" s="155"/>
      <c r="C329" s="155"/>
      <c r="D329" s="157" t="s">
        <v>453</v>
      </c>
      <c r="E329" s="157" t="s">
        <v>59</v>
      </c>
      <c r="F329" s="157" t="s">
        <v>454</v>
      </c>
      <c r="G329" s="158"/>
      <c r="H329" s="5" t="s">
        <v>49</v>
      </c>
      <c r="I329" s="17"/>
      <c r="J329" s="9"/>
      <c r="K329" s="9"/>
      <c r="L329" s="11" t="b">
        <v>0</v>
      </c>
      <c r="M329" s="11" t="b">
        <v>0</v>
      </c>
      <c r="N329" s="7"/>
      <c r="O329" s="7"/>
      <c r="P329" s="8">
        <f t="shared" si="51"/>
        <v>0</v>
      </c>
      <c r="Q329" s="7"/>
      <c r="R329" s="9"/>
      <c r="S329" s="7"/>
      <c r="T329" s="7"/>
      <c r="U329" s="8">
        <f t="shared" si="52"/>
        <v>0</v>
      </c>
      <c r="V329" s="9"/>
      <c r="W329" s="9"/>
      <c r="X329" s="18"/>
      <c r="Y329" s="18"/>
      <c r="Z329" s="19"/>
      <c r="AA329" s="18"/>
      <c r="AB329" s="19"/>
      <c r="AC329" s="19"/>
      <c r="AD329" s="19"/>
      <c r="AE329" s="9"/>
      <c r="AF329" s="9"/>
      <c r="AG329" s="26"/>
      <c r="AH329" s="26"/>
      <c r="AI329" s="89"/>
    </row>
    <row r="330" spans="1:35" ht="12.75">
      <c r="A330" s="155"/>
      <c r="B330" s="155"/>
      <c r="C330" s="155"/>
      <c r="D330" s="155"/>
      <c r="E330" s="155"/>
      <c r="F330" s="155"/>
      <c r="G330" s="155"/>
      <c r="H330" s="5" t="s">
        <v>58</v>
      </c>
      <c r="I330" s="22"/>
      <c r="J330" s="9"/>
      <c r="K330" s="9"/>
      <c r="L330" s="11" t="b">
        <v>0</v>
      </c>
      <c r="M330" s="11" t="b">
        <v>0</v>
      </c>
      <c r="N330" s="7"/>
      <c r="O330" s="7"/>
      <c r="P330" s="8">
        <f t="shared" si="51"/>
        <v>0</v>
      </c>
      <c r="Q330" s="7"/>
      <c r="R330" s="9"/>
      <c r="S330" s="7"/>
      <c r="T330" s="7"/>
      <c r="U330" s="8">
        <f t="shared" si="52"/>
        <v>0</v>
      </c>
      <c r="V330" s="9"/>
      <c r="W330" s="9"/>
      <c r="X330" s="18"/>
      <c r="Y330" s="18"/>
      <c r="Z330" s="19"/>
      <c r="AA330" s="18"/>
      <c r="AB330" s="19"/>
      <c r="AC330" s="19"/>
      <c r="AD330" s="19"/>
      <c r="AE330" s="9"/>
      <c r="AF330" s="9"/>
      <c r="AG330" s="26"/>
      <c r="AH330" s="26"/>
      <c r="AI330" s="9"/>
    </row>
    <row r="331" spans="1:35" ht="15">
      <c r="A331" s="113"/>
      <c r="B331" s="113"/>
      <c r="C331" s="113"/>
      <c r="D331" s="159" t="s">
        <v>455</v>
      </c>
      <c r="E331" s="159" t="s">
        <v>456</v>
      </c>
      <c r="F331" s="163" t="s">
        <v>457</v>
      </c>
      <c r="G331" s="165"/>
      <c r="H331" s="91" t="s">
        <v>458</v>
      </c>
      <c r="I331" s="92"/>
      <c r="J331" s="93"/>
      <c r="K331" s="93"/>
      <c r="L331" s="94" t="b">
        <v>0</v>
      </c>
      <c r="M331" s="94" t="b">
        <v>0</v>
      </c>
      <c r="N331" s="95"/>
      <c r="O331" s="95"/>
      <c r="P331" s="96">
        <f t="shared" si="51"/>
        <v>0</v>
      </c>
      <c r="Q331" s="95"/>
      <c r="R331" s="93"/>
      <c r="S331" s="95"/>
      <c r="T331" s="95"/>
      <c r="U331" s="96">
        <f t="shared" si="52"/>
        <v>0</v>
      </c>
      <c r="V331" s="93"/>
      <c r="W331" s="93"/>
      <c r="X331" s="97"/>
      <c r="Y331" s="97"/>
      <c r="Z331" s="98"/>
      <c r="AA331" s="97"/>
      <c r="AB331" s="98"/>
      <c r="AC331" s="98"/>
      <c r="AD331" s="98"/>
      <c r="AE331" s="93"/>
      <c r="AF331" s="93"/>
      <c r="AG331" s="99"/>
      <c r="AH331" s="99"/>
      <c r="AI331" s="93"/>
    </row>
    <row r="332" spans="1:35" ht="15">
      <c r="A332" s="113"/>
      <c r="B332" s="113"/>
      <c r="C332" s="113"/>
      <c r="D332" s="155"/>
      <c r="E332" s="155"/>
      <c r="F332" s="155"/>
      <c r="G332" s="155"/>
      <c r="H332" s="91" t="s">
        <v>58</v>
      </c>
      <c r="I332" s="92"/>
      <c r="J332" s="93"/>
      <c r="K332" s="93"/>
      <c r="L332" s="94" t="b">
        <v>0</v>
      </c>
      <c r="M332" s="94" t="b">
        <v>0</v>
      </c>
      <c r="N332" s="95"/>
      <c r="O332" s="95"/>
      <c r="P332" s="96">
        <f t="shared" si="51"/>
        <v>0</v>
      </c>
      <c r="Q332" s="95"/>
      <c r="R332" s="93"/>
      <c r="S332" s="95"/>
      <c r="T332" s="95"/>
      <c r="U332" s="96">
        <f t="shared" si="52"/>
        <v>0</v>
      </c>
      <c r="V332" s="93"/>
      <c r="W332" s="93"/>
      <c r="X332" s="97"/>
      <c r="Y332" s="97"/>
      <c r="Z332" s="98"/>
      <c r="AA332" s="97"/>
      <c r="AB332" s="98"/>
      <c r="AC332" s="98"/>
      <c r="AD332" s="98"/>
      <c r="AE332" s="93"/>
      <c r="AF332" s="93"/>
      <c r="AG332" s="99"/>
      <c r="AH332" s="99"/>
      <c r="AI332" s="100"/>
    </row>
    <row r="333" spans="1:35" ht="15">
      <c r="A333" s="113"/>
      <c r="B333" s="113"/>
      <c r="C333" s="113"/>
      <c r="D333" s="159" t="s">
        <v>455</v>
      </c>
      <c r="E333" s="166" t="s">
        <v>459</v>
      </c>
      <c r="F333" s="163" t="s">
        <v>457</v>
      </c>
      <c r="G333" s="165"/>
      <c r="H333" s="91" t="s">
        <v>458</v>
      </c>
      <c r="I333" s="92"/>
      <c r="J333" s="93"/>
      <c r="K333" s="93"/>
      <c r="L333" s="94" t="b">
        <v>0</v>
      </c>
      <c r="M333" s="94" t="b">
        <v>0</v>
      </c>
      <c r="N333" s="95"/>
      <c r="O333" s="95"/>
      <c r="P333" s="96">
        <f t="shared" si="51"/>
        <v>0</v>
      </c>
      <c r="Q333" s="95"/>
      <c r="R333" s="93"/>
      <c r="S333" s="95"/>
      <c r="T333" s="95"/>
      <c r="U333" s="96">
        <f t="shared" si="52"/>
        <v>0</v>
      </c>
      <c r="V333" s="93"/>
      <c r="W333" s="93"/>
      <c r="X333" s="93"/>
      <c r="Y333" s="93"/>
      <c r="Z333" s="91"/>
      <c r="AA333" s="93"/>
      <c r="AB333" s="91"/>
      <c r="AC333" s="91"/>
      <c r="AD333" s="91"/>
      <c r="AE333" s="93"/>
      <c r="AF333" s="93"/>
      <c r="AG333" s="99"/>
      <c r="AH333" s="99"/>
      <c r="AI333" s="101"/>
    </row>
    <row r="334" spans="1:35" ht="12.75">
      <c r="A334" s="113"/>
      <c r="B334" s="113"/>
      <c r="C334" s="113"/>
      <c r="D334" s="155"/>
      <c r="E334" s="155"/>
      <c r="F334" s="155"/>
      <c r="G334" s="155"/>
      <c r="H334" s="91" t="s">
        <v>58</v>
      </c>
      <c r="I334" s="102"/>
      <c r="J334" s="93"/>
      <c r="K334" s="93"/>
      <c r="L334" s="94" t="b">
        <v>0</v>
      </c>
      <c r="M334" s="94" t="b">
        <v>0</v>
      </c>
      <c r="N334" s="95"/>
      <c r="O334" s="95"/>
      <c r="P334" s="96">
        <f t="shared" si="51"/>
        <v>0</v>
      </c>
      <c r="Q334" s="95"/>
      <c r="R334" s="93"/>
      <c r="S334" s="95"/>
      <c r="T334" s="95"/>
      <c r="U334" s="96">
        <f t="shared" si="52"/>
        <v>0</v>
      </c>
      <c r="V334" s="93"/>
      <c r="W334" s="93"/>
      <c r="X334" s="93"/>
      <c r="Y334" s="93"/>
      <c r="Z334" s="91"/>
      <c r="AA334" s="93"/>
      <c r="AB334" s="91"/>
      <c r="AC334" s="91"/>
      <c r="AD334" s="91"/>
      <c r="AE334" s="93"/>
      <c r="AF334" s="93"/>
      <c r="AG334" s="99"/>
      <c r="AH334" s="99"/>
      <c r="AI334" s="99"/>
    </row>
    <row r="335" spans="1:35" ht="15">
      <c r="A335" s="113"/>
      <c r="B335" s="113"/>
      <c r="C335" s="113"/>
      <c r="D335" s="159" t="s">
        <v>460</v>
      </c>
      <c r="E335" s="163" t="s">
        <v>461</v>
      </c>
      <c r="F335" s="159" t="s">
        <v>462</v>
      </c>
      <c r="G335" s="165"/>
      <c r="H335" s="91" t="s">
        <v>49</v>
      </c>
      <c r="I335" s="103"/>
      <c r="J335" s="93"/>
      <c r="K335" s="93"/>
      <c r="L335" s="94" t="b">
        <v>0</v>
      </c>
      <c r="M335" s="94" t="b">
        <v>0</v>
      </c>
      <c r="N335" s="95"/>
      <c r="O335" s="95"/>
      <c r="P335" s="96">
        <f t="shared" si="51"/>
        <v>0</v>
      </c>
      <c r="Q335" s="95"/>
      <c r="R335" s="93"/>
      <c r="S335" s="95"/>
      <c r="T335" s="95"/>
      <c r="U335" s="96">
        <f t="shared" si="52"/>
        <v>0</v>
      </c>
      <c r="V335" s="93"/>
      <c r="W335" s="93"/>
      <c r="X335" s="93"/>
      <c r="Y335" s="93"/>
      <c r="Z335" s="91"/>
      <c r="AA335" s="93"/>
      <c r="AB335" s="91"/>
      <c r="AC335" s="91"/>
      <c r="AD335" s="91"/>
      <c r="AE335" s="93"/>
      <c r="AF335" s="93"/>
      <c r="AG335" s="99"/>
      <c r="AH335" s="99"/>
      <c r="AI335" s="101"/>
    </row>
    <row r="336" spans="1:35" ht="15">
      <c r="A336" s="113"/>
      <c r="B336" s="113"/>
      <c r="C336" s="113"/>
      <c r="D336" s="155"/>
      <c r="E336" s="155"/>
      <c r="F336" s="155"/>
      <c r="G336" s="155"/>
      <c r="H336" s="91" t="s">
        <v>58</v>
      </c>
      <c r="I336" s="103"/>
      <c r="J336" s="93"/>
      <c r="K336" s="93"/>
      <c r="L336" s="94" t="b">
        <v>0</v>
      </c>
      <c r="M336" s="94" t="b">
        <v>0</v>
      </c>
      <c r="N336" s="95"/>
      <c r="O336" s="95"/>
      <c r="P336" s="96">
        <f t="shared" si="51"/>
        <v>0</v>
      </c>
      <c r="Q336" s="95"/>
      <c r="R336" s="93"/>
      <c r="S336" s="95"/>
      <c r="T336" s="95"/>
      <c r="U336" s="96">
        <f t="shared" si="52"/>
        <v>0</v>
      </c>
      <c r="V336" s="93"/>
      <c r="W336" s="93"/>
      <c r="X336" s="97"/>
      <c r="Y336" s="97"/>
      <c r="Z336" s="98"/>
      <c r="AA336" s="97"/>
      <c r="AB336" s="98"/>
      <c r="AC336" s="98"/>
      <c r="AD336" s="98"/>
      <c r="AE336" s="93"/>
      <c r="AF336" s="93"/>
      <c r="AG336" s="99"/>
      <c r="AH336" s="99"/>
      <c r="AI336" s="101"/>
    </row>
    <row r="337" spans="1:35" ht="15">
      <c r="A337" s="113"/>
      <c r="B337" s="113"/>
      <c r="C337" s="113"/>
      <c r="D337" s="159" t="s">
        <v>453</v>
      </c>
      <c r="E337" s="159" t="s">
        <v>463</v>
      </c>
      <c r="F337" s="159" t="s">
        <v>464</v>
      </c>
      <c r="G337" s="165"/>
      <c r="H337" s="91" t="s">
        <v>465</v>
      </c>
      <c r="I337" s="103"/>
      <c r="J337" s="93"/>
      <c r="K337" s="93"/>
      <c r="L337" s="94" t="b">
        <v>0</v>
      </c>
      <c r="M337" s="94" t="b">
        <v>0</v>
      </c>
      <c r="N337" s="95"/>
      <c r="O337" s="95"/>
      <c r="P337" s="96">
        <f t="shared" si="51"/>
        <v>0</v>
      </c>
      <c r="Q337" s="95"/>
      <c r="R337" s="93"/>
      <c r="S337" s="95"/>
      <c r="T337" s="95"/>
      <c r="U337" s="96">
        <f t="shared" si="52"/>
        <v>0</v>
      </c>
      <c r="V337" s="93"/>
      <c r="W337" s="93"/>
      <c r="X337" s="97"/>
      <c r="Y337" s="97"/>
      <c r="Z337" s="98"/>
      <c r="AA337" s="97"/>
      <c r="AB337" s="98"/>
      <c r="AC337" s="98"/>
      <c r="AD337" s="98"/>
      <c r="AE337" s="93"/>
      <c r="AF337" s="93"/>
      <c r="AG337" s="99"/>
      <c r="AH337" s="99"/>
      <c r="AI337" s="101"/>
    </row>
    <row r="338" spans="1:35" ht="15">
      <c r="A338" s="113"/>
      <c r="B338" s="113"/>
      <c r="C338" s="113"/>
      <c r="D338" s="155"/>
      <c r="E338" s="155"/>
      <c r="F338" s="155"/>
      <c r="G338" s="155"/>
      <c r="H338" s="91" t="s">
        <v>58</v>
      </c>
      <c r="I338" s="103"/>
      <c r="J338" s="93"/>
      <c r="K338" s="93"/>
      <c r="L338" s="94" t="b">
        <v>0</v>
      </c>
      <c r="M338" s="94" t="b">
        <v>0</v>
      </c>
      <c r="N338" s="95"/>
      <c r="O338" s="95"/>
      <c r="P338" s="96">
        <f t="shared" si="51"/>
        <v>0</v>
      </c>
      <c r="Q338" s="95"/>
      <c r="R338" s="93"/>
      <c r="S338" s="95"/>
      <c r="T338" s="95"/>
      <c r="U338" s="96">
        <f t="shared" si="52"/>
        <v>0</v>
      </c>
      <c r="V338" s="93"/>
      <c r="W338" s="93"/>
      <c r="X338" s="97"/>
      <c r="Y338" s="97"/>
      <c r="Z338" s="98"/>
      <c r="AA338" s="97"/>
      <c r="AB338" s="98"/>
      <c r="AC338" s="98"/>
      <c r="AD338" s="98"/>
      <c r="AE338" s="93"/>
      <c r="AF338" s="93"/>
      <c r="AG338" s="99"/>
      <c r="AH338" s="99"/>
      <c r="AI338" s="101"/>
    </row>
    <row r="339" spans="1:35" ht="12.75">
      <c r="A339" s="114"/>
      <c r="B339" s="114"/>
      <c r="C339" s="114"/>
      <c r="D339" s="115"/>
      <c r="E339" s="115"/>
      <c r="F339" s="115"/>
      <c r="G339" s="116"/>
      <c r="H339" s="115"/>
      <c r="I339" s="117"/>
      <c r="J339" s="116"/>
      <c r="K339" s="116"/>
      <c r="L339" s="116"/>
      <c r="M339" s="116"/>
      <c r="N339" s="118"/>
      <c r="O339" s="118"/>
      <c r="P339" s="119"/>
      <c r="Q339" s="118"/>
      <c r="R339" s="116"/>
      <c r="S339" s="118"/>
      <c r="T339" s="118"/>
      <c r="U339" s="119"/>
      <c r="V339" s="116"/>
      <c r="W339" s="116"/>
      <c r="X339" s="116"/>
      <c r="Y339" s="116"/>
      <c r="Z339" s="115"/>
      <c r="AA339" s="116"/>
      <c r="AB339" s="115"/>
      <c r="AC339" s="115"/>
      <c r="AD339" s="115"/>
      <c r="AE339" s="116"/>
      <c r="AF339" s="116"/>
      <c r="AG339" s="116"/>
      <c r="AH339" s="116"/>
      <c r="AI339" s="116"/>
    </row>
    <row r="340" spans="1:35" ht="12.75">
      <c r="A340" s="161" t="s">
        <v>309</v>
      </c>
      <c r="B340" s="162" t="s">
        <v>178</v>
      </c>
      <c r="C340" s="161" t="s">
        <v>288</v>
      </c>
      <c r="D340" s="162" t="s">
        <v>453</v>
      </c>
      <c r="E340" s="160" t="s">
        <v>47</v>
      </c>
      <c r="F340" s="162" t="s">
        <v>454</v>
      </c>
      <c r="G340" s="164"/>
      <c r="H340" s="77" t="s">
        <v>49</v>
      </c>
      <c r="I340" s="108"/>
      <c r="J340" s="78"/>
      <c r="K340" s="78"/>
      <c r="L340" s="79" t="b">
        <v>0</v>
      </c>
      <c r="M340" s="79" t="b">
        <v>0</v>
      </c>
      <c r="N340" s="81"/>
      <c r="O340" s="81"/>
      <c r="P340" s="80">
        <f t="shared" ref="P340:P351" si="53">N340+O340</f>
        <v>0</v>
      </c>
      <c r="Q340" s="81"/>
      <c r="R340" s="78"/>
      <c r="S340" s="81"/>
      <c r="T340" s="81"/>
      <c r="U340" s="80">
        <f t="shared" ref="U340:U351" si="54">S340+T340</f>
        <v>0</v>
      </c>
      <c r="V340" s="78"/>
      <c r="W340" s="78"/>
      <c r="X340" s="78"/>
      <c r="Y340" s="78"/>
      <c r="Z340" s="77"/>
      <c r="AA340" s="78"/>
      <c r="AB340" s="77"/>
      <c r="AC340" s="77"/>
      <c r="AD340" s="77"/>
      <c r="AE340" s="78"/>
      <c r="AF340" s="78"/>
      <c r="AG340" s="109"/>
      <c r="AH340" s="109"/>
      <c r="AI340" s="78"/>
    </row>
    <row r="341" spans="1:35" ht="12.75">
      <c r="A341" s="155"/>
      <c r="B341" s="155"/>
      <c r="C341" s="155"/>
      <c r="D341" s="155"/>
      <c r="E341" s="155"/>
      <c r="F341" s="155"/>
      <c r="G341" s="155"/>
      <c r="H341" s="85" t="s">
        <v>58</v>
      </c>
      <c r="I341" s="112"/>
      <c r="J341" s="84"/>
      <c r="K341" s="84"/>
      <c r="L341" s="86" t="b">
        <v>0</v>
      </c>
      <c r="M341" s="86" t="b">
        <v>0</v>
      </c>
      <c r="N341" s="83"/>
      <c r="O341" s="83"/>
      <c r="P341" s="87">
        <f t="shared" si="53"/>
        <v>0</v>
      </c>
      <c r="Q341" s="83"/>
      <c r="R341" s="84"/>
      <c r="S341" s="83"/>
      <c r="T341" s="83"/>
      <c r="U341" s="87">
        <f t="shared" si="54"/>
        <v>0</v>
      </c>
      <c r="V341" s="84"/>
      <c r="W341" s="84"/>
      <c r="X341" s="84"/>
      <c r="Y341" s="84"/>
      <c r="Z341" s="85"/>
      <c r="AA341" s="84"/>
      <c r="AB341" s="85"/>
      <c r="AC341" s="85"/>
      <c r="AD341" s="85"/>
      <c r="AE341" s="84"/>
      <c r="AF341" s="84"/>
      <c r="AG341" s="110"/>
      <c r="AH341" s="110"/>
      <c r="AI341" s="84"/>
    </row>
    <row r="342" spans="1:35" ht="12.75">
      <c r="A342" s="155"/>
      <c r="B342" s="155"/>
      <c r="C342" s="155"/>
      <c r="D342" s="157" t="s">
        <v>453</v>
      </c>
      <c r="E342" s="157" t="s">
        <v>59</v>
      </c>
      <c r="F342" s="157" t="s">
        <v>454</v>
      </c>
      <c r="G342" s="158"/>
      <c r="H342" s="5" t="s">
        <v>49</v>
      </c>
      <c r="I342" s="17"/>
      <c r="J342" s="9"/>
      <c r="K342" s="9"/>
      <c r="L342" s="11" t="b">
        <v>0</v>
      </c>
      <c r="M342" s="11" t="b">
        <v>0</v>
      </c>
      <c r="N342" s="7"/>
      <c r="O342" s="7"/>
      <c r="P342" s="8">
        <f t="shared" si="53"/>
        <v>0</v>
      </c>
      <c r="Q342" s="7"/>
      <c r="R342" s="9"/>
      <c r="S342" s="7"/>
      <c r="T342" s="7"/>
      <c r="U342" s="8">
        <f t="shared" si="54"/>
        <v>0</v>
      </c>
      <c r="V342" s="9"/>
      <c r="W342" s="9"/>
      <c r="X342" s="18"/>
      <c r="Y342" s="18"/>
      <c r="Z342" s="19"/>
      <c r="AA342" s="18"/>
      <c r="AB342" s="19"/>
      <c r="AC342" s="19"/>
      <c r="AD342" s="19"/>
      <c r="AE342" s="9"/>
      <c r="AF342" s="9"/>
      <c r="AG342" s="26"/>
      <c r="AH342" s="26"/>
      <c r="AI342" s="89"/>
    </row>
    <row r="343" spans="1:35" ht="12.75">
      <c r="A343" s="155"/>
      <c r="B343" s="155"/>
      <c r="C343" s="155"/>
      <c r="D343" s="155"/>
      <c r="E343" s="155"/>
      <c r="F343" s="155"/>
      <c r="G343" s="155"/>
      <c r="H343" s="5" t="s">
        <v>58</v>
      </c>
      <c r="I343" s="22"/>
      <c r="J343" s="9"/>
      <c r="K343" s="9"/>
      <c r="L343" s="11" t="b">
        <v>0</v>
      </c>
      <c r="M343" s="11" t="b">
        <v>0</v>
      </c>
      <c r="N343" s="7"/>
      <c r="O343" s="7"/>
      <c r="P343" s="8">
        <f t="shared" si="53"/>
        <v>0</v>
      </c>
      <c r="Q343" s="7"/>
      <c r="R343" s="9"/>
      <c r="S343" s="7"/>
      <c r="T343" s="7"/>
      <c r="U343" s="8">
        <f t="shared" si="54"/>
        <v>0</v>
      </c>
      <c r="V343" s="9"/>
      <c r="W343" s="9"/>
      <c r="X343" s="18"/>
      <c r="Y343" s="18"/>
      <c r="Z343" s="19"/>
      <c r="AA343" s="18"/>
      <c r="AB343" s="19"/>
      <c r="AC343" s="19"/>
      <c r="AD343" s="19"/>
      <c r="AE343" s="9"/>
      <c r="AF343" s="9"/>
      <c r="AG343" s="26"/>
      <c r="AH343" s="26"/>
      <c r="AI343" s="9"/>
    </row>
    <row r="344" spans="1:35" ht="15">
      <c r="A344" s="113"/>
      <c r="B344" s="113"/>
      <c r="C344" s="113"/>
      <c r="D344" s="159" t="s">
        <v>455</v>
      </c>
      <c r="E344" s="159" t="s">
        <v>456</v>
      </c>
      <c r="F344" s="163" t="s">
        <v>457</v>
      </c>
      <c r="G344" s="165"/>
      <c r="H344" s="91" t="s">
        <v>458</v>
      </c>
      <c r="I344" s="92"/>
      <c r="J344" s="93"/>
      <c r="K344" s="93"/>
      <c r="L344" s="94" t="b">
        <v>0</v>
      </c>
      <c r="M344" s="94" t="b">
        <v>0</v>
      </c>
      <c r="N344" s="95"/>
      <c r="O344" s="95"/>
      <c r="P344" s="96">
        <f t="shared" si="53"/>
        <v>0</v>
      </c>
      <c r="Q344" s="95"/>
      <c r="R344" s="93"/>
      <c r="S344" s="95"/>
      <c r="T344" s="95"/>
      <c r="U344" s="96">
        <f t="shared" si="54"/>
        <v>0</v>
      </c>
      <c r="V344" s="93"/>
      <c r="W344" s="93"/>
      <c r="X344" s="97"/>
      <c r="Y344" s="97"/>
      <c r="Z344" s="98"/>
      <c r="AA344" s="97"/>
      <c r="AB344" s="98"/>
      <c r="AC344" s="98"/>
      <c r="AD344" s="98"/>
      <c r="AE344" s="93"/>
      <c r="AF344" s="93"/>
      <c r="AG344" s="99"/>
      <c r="AH344" s="99"/>
      <c r="AI344" s="93"/>
    </row>
    <row r="345" spans="1:35" ht="15">
      <c r="A345" s="113"/>
      <c r="B345" s="113"/>
      <c r="C345" s="113"/>
      <c r="D345" s="155"/>
      <c r="E345" s="155"/>
      <c r="F345" s="155"/>
      <c r="G345" s="155"/>
      <c r="H345" s="91" t="s">
        <v>58</v>
      </c>
      <c r="I345" s="92"/>
      <c r="J345" s="93"/>
      <c r="K345" s="93"/>
      <c r="L345" s="94" t="b">
        <v>0</v>
      </c>
      <c r="M345" s="94" t="b">
        <v>0</v>
      </c>
      <c r="N345" s="95"/>
      <c r="O345" s="95"/>
      <c r="P345" s="96">
        <f t="shared" si="53"/>
        <v>0</v>
      </c>
      <c r="Q345" s="95"/>
      <c r="R345" s="93"/>
      <c r="S345" s="95"/>
      <c r="T345" s="95"/>
      <c r="U345" s="96">
        <f t="shared" si="54"/>
        <v>0</v>
      </c>
      <c r="V345" s="93"/>
      <c r="W345" s="93"/>
      <c r="X345" s="97"/>
      <c r="Y345" s="97"/>
      <c r="Z345" s="98"/>
      <c r="AA345" s="97"/>
      <c r="AB345" s="98"/>
      <c r="AC345" s="98"/>
      <c r="AD345" s="98"/>
      <c r="AE345" s="93"/>
      <c r="AF345" s="93"/>
      <c r="AG345" s="99"/>
      <c r="AH345" s="99"/>
      <c r="AI345" s="100"/>
    </row>
    <row r="346" spans="1:35" ht="15">
      <c r="A346" s="113"/>
      <c r="B346" s="113"/>
      <c r="C346" s="113"/>
      <c r="D346" s="159" t="s">
        <v>455</v>
      </c>
      <c r="E346" s="166" t="s">
        <v>459</v>
      </c>
      <c r="F346" s="163" t="s">
        <v>457</v>
      </c>
      <c r="G346" s="165"/>
      <c r="H346" s="91" t="s">
        <v>458</v>
      </c>
      <c r="I346" s="92"/>
      <c r="J346" s="93"/>
      <c r="K346" s="93"/>
      <c r="L346" s="94" t="b">
        <v>0</v>
      </c>
      <c r="M346" s="94" t="b">
        <v>0</v>
      </c>
      <c r="N346" s="95"/>
      <c r="O346" s="95"/>
      <c r="P346" s="96">
        <f t="shared" si="53"/>
        <v>0</v>
      </c>
      <c r="Q346" s="95"/>
      <c r="R346" s="93"/>
      <c r="S346" s="95"/>
      <c r="T346" s="95"/>
      <c r="U346" s="96">
        <f t="shared" si="54"/>
        <v>0</v>
      </c>
      <c r="V346" s="93"/>
      <c r="W346" s="93"/>
      <c r="X346" s="93"/>
      <c r="Y346" s="93"/>
      <c r="Z346" s="91"/>
      <c r="AA346" s="93"/>
      <c r="AB346" s="91"/>
      <c r="AC346" s="91"/>
      <c r="AD346" s="91"/>
      <c r="AE346" s="93"/>
      <c r="AF346" s="93"/>
      <c r="AG346" s="99"/>
      <c r="AH346" s="99"/>
      <c r="AI346" s="101"/>
    </row>
    <row r="347" spans="1:35" ht="12.75">
      <c r="A347" s="113"/>
      <c r="B347" s="113"/>
      <c r="C347" s="113"/>
      <c r="D347" s="155"/>
      <c r="E347" s="155"/>
      <c r="F347" s="155"/>
      <c r="G347" s="155"/>
      <c r="H347" s="91" t="s">
        <v>58</v>
      </c>
      <c r="I347" s="102"/>
      <c r="J347" s="93"/>
      <c r="K347" s="93"/>
      <c r="L347" s="94" t="b">
        <v>0</v>
      </c>
      <c r="M347" s="94" t="b">
        <v>0</v>
      </c>
      <c r="N347" s="95"/>
      <c r="O347" s="95"/>
      <c r="P347" s="96">
        <f t="shared" si="53"/>
        <v>0</v>
      </c>
      <c r="Q347" s="95"/>
      <c r="R347" s="93"/>
      <c r="S347" s="95"/>
      <c r="T347" s="95"/>
      <c r="U347" s="96">
        <f t="shared" si="54"/>
        <v>0</v>
      </c>
      <c r="V347" s="93"/>
      <c r="W347" s="93"/>
      <c r="X347" s="93"/>
      <c r="Y347" s="93"/>
      <c r="Z347" s="91"/>
      <c r="AA347" s="93"/>
      <c r="AB347" s="91"/>
      <c r="AC347" s="91"/>
      <c r="AD347" s="91"/>
      <c r="AE347" s="93"/>
      <c r="AF347" s="93"/>
      <c r="AG347" s="99"/>
      <c r="AH347" s="99"/>
      <c r="AI347" s="99"/>
    </row>
    <row r="348" spans="1:35" ht="15">
      <c r="A348" s="113"/>
      <c r="B348" s="113"/>
      <c r="C348" s="113"/>
      <c r="D348" s="159" t="s">
        <v>460</v>
      </c>
      <c r="E348" s="163" t="s">
        <v>461</v>
      </c>
      <c r="F348" s="159" t="s">
        <v>462</v>
      </c>
      <c r="G348" s="165"/>
      <c r="H348" s="91" t="s">
        <v>49</v>
      </c>
      <c r="I348" s="103"/>
      <c r="J348" s="93"/>
      <c r="K348" s="93"/>
      <c r="L348" s="94" t="b">
        <v>0</v>
      </c>
      <c r="M348" s="94" t="b">
        <v>0</v>
      </c>
      <c r="N348" s="95"/>
      <c r="O348" s="95"/>
      <c r="P348" s="96">
        <f t="shared" si="53"/>
        <v>0</v>
      </c>
      <c r="Q348" s="95"/>
      <c r="R348" s="93"/>
      <c r="S348" s="95"/>
      <c r="T348" s="95"/>
      <c r="U348" s="96">
        <f t="shared" si="54"/>
        <v>0</v>
      </c>
      <c r="V348" s="93"/>
      <c r="W348" s="93"/>
      <c r="X348" s="93"/>
      <c r="Y348" s="93"/>
      <c r="Z348" s="91"/>
      <c r="AA348" s="93"/>
      <c r="AB348" s="91"/>
      <c r="AC348" s="91"/>
      <c r="AD348" s="91"/>
      <c r="AE348" s="93"/>
      <c r="AF348" s="93"/>
      <c r="AG348" s="99"/>
      <c r="AH348" s="99"/>
      <c r="AI348" s="101"/>
    </row>
    <row r="349" spans="1:35" ht="15">
      <c r="A349" s="113"/>
      <c r="B349" s="113"/>
      <c r="C349" s="113"/>
      <c r="D349" s="155"/>
      <c r="E349" s="155"/>
      <c r="F349" s="155"/>
      <c r="G349" s="155"/>
      <c r="H349" s="91" t="s">
        <v>58</v>
      </c>
      <c r="I349" s="103"/>
      <c r="J349" s="93"/>
      <c r="K349" s="93"/>
      <c r="L349" s="94" t="b">
        <v>0</v>
      </c>
      <c r="M349" s="94" t="b">
        <v>0</v>
      </c>
      <c r="N349" s="95"/>
      <c r="O349" s="95"/>
      <c r="P349" s="96">
        <f t="shared" si="53"/>
        <v>0</v>
      </c>
      <c r="Q349" s="95"/>
      <c r="R349" s="93"/>
      <c r="S349" s="95"/>
      <c r="T349" s="95"/>
      <c r="U349" s="96">
        <f t="shared" si="54"/>
        <v>0</v>
      </c>
      <c r="V349" s="93"/>
      <c r="W349" s="93"/>
      <c r="X349" s="97"/>
      <c r="Y349" s="97"/>
      <c r="Z349" s="98"/>
      <c r="AA349" s="97"/>
      <c r="AB349" s="98"/>
      <c r="AC349" s="98"/>
      <c r="AD349" s="98"/>
      <c r="AE349" s="93"/>
      <c r="AF349" s="93"/>
      <c r="AG349" s="99"/>
      <c r="AH349" s="99"/>
      <c r="AI349" s="101"/>
    </row>
    <row r="350" spans="1:35" ht="15">
      <c r="A350" s="113"/>
      <c r="B350" s="113"/>
      <c r="C350" s="113"/>
      <c r="D350" s="159" t="s">
        <v>453</v>
      </c>
      <c r="E350" s="159" t="s">
        <v>463</v>
      </c>
      <c r="F350" s="159" t="s">
        <v>464</v>
      </c>
      <c r="G350" s="165"/>
      <c r="H350" s="91" t="s">
        <v>465</v>
      </c>
      <c r="I350" s="103"/>
      <c r="J350" s="93"/>
      <c r="K350" s="93"/>
      <c r="L350" s="94" t="b">
        <v>0</v>
      </c>
      <c r="M350" s="94" t="b">
        <v>0</v>
      </c>
      <c r="N350" s="95"/>
      <c r="O350" s="95"/>
      <c r="P350" s="96">
        <f t="shared" si="53"/>
        <v>0</v>
      </c>
      <c r="Q350" s="95"/>
      <c r="R350" s="93"/>
      <c r="S350" s="95"/>
      <c r="T350" s="95"/>
      <c r="U350" s="96">
        <f t="shared" si="54"/>
        <v>0</v>
      </c>
      <c r="V350" s="93"/>
      <c r="W350" s="93"/>
      <c r="X350" s="97"/>
      <c r="Y350" s="97"/>
      <c r="Z350" s="98"/>
      <c r="AA350" s="97"/>
      <c r="AB350" s="98"/>
      <c r="AC350" s="98"/>
      <c r="AD350" s="98"/>
      <c r="AE350" s="93"/>
      <c r="AF350" s="93"/>
      <c r="AG350" s="99"/>
      <c r="AH350" s="99"/>
      <c r="AI350" s="101"/>
    </row>
    <row r="351" spans="1:35" ht="15">
      <c r="A351" s="113"/>
      <c r="B351" s="113"/>
      <c r="C351" s="113"/>
      <c r="D351" s="155"/>
      <c r="E351" s="155"/>
      <c r="F351" s="155"/>
      <c r="G351" s="155"/>
      <c r="H351" s="91" t="s">
        <v>58</v>
      </c>
      <c r="I351" s="103"/>
      <c r="J351" s="93"/>
      <c r="K351" s="93"/>
      <c r="L351" s="94" t="b">
        <v>0</v>
      </c>
      <c r="M351" s="94" t="b">
        <v>0</v>
      </c>
      <c r="N351" s="95"/>
      <c r="O351" s="95"/>
      <c r="P351" s="96">
        <f t="shared" si="53"/>
        <v>0</v>
      </c>
      <c r="Q351" s="95"/>
      <c r="R351" s="93"/>
      <c r="S351" s="95"/>
      <c r="T351" s="95"/>
      <c r="U351" s="96">
        <f t="shared" si="54"/>
        <v>0</v>
      </c>
      <c r="V351" s="93"/>
      <c r="W351" s="93"/>
      <c r="X351" s="97"/>
      <c r="Y351" s="97"/>
      <c r="Z351" s="98"/>
      <c r="AA351" s="97"/>
      <c r="AB351" s="98"/>
      <c r="AC351" s="98"/>
      <c r="AD351" s="98"/>
      <c r="AE351" s="93"/>
      <c r="AF351" s="93"/>
      <c r="AG351" s="99"/>
      <c r="AH351" s="99"/>
      <c r="AI351" s="101"/>
    </row>
    <row r="352" spans="1:35" ht="12.75">
      <c r="A352" s="114"/>
      <c r="B352" s="114"/>
      <c r="C352" s="114"/>
      <c r="D352" s="115"/>
      <c r="E352" s="115"/>
      <c r="F352" s="115"/>
      <c r="G352" s="116"/>
      <c r="H352" s="115"/>
      <c r="I352" s="117"/>
      <c r="J352" s="116"/>
      <c r="K352" s="116"/>
      <c r="L352" s="116"/>
      <c r="M352" s="116"/>
      <c r="N352" s="118"/>
      <c r="O352" s="118"/>
      <c r="P352" s="119"/>
      <c r="Q352" s="118"/>
      <c r="R352" s="116"/>
      <c r="S352" s="118"/>
      <c r="T352" s="118"/>
      <c r="U352" s="119"/>
      <c r="V352" s="116"/>
      <c r="W352" s="116"/>
      <c r="X352" s="116"/>
      <c r="Y352" s="116"/>
      <c r="Z352" s="115"/>
      <c r="AA352" s="116"/>
      <c r="AB352" s="115"/>
      <c r="AC352" s="115"/>
      <c r="AD352" s="115"/>
      <c r="AE352" s="116"/>
      <c r="AF352" s="116"/>
      <c r="AG352" s="116"/>
      <c r="AH352" s="116"/>
      <c r="AI352" s="116"/>
    </row>
    <row r="353" spans="1:35" ht="12.75">
      <c r="A353" s="161" t="s">
        <v>319</v>
      </c>
      <c r="B353" s="162" t="s">
        <v>178</v>
      </c>
      <c r="C353" s="161" t="s">
        <v>319</v>
      </c>
      <c r="D353" s="162" t="s">
        <v>453</v>
      </c>
      <c r="E353" s="160" t="s">
        <v>47</v>
      </c>
      <c r="F353" s="162" t="s">
        <v>454</v>
      </c>
      <c r="G353" s="164"/>
      <c r="H353" s="77" t="s">
        <v>49</v>
      </c>
      <c r="I353" s="108"/>
      <c r="J353" s="78"/>
      <c r="K353" s="78"/>
      <c r="L353" s="79" t="b">
        <v>0</v>
      </c>
      <c r="M353" s="79" t="b">
        <v>0</v>
      </c>
      <c r="N353" s="81"/>
      <c r="O353" s="81"/>
      <c r="P353" s="80">
        <f t="shared" ref="P353:P364" si="55">N353+O353</f>
        <v>0</v>
      </c>
      <c r="Q353" s="81"/>
      <c r="R353" s="78"/>
      <c r="S353" s="81"/>
      <c r="T353" s="81"/>
      <c r="U353" s="80">
        <f t="shared" ref="U353:U364" si="56">S353+T353</f>
        <v>0</v>
      </c>
      <c r="V353" s="78"/>
      <c r="W353" s="78"/>
      <c r="X353" s="78"/>
      <c r="Y353" s="78"/>
      <c r="Z353" s="77"/>
      <c r="AA353" s="78"/>
      <c r="AB353" s="77"/>
      <c r="AC353" s="77"/>
      <c r="AD353" s="77"/>
      <c r="AE353" s="78"/>
      <c r="AF353" s="78"/>
      <c r="AG353" s="109"/>
      <c r="AH353" s="109"/>
      <c r="AI353" s="78"/>
    </row>
    <row r="354" spans="1:35" ht="12.75">
      <c r="A354" s="155"/>
      <c r="B354" s="155"/>
      <c r="C354" s="155"/>
      <c r="D354" s="155"/>
      <c r="E354" s="155"/>
      <c r="F354" s="155"/>
      <c r="G354" s="155"/>
      <c r="H354" s="85" t="s">
        <v>58</v>
      </c>
      <c r="I354" s="112"/>
      <c r="J354" s="84"/>
      <c r="K354" s="84"/>
      <c r="L354" s="86" t="b">
        <v>0</v>
      </c>
      <c r="M354" s="86" t="b">
        <v>0</v>
      </c>
      <c r="N354" s="83"/>
      <c r="O354" s="83"/>
      <c r="P354" s="87">
        <f t="shared" si="55"/>
        <v>0</v>
      </c>
      <c r="Q354" s="83"/>
      <c r="R354" s="84"/>
      <c r="S354" s="83"/>
      <c r="T354" s="83"/>
      <c r="U354" s="87">
        <f t="shared" si="56"/>
        <v>0</v>
      </c>
      <c r="V354" s="84"/>
      <c r="W354" s="84"/>
      <c r="X354" s="84"/>
      <c r="Y354" s="84"/>
      <c r="Z354" s="85"/>
      <c r="AA354" s="84"/>
      <c r="AB354" s="85"/>
      <c r="AC354" s="85"/>
      <c r="AD354" s="85"/>
      <c r="AE354" s="84"/>
      <c r="AF354" s="84"/>
      <c r="AG354" s="110"/>
      <c r="AH354" s="110"/>
      <c r="AI354" s="84"/>
    </row>
    <row r="355" spans="1:35" ht="12.75">
      <c r="A355" s="155"/>
      <c r="B355" s="155"/>
      <c r="C355" s="155"/>
      <c r="D355" s="157" t="s">
        <v>453</v>
      </c>
      <c r="E355" s="157" t="s">
        <v>59</v>
      </c>
      <c r="F355" s="157" t="s">
        <v>454</v>
      </c>
      <c r="G355" s="158"/>
      <c r="H355" s="5" t="s">
        <v>49</v>
      </c>
      <c r="I355" s="17"/>
      <c r="J355" s="9"/>
      <c r="K355" s="9"/>
      <c r="L355" s="11" t="b">
        <v>0</v>
      </c>
      <c r="M355" s="11" t="b">
        <v>0</v>
      </c>
      <c r="N355" s="7"/>
      <c r="O355" s="7"/>
      <c r="P355" s="8">
        <f t="shared" si="55"/>
        <v>0</v>
      </c>
      <c r="Q355" s="7"/>
      <c r="R355" s="9"/>
      <c r="S355" s="7"/>
      <c r="T355" s="7"/>
      <c r="U355" s="8">
        <f t="shared" si="56"/>
        <v>0</v>
      </c>
      <c r="V355" s="9"/>
      <c r="W355" s="9"/>
      <c r="X355" s="18"/>
      <c r="Y355" s="18"/>
      <c r="Z355" s="19"/>
      <c r="AA355" s="18"/>
      <c r="AB355" s="19"/>
      <c r="AC355" s="19"/>
      <c r="AD355" s="19"/>
      <c r="AE355" s="9"/>
      <c r="AF355" s="9"/>
      <c r="AG355" s="26"/>
      <c r="AH355" s="26"/>
      <c r="AI355" s="89"/>
    </row>
    <row r="356" spans="1:35" ht="12.75">
      <c r="A356" s="155"/>
      <c r="B356" s="155"/>
      <c r="C356" s="155"/>
      <c r="D356" s="155"/>
      <c r="E356" s="155"/>
      <c r="F356" s="155"/>
      <c r="G356" s="155"/>
      <c r="H356" s="5" t="s">
        <v>58</v>
      </c>
      <c r="I356" s="22"/>
      <c r="J356" s="9"/>
      <c r="K356" s="9"/>
      <c r="L356" s="11" t="b">
        <v>0</v>
      </c>
      <c r="M356" s="11" t="b">
        <v>0</v>
      </c>
      <c r="N356" s="7"/>
      <c r="O356" s="7"/>
      <c r="P356" s="8">
        <f t="shared" si="55"/>
        <v>0</v>
      </c>
      <c r="Q356" s="7"/>
      <c r="R356" s="9"/>
      <c r="S356" s="7"/>
      <c r="T356" s="7"/>
      <c r="U356" s="8">
        <f t="shared" si="56"/>
        <v>0</v>
      </c>
      <c r="V356" s="9"/>
      <c r="W356" s="9"/>
      <c r="X356" s="18"/>
      <c r="Y356" s="18"/>
      <c r="Z356" s="19"/>
      <c r="AA356" s="18"/>
      <c r="AB356" s="19"/>
      <c r="AC356" s="19"/>
      <c r="AD356" s="19"/>
      <c r="AE356" s="9"/>
      <c r="AF356" s="9"/>
      <c r="AG356" s="26"/>
      <c r="AH356" s="26"/>
      <c r="AI356" s="9"/>
    </row>
    <row r="357" spans="1:35" ht="15">
      <c r="A357" s="113"/>
      <c r="B357" s="113"/>
      <c r="C357" s="113"/>
      <c r="D357" s="159" t="s">
        <v>455</v>
      </c>
      <c r="E357" s="159" t="s">
        <v>456</v>
      </c>
      <c r="F357" s="163" t="s">
        <v>457</v>
      </c>
      <c r="G357" s="165"/>
      <c r="H357" s="91" t="s">
        <v>458</v>
      </c>
      <c r="I357" s="92"/>
      <c r="J357" s="93"/>
      <c r="K357" s="93"/>
      <c r="L357" s="94" t="b">
        <v>0</v>
      </c>
      <c r="M357" s="94" t="b">
        <v>0</v>
      </c>
      <c r="N357" s="95"/>
      <c r="O357" s="95"/>
      <c r="P357" s="96">
        <f t="shared" si="55"/>
        <v>0</v>
      </c>
      <c r="Q357" s="95"/>
      <c r="R357" s="93"/>
      <c r="S357" s="95"/>
      <c r="T357" s="95"/>
      <c r="U357" s="96">
        <f t="shared" si="56"/>
        <v>0</v>
      </c>
      <c r="V357" s="93"/>
      <c r="W357" s="93"/>
      <c r="X357" s="97"/>
      <c r="Y357" s="97"/>
      <c r="Z357" s="98"/>
      <c r="AA357" s="97"/>
      <c r="AB357" s="98"/>
      <c r="AC357" s="98"/>
      <c r="AD357" s="98"/>
      <c r="AE357" s="93"/>
      <c r="AF357" s="93"/>
      <c r="AG357" s="99"/>
      <c r="AH357" s="99"/>
      <c r="AI357" s="93"/>
    </row>
    <row r="358" spans="1:35" ht="15">
      <c r="A358" s="113"/>
      <c r="B358" s="113"/>
      <c r="C358" s="113"/>
      <c r="D358" s="155"/>
      <c r="E358" s="155"/>
      <c r="F358" s="155"/>
      <c r="G358" s="155"/>
      <c r="H358" s="91" t="s">
        <v>58</v>
      </c>
      <c r="I358" s="92"/>
      <c r="J358" s="93"/>
      <c r="K358" s="93"/>
      <c r="L358" s="94" t="b">
        <v>0</v>
      </c>
      <c r="M358" s="94" t="b">
        <v>0</v>
      </c>
      <c r="N358" s="95"/>
      <c r="O358" s="95"/>
      <c r="P358" s="96">
        <f t="shared" si="55"/>
        <v>0</v>
      </c>
      <c r="Q358" s="95"/>
      <c r="R358" s="93"/>
      <c r="S358" s="95"/>
      <c r="T358" s="95"/>
      <c r="U358" s="96">
        <f t="shared" si="56"/>
        <v>0</v>
      </c>
      <c r="V358" s="93"/>
      <c r="W358" s="93"/>
      <c r="X358" s="97"/>
      <c r="Y358" s="97"/>
      <c r="Z358" s="98"/>
      <c r="AA358" s="97"/>
      <c r="AB358" s="98"/>
      <c r="AC358" s="98"/>
      <c r="AD358" s="98"/>
      <c r="AE358" s="93"/>
      <c r="AF358" s="93"/>
      <c r="AG358" s="99"/>
      <c r="AH358" s="99"/>
      <c r="AI358" s="100"/>
    </row>
    <row r="359" spans="1:35" ht="15">
      <c r="A359" s="113"/>
      <c r="B359" s="113"/>
      <c r="C359" s="113"/>
      <c r="D359" s="159" t="s">
        <v>455</v>
      </c>
      <c r="E359" s="166" t="s">
        <v>459</v>
      </c>
      <c r="F359" s="163" t="s">
        <v>457</v>
      </c>
      <c r="G359" s="165"/>
      <c r="H359" s="91" t="s">
        <v>458</v>
      </c>
      <c r="I359" s="92"/>
      <c r="J359" s="93"/>
      <c r="K359" s="93"/>
      <c r="L359" s="94" t="b">
        <v>0</v>
      </c>
      <c r="M359" s="94" t="b">
        <v>0</v>
      </c>
      <c r="N359" s="95"/>
      <c r="O359" s="95"/>
      <c r="P359" s="96">
        <f t="shared" si="55"/>
        <v>0</v>
      </c>
      <c r="Q359" s="95"/>
      <c r="R359" s="93"/>
      <c r="S359" s="95"/>
      <c r="T359" s="95"/>
      <c r="U359" s="96">
        <f t="shared" si="56"/>
        <v>0</v>
      </c>
      <c r="V359" s="93"/>
      <c r="W359" s="93"/>
      <c r="X359" s="93"/>
      <c r="Y359" s="93"/>
      <c r="Z359" s="91"/>
      <c r="AA359" s="93"/>
      <c r="AB359" s="91"/>
      <c r="AC359" s="91"/>
      <c r="AD359" s="91"/>
      <c r="AE359" s="93"/>
      <c r="AF359" s="93"/>
      <c r="AG359" s="99"/>
      <c r="AH359" s="99"/>
      <c r="AI359" s="101"/>
    </row>
    <row r="360" spans="1:35" ht="12.75">
      <c r="A360" s="113"/>
      <c r="B360" s="113"/>
      <c r="C360" s="113"/>
      <c r="D360" s="155"/>
      <c r="E360" s="155"/>
      <c r="F360" s="155"/>
      <c r="G360" s="155"/>
      <c r="H360" s="91" t="s">
        <v>58</v>
      </c>
      <c r="I360" s="102"/>
      <c r="J360" s="93"/>
      <c r="K360" s="93"/>
      <c r="L360" s="94" t="b">
        <v>0</v>
      </c>
      <c r="M360" s="94" t="b">
        <v>0</v>
      </c>
      <c r="N360" s="95"/>
      <c r="O360" s="95"/>
      <c r="P360" s="96">
        <f t="shared" si="55"/>
        <v>0</v>
      </c>
      <c r="Q360" s="95"/>
      <c r="R360" s="93"/>
      <c r="S360" s="95"/>
      <c r="T360" s="95"/>
      <c r="U360" s="96">
        <f t="shared" si="56"/>
        <v>0</v>
      </c>
      <c r="V360" s="93"/>
      <c r="W360" s="93"/>
      <c r="X360" s="93"/>
      <c r="Y360" s="93"/>
      <c r="Z360" s="91"/>
      <c r="AA360" s="93"/>
      <c r="AB360" s="91"/>
      <c r="AC360" s="91"/>
      <c r="AD360" s="91"/>
      <c r="AE360" s="93"/>
      <c r="AF360" s="93"/>
      <c r="AG360" s="99"/>
      <c r="AH360" s="99"/>
      <c r="AI360" s="99"/>
    </row>
    <row r="361" spans="1:35" ht="15">
      <c r="A361" s="113"/>
      <c r="B361" s="113"/>
      <c r="C361" s="113"/>
      <c r="D361" s="159" t="s">
        <v>460</v>
      </c>
      <c r="E361" s="163" t="s">
        <v>461</v>
      </c>
      <c r="F361" s="159" t="s">
        <v>462</v>
      </c>
      <c r="G361" s="165"/>
      <c r="H361" s="91" t="s">
        <v>49</v>
      </c>
      <c r="I361" s="103"/>
      <c r="J361" s="93"/>
      <c r="K361" s="93"/>
      <c r="L361" s="94" t="b">
        <v>0</v>
      </c>
      <c r="M361" s="94" t="b">
        <v>0</v>
      </c>
      <c r="N361" s="95"/>
      <c r="O361" s="95"/>
      <c r="P361" s="96">
        <f t="shared" si="55"/>
        <v>0</v>
      </c>
      <c r="Q361" s="95"/>
      <c r="R361" s="93"/>
      <c r="S361" s="95"/>
      <c r="T361" s="95"/>
      <c r="U361" s="96">
        <f t="shared" si="56"/>
        <v>0</v>
      </c>
      <c r="V361" s="93"/>
      <c r="W361" s="93"/>
      <c r="X361" s="93"/>
      <c r="Y361" s="93"/>
      <c r="Z361" s="91"/>
      <c r="AA361" s="93"/>
      <c r="AB361" s="91"/>
      <c r="AC361" s="91"/>
      <c r="AD361" s="91"/>
      <c r="AE361" s="93"/>
      <c r="AF361" s="93"/>
      <c r="AG361" s="99"/>
      <c r="AH361" s="99"/>
      <c r="AI361" s="101"/>
    </row>
    <row r="362" spans="1:35" ht="15">
      <c r="A362" s="113"/>
      <c r="B362" s="113"/>
      <c r="C362" s="113"/>
      <c r="D362" s="155"/>
      <c r="E362" s="155"/>
      <c r="F362" s="155"/>
      <c r="G362" s="155"/>
      <c r="H362" s="91" t="s">
        <v>58</v>
      </c>
      <c r="I362" s="103"/>
      <c r="J362" s="93"/>
      <c r="K362" s="93"/>
      <c r="L362" s="94" t="b">
        <v>0</v>
      </c>
      <c r="M362" s="94" t="b">
        <v>0</v>
      </c>
      <c r="N362" s="95"/>
      <c r="O362" s="95"/>
      <c r="P362" s="96">
        <f t="shared" si="55"/>
        <v>0</v>
      </c>
      <c r="Q362" s="95"/>
      <c r="R362" s="93"/>
      <c r="S362" s="95"/>
      <c r="T362" s="95"/>
      <c r="U362" s="96">
        <f t="shared" si="56"/>
        <v>0</v>
      </c>
      <c r="V362" s="93"/>
      <c r="W362" s="93"/>
      <c r="X362" s="97"/>
      <c r="Y362" s="97"/>
      <c r="Z362" s="98"/>
      <c r="AA362" s="97"/>
      <c r="AB362" s="98"/>
      <c r="AC362" s="98"/>
      <c r="AD362" s="98"/>
      <c r="AE362" s="93"/>
      <c r="AF362" s="93"/>
      <c r="AG362" s="99"/>
      <c r="AH362" s="99"/>
      <c r="AI362" s="101"/>
    </row>
    <row r="363" spans="1:35" ht="15">
      <c r="A363" s="113"/>
      <c r="B363" s="113"/>
      <c r="C363" s="113"/>
      <c r="D363" s="159" t="s">
        <v>453</v>
      </c>
      <c r="E363" s="159" t="s">
        <v>463</v>
      </c>
      <c r="F363" s="159" t="s">
        <v>464</v>
      </c>
      <c r="G363" s="165"/>
      <c r="H363" s="91" t="s">
        <v>465</v>
      </c>
      <c r="I363" s="103"/>
      <c r="J363" s="93"/>
      <c r="K363" s="93"/>
      <c r="L363" s="94" t="b">
        <v>0</v>
      </c>
      <c r="M363" s="94" t="b">
        <v>0</v>
      </c>
      <c r="N363" s="95"/>
      <c r="O363" s="95"/>
      <c r="P363" s="96">
        <f t="shared" si="55"/>
        <v>0</v>
      </c>
      <c r="Q363" s="95"/>
      <c r="R363" s="93"/>
      <c r="S363" s="95"/>
      <c r="T363" s="95"/>
      <c r="U363" s="96">
        <f t="shared" si="56"/>
        <v>0</v>
      </c>
      <c r="V363" s="93"/>
      <c r="W363" s="93"/>
      <c r="X363" s="97"/>
      <c r="Y363" s="97"/>
      <c r="Z363" s="98"/>
      <c r="AA363" s="97"/>
      <c r="AB363" s="98"/>
      <c r="AC363" s="98"/>
      <c r="AD363" s="98"/>
      <c r="AE363" s="93"/>
      <c r="AF363" s="93"/>
      <c r="AG363" s="99"/>
      <c r="AH363" s="99"/>
      <c r="AI363" s="101"/>
    </row>
    <row r="364" spans="1:35" ht="15">
      <c r="A364" s="113"/>
      <c r="B364" s="113"/>
      <c r="C364" s="113"/>
      <c r="D364" s="155"/>
      <c r="E364" s="155"/>
      <c r="F364" s="155"/>
      <c r="G364" s="155"/>
      <c r="H364" s="91" t="s">
        <v>58</v>
      </c>
      <c r="I364" s="103"/>
      <c r="J364" s="93"/>
      <c r="K364" s="93"/>
      <c r="L364" s="94" t="b">
        <v>0</v>
      </c>
      <c r="M364" s="94" t="b">
        <v>0</v>
      </c>
      <c r="N364" s="95"/>
      <c r="O364" s="95"/>
      <c r="P364" s="96">
        <f t="shared" si="55"/>
        <v>0</v>
      </c>
      <c r="Q364" s="95"/>
      <c r="R364" s="93"/>
      <c r="S364" s="95"/>
      <c r="T364" s="95"/>
      <c r="U364" s="96">
        <f t="shared" si="56"/>
        <v>0</v>
      </c>
      <c r="V364" s="93"/>
      <c r="W364" s="93"/>
      <c r="X364" s="97"/>
      <c r="Y364" s="97"/>
      <c r="Z364" s="98"/>
      <c r="AA364" s="97"/>
      <c r="AB364" s="98"/>
      <c r="AC364" s="98"/>
      <c r="AD364" s="98"/>
      <c r="AE364" s="93"/>
      <c r="AF364" s="93"/>
      <c r="AG364" s="99"/>
      <c r="AH364" s="99"/>
      <c r="AI364" s="101"/>
    </row>
    <row r="365" spans="1:35" ht="12.75">
      <c r="A365" s="114"/>
      <c r="B365" s="114"/>
      <c r="C365" s="114"/>
      <c r="D365" s="115"/>
      <c r="E365" s="115"/>
      <c r="F365" s="115"/>
      <c r="G365" s="116"/>
      <c r="H365" s="115"/>
      <c r="I365" s="117"/>
      <c r="J365" s="116"/>
      <c r="K365" s="116"/>
      <c r="L365" s="116"/>
      <c r="M365" s="116"/>
      <c r="N365" s="118"/>
      <c r="O365" s="118"/>
      <c r="P365" s="119"/>
      <c r="Q365" s="118"/>
      <c r="R365" s="116"/>
      <c r="S365" s="118"/>
      <c r="T365" s="118"/>
      <c r="U365" s="119"/>
      <c r="V365" s="116"/>
      <c r="W365" s="116"/>
      <c r="X365" s="116"/>
      <c r="Y365" s="116"/>
      <c r="Z365" s="115"/>
      <c r="AA365" s="116"/>
      <c r="AB365" s="115"/>
      <c r="AC365" s="115"/>
      <c r="AD365" s="115"/>
      <c r="AE365" s="116"/>
      <c r="AF365" s="116"/>
      <c r="AG365" s="116"/>
      <c r="AH365" s="116"/>
      <c r="AI365" s="116"/>
    </row>
    <row r="366" spans="1:35" ht="12.75">
      <c r="A366" s="161" t="s">
        <v>332</v>
      </c>
      <c r="B366" s="162" t="s">
        <v>178</v>
      </c>
      <c r="C366" s="161" t="s">
        <v>319</v>
      </c>
      <c r="D366" s="162" t="s">
        <v>453</v>
      </c>
      <c r="E366" s="160" t="s">
        <v>47</v>
      </c>
      <c r="F366" s="162" t="s">
        <v>454</v>
      </c>
      <c r="G366" s="164"/>
      <c r="H366" s="77" t="s">
        <v>49</v>
      </c>
      <c r="I366" s="108"/>
      <c r="J366" s="78"/>
      <c r="K366" s="78"/>
      <c r="L366" s="79" t="b">
        <v>0</v>
      </c>
      <c r="M366" s="79" t="b">
        <v>0</v>
      </c>
      <c r="N366" s="81"/>
      <c r="O366" s="81"/>
      <c r="P366" s="80">
        <f t="shared" ref="P366:P377" si="57">N366+O366</f>
        <v>0</v>
      </c>
      <c r="Q366" s="81"/>
      <c r="R366" s="78"/>
      <c r="S366" s="81"/>
      <c r="T366" s="81"/>
      <c r="U366" s="80">
        <f t="shared" ref="U366:U377" si="58">S366+T366</f>
        <v>0</v>
      </c>
      <c r="V366" s="78"/>
      <c r="W366" s="78"/>
      <c r="X366" s="78"/>
      <c r="Y366" s="78"/>
      <c r="Z366" s="77"/>
      <c r="AA366" s="78"/>
      <c r="AB366" s="77"/>
      <c r="AC366" s="77"/>
      <c r="AD366" s="77"/>
      <c r="AE366" s="78"/>
      <c r="AF366" s="78"/>
      <c r="AG366" s="109"/>
      <c r="AH366" s="109"/>
      <c r="AI366" s="78"/>
    </row>
    <row r="367" spans="1:35" ht="12.75">
      <c r="A367" s="155"/>
      <c r="B367" s="155"/>
      <c r="C367" s="155"/>
      <c r="D367" s="155"/>
      <c r="E367" s="155"/>
      <c r="F367" s="155"/>
      <c r="G367" s="155"/>
      <c r="H367" s="85" t="s">
        <v>58</v>
      </c>
      <c r="I367" s="112"/>
      <c r="J367" s="84"/>
      <c r="K367" s="84"/>
      <c r="L367" s="86" t="b">
        <v>0</v>
      </c>
      <c r="M367" s="86" t="b">
        <v>0</v>
      </c>
      <c r="N367" s="83"/>
      <c r="O367" s="83"/>
      <c r="P367" s="87">
        <f t="shared" si="57"/>
        <v>0</v>
      </c>
      <c r="Q367" s="83"/>
      <c r="R367" s="84"/>
      <c r="S367" s="83"/>
      <c r="T367" s="83"/>
      <c r="U367" s="87">
        <f t="shared" si="58"/>
        <v>0</v>
      </c>
      <c r="V367" s="84"/>
      <c r="W367" s="84"/>
      <c r="X367" s="84"/>
      <c r="Y367" s="84"/>
      <c r="Z367" s="85"/>
      <c r="AA367" s="84"/>
      <c r="AB367" s="85"/>
      <c r="AC367" s="85"/>
      <c r="AD367" s="85"/>
      <c r="AE367" s="84"/>
      <c r="AF367" s="84"/>
      <c r="AG367" s="110"/>
      <c r="AH367" s="110"/>
      <c r="AI367" s="84"/>
    </row>
    <row r="368" spans="1:35" ht="12.75">
      <c r="A368" s="155"/>
      <c r="B368" s="155"/>
      <c r="C368" s="155"/>
      <c r="D368" s="157" t="s">
        <v>453</v>
      </c>
      <c r="E368" s="157" t="s">
        <v>59</v>
      </c>
      <c r="F368" s="157" t="s">
        <v>454</v>
      </c>
      <c r="G368" s="158"/>
      <c r="H368" s="5" t="s">
        <v>49</v>
      </c>
      <c r="I368" s="17"/>
      <c r="J368" s="9"/>
      <c r="K368" s="9"/>
      <c r="L368" s="11" t="b">
        <v>0</v>
      </c>
      <c r="M368" s="11" t="b">
        <v>0</v>
      </c>
      <c r="N368" s="7"/>
      <c r="O368" s="7"/>
      <c r="P368" s="8">
        <f t="shared" si="57"/>
        <v>0</v>
      </c>
      <c r="Q368" s="7"/>
      <c r="R368" s="9"/>
      <c r="S368" s="7"/>
      <c r="T368" s="7"/>
      <c r="U368" s="8">
        <f t="shared" si="58"/>
        <v>0</v>
      </c>
      <c r="V368" s="9"/>
      <c r="W368" s="9"/>
      <c r="X368" s="18"/>
      <c r="Y368" s="18"/>
      <c r="Z368" s="19"/>
      <c r="AA368" s="18"/>
      <c r="AB368" s="19"/>
      <c r="AC368" s="19"/>
      <c r="AD368" s="19"/>
      <c r="AE368" s="9"/>
      <c r="AF368" s="9"/>
      <c r="AG368" s="26"/>
      <c r="AH368" s="26"/>
      <c r="AI368" s="89"/>
    </row>
    <row r="369" spans="1:35" ht="12.75">
      <c r="A369" s="155"/>
      <c r="B369" s="155"/>
      <c r="C369" s="155"/>
      <c r="D369" s="155"/>
      <c r="E369" s="155"/>
      <c r="F369" s="155"/>
      <c r="G369" s="155"/>
      <c r="H369" s="5" t="s">
        <v>58</v>
      </c>
      <c r="I369" s="22"/>
      <c r="J369" s="9"/>
      <c r="K369" s="9"/>
      <c r="L369" s="11" t="b">
        <v>0</v>
      </c>
      <c r="M369" s="11" t="b">
        <v>0</v>
      </c>
      <c r="N369" s="7"/>
      <c r="O369" s="7"/>
      <c r="P369" s="8">
        <f t="shared" si="57"/>
        <v>0</v>
      </c>
      <c r="Q369" s="7"/>
      <c r="R369" s="9"/>
      <c r="S369" s="7"/>
      <c r="T369" s="7"/>
      <c r="U369" s="8">
        <f t="shared" si="58"/>
        <v>0</v>
      </c>
      <c r="V369" s="9"/>
      <c r="W369" s="9"/>
      <c r="X369" s="18"/>
      <c r="Y369" s="18"/>
      <c r="Z369" s="19"/>
      <c r="AA369" s="18"/>
      <c r="AB369" s="19"/>
      <c r="AC369" s="19"/>
      <c r="AD369" s="19"/>
      <c r="AE369" s="9"/>
      <c r="AF369" s="9"/>
      <c r="AG369" s="26"/>
      <c r="AH369" s="26"/>
      <c r="AI369" s="9"/>
    </row>
    <row r="370" spans="1:35" ht="15">
      <c r="A370" s="113"/>
      <c r="B370" s="113"/>
      <c r="C370" s="113"/>
      <c r="D370" s="159" t="s">
        <v>455</v>
      </c>
      <c r="E370" s="159" t="s">
        <v>456</v>
      </c>
      <c r="F370" s="163" t="s">
        <v>457</v>
      </c>
      <c r="G370" s="165"/>
      <c r="H370" s="91" t="s">
        <v>458</v>
      </c>
      <c r="I370" s="92"/>
      <c r="J370" s="93"/>
      <c r="K370" s="93"/>
      <c r="L370" s="94" t="b">
        <v>0</v>
      </c>
      <c r="M370" s="94" t="b">
        <v>0</v>
      </c>
      <c r="N370" s="95"/>
      <c r="O370" s="95"/>
      <c r="P370" s="96">
        <f t="shared" si="57"/>
        <v>0</v>
      </c>
      <c r="Q370" s="95"/>
      <c r="R370" s="93"/>
      <c r="S370" s="95"/>
      <c r="T370" s="95"/>
      <c r="U370" s="96">
        <f t="shared" si="58"/>
        <v>0</v>
      </c>
      <c r="V370" s="93"/>
      <c r="W370" s="93"/>
      <c r="X370" s="97"/>
      <c r="Y370" s="97"/>
      <c r="Z370" s="98"/>
      <c r="AA370" s="97"/>
      <c r="AB370" s="98"/>
      <c r="AC370" s="98"/>
      <c r="AD370" s="98"/>
      <c r="AE370" s="93"/>
      <c r="AF370" s="93"/>
      <c r="AG370" s="99"/>
      <c r="AH370" s="99"/>
      <c r="AI370" s="93"/>
    </row>
    <row r="371" spans="1:35" ht="15">
      <c r="A371" s="113"/>
      <c r="B371" s="113"/>
      <c r="C371" s="113"/>
      <c r="D371" s="155"/>
      <c r="E371" s="155"/>
      <c r="F371" s="155"/>
      <c r="G371" s="155"/>
      <c r="H371" s="91" t="s">
        <v>58</v>
      </c>
      <c r="I371" s="92"/>
      <c r="J371" s="93"/>
      <c r="K371" s="93"/>
      <c r="L371" s="94" t="b">
        <v>0</v>
      </c>
      <c r="M371" s="94" t="b">
        <v>0</v>
      </c>
      <c r="N371" s="95"/>
      <c r="O371" s="95"/>
      <c r="P371" s="96">
        <f t="shared" si="57"/>
        <v>0</v>
      </c>
      <c r="Q371" s="95"/>
      <c r="R371" s="93"/>
      <c r="S371" s="95"/>
      <c r="T371" s="95"/>
      <c r="U371" s="96">
        <f t="shared" si="58"/>
        <v>0</v>
      </c>
      <c r="V371" s="93"/>
      <c r="W371" s="93"/>
      <c r="X371" s="97"/>
      <c r="Y371" s="97"/>
      <c r="Z371" s="98"/>
      <c r="AA371" s="97"/>
      <c r="AB371" s="98"/>
      <c r="AC371" s="98"/>
      <c r="AD371" s="98"/>
      <c r="AE371" s="93"/>
      <c r="AF371" s="93"/>
      <c r="AG371" s="99"/>
      <c r="AH371" s="99"/>
      <c r="AI371" s="100"/>
    </row>
    <row r="372" spans="1:35" ht="15">
      <c r="A372" s="113"/>
      <c r="B372" s="113"/>
      <c r="C372" s="113"/>
      <c r="D372" s="159" t="s">
        <v>455</v>
      </c>
      <c r="E372" s="166" t="s">
        <v>459</v>
      </c>
      <c r="F372" s="163" t="s">
        <v>457</v>
      </c>
      <c r="G372" s="165"/>
      <c r="H372" s="91" t="s">
        <v>458</v>
      </c>
      <c r="I372" s="92"/>
      <c r="J372" s="93"/>
      <c r="K372" s="93"/>
      <c r="L372" s="94" t="b">
        <v>0</v>
      </c>
      <c r="M372" s="94" t="b">
        <v>0</v>
      </c>
      <c r="N372" s="95"/>
      <c r="O372" s="95"/>
      <c r="P372" s="96">
        <f t="shared" si="57"/>
        <v>0</v>
      </c>
      <c r="Q372" s="95"/>
      <c r="R372" s="93"/>
      <c r="S372" s="95"/>
      <c r="T372" s="95"/>
      <c r="U372" s="96">
        <f t="shared" si="58"/>
        <v>0</v>
      </c>
      <c r="V372" s="93"/>
      <c r="W372" s="93"/>
      <c r="X372" s="93"/>
      <c r="Y372" s="93"/>
      <c r="Z372" s="91"/>
      <c r="AA372" s="93"/>
      <c r="AB372" s="91"/>
      <c r="AC372" s="91"/>
      <c r="AD372" s="91"/>
      <c r="AE372" s="93"/>
      <c r="AF372" s="93"/>
      <c r="AG372" s="99"/>
      <c r="AH372" s="99"/>
      <c r="AI372" s="101"/>
    </row>
    <row r="373" spans="1:35" ht="12.75">
      <c r="A373" s="113"/>
      <c r="B373" s="113"/>
      <c r="C373" s="113"/>
      <c r="D373" s="155"/>
      <c r="E373" s="155"/>
      <c r="F373" s="155"/>
      <c r="G373" s="155"/>
      <c r="H373" s="91" t="s">
        <v>58</v>
      </c>
      <c r="I373" s="102"/>
      <c r="J373" s="93"/>
      <c r="K373" s="93"/>
      <c r="L373" s="94" t="b">
        <v>0</v>
      </c>
      <c r="M373" s="94" t="b">
        <v>0</v>
      </c>
      <c r="N373" s="95"/>
      <c r="O373" s="95"/>
      <c r="P373" s="96">
        <f t="shared" si="57"/>
        <v>0</v>
      </c>
      <c r="Q373" s="95"/>
      <c r="R373" s="93"/>
      <c r="S373" s="95"/>
      <c r="T373" s="95"/>
      <c r="U373" s="96">
        <f t="shared" si="58"/>
        <v>0</v>
      </c>
      <c r="V373" s="93"/>
      <c r="W373" s="93"/>
      <c r="X373" s="93"/>
      <c r="Y373" s="93"/>
      <c r="Z373" s="91"/>
      <c r="AA373" s="93"/>
      <c r="AB373" s="91"/>
      <c r="AC373" s="91"/>
      <c r="AD373" s="91"/>
      <c r="AE373" s="93"/>
      <c r="AF373" s="93"/>
      <c r="AG373" s="99"/>
      <c r="AH373" s="99"/>
      <c r="AI373" s="99"/>
    </row>
    <row r="374" spans="1:35" ht="15">
      <c r="A374" s="113"/>
      <c r="B374" s="113"/>
      <c r="C374" s="113"/>
      <c r="D374" s="159" t="s">
        <v>460</v>
      </c>
      <c r="E374" s="163" t="s">
        <v>461</v>
      </c>
      <c r="F374" s="159" t="s">
        <v>462</v>
      </c>
      <c r="G374" s="165"/>
      <c r="H374" s="91" t="s">
        <v>49</v>
      </c>
      <c r="I374" s="103"/>
      <c r="J374" s="93"/>
      <c r="K374" s="93"/>
      <c r="L374" s="94" t="b">
        <v>0</v>
      </c>
      <c r="M374" s="94" t="b">
        <v>0</v>
      </c>
      <c r="N374" s="95"/>
      <c r="O374" s="95"/>
      <c r="P374" s="96">
        <f t="shared" si="57"/>
        <v>0</v>
      </c>
      <c r="Q374" s="95"/>
      <c r="R374" s="93"/>
      <c r="S374" s="95"/>
      <c r="T374" s="95"/>
      <c r="U374" s="96">
        <f t="shared" si="58"/>
        <v>0</v>
      </c>
      <c r="V374" s="93"/>
      <c r="W374" s="93"/>
      <c r="X374" s="93"/>
      <c r="Y374" s="93"/>
      <c r="Z374" s="91"/>
      <c r="AA374" s="93"/>
      <c r="AB374" s="91"/>
      <c r="AC374" s="91"/>
      <c r="AD374" s="91"/>
      <c r="AE374" s="93"/>
      <c r="AF374" s="93"/>
      <c r="AG374" s="99"/>
      <c r="AH374" s="99"/>
      <c r="AI374" s="101"/>
    </row>
    <row r="375" spans="1:35" ht="15">
      <c r="A375" s="113"/>
      <c r="B375" s="113"/>
      <c r="C375" s="113"/>
      <c r="D375" s="155"/>
      <c r="E375" s="155"/>
      <c r="F375" s="155"/>
      <c r="G375" s="155"/>
      <c r="H375" s="91" t="s">
        <v>58</v>
      </c>
      <c r="I375" s="103"/>
      <c r="J375" s="93"/>
      <c r="K375" s="93"/>
      <c r="L375" s="94" t="b">
        <v>0</v>
      </c>
      <c r="M375" s="94" t="b">
        <v>0</v>
      </c>
      <c r="N375" s="95"/>
      <c r="O375" s="95"/>
      <c r="P375" s="96">
        <f t="shared" si="57"/>
        <v>0</v>
      </c>
      <c r="Q375" s="95"/>
      <c r="R375" s="93"/>
      <c r="S375" s="95"/>
      <c r="T375" s="95"/>
      <c r="U375" s="96">
        <f t="shared" si="58"/>
        <v>0</v>
      </c>
      <c r="V375" s="93"/>
      <c r="W375" s="93"/>
      <c r="X375" s="97"/>
      <c r="Y375" s="97"/>
      <c r="Z375" s="98"/>
      <c r="AA375" s="97"/>
      <c r="AB375" s="98"/>
      <c r="AC375" s="98"/>
      <c r="AD375" s="98"/>
      <c r="AE375" s="93"/>
      <c r="AF375" s="93"/>
      <c r="AG375" s="99"/>
      <c r="AH375" s="99"/>
      <c r="AI375" s="101"/>
    </row>
    <row r="376" spans="1:35" ht="15">
      <c r="A376" s="113"/>
      <c r="B376" s="113"/>
      <c r="C376" s="113"/>
      <c r="D376" s="159" t="s">
        <v>453</v>
      </c>
      <c r="E376" s="159" t="s">
        <v>463</v>
      </c>
      <c r="F376" s="159" t="s">
        <v>464</v>
      </c>
      <c r="G376" s="165"/>
      <c r="H376" s="91" t="s">
        <v>465</v>
      </c>
      <c r="I376" s="103"/>
      <c r="J376" s="93"/>
      <c r="K376" s="93"/>
      <c r="L376" s="94" t="b">
        <v>0</v>
      </c>
      <c r="M376" s="94" t="b">
        <v>0</v>
      </c>
      <c r="N376" s="95"/>
      <c r="O376" s="95"/>
      <c r="P376" s="96">
        <f t="shared" si="57"/>
        <v>0</v>
      </c>
      <c r="Q376" s="95"/>
      <c r="R376" s="93"/>
      <c r="S376" s="95"/>
      <c r="T376" s="95"/>
      <c r="U376" s="96">
        <f t="shared" si="58"/>
        <v>0</v>
      </c>
      <c r="V376" s="93"/>
      <c r="W376" s="93"/>
      <c r="X376" s="97"/>
      <c r="Y376" s="97"/>
      <c r="Z376" s="98"/>
      <c r="AA376" s="97"/>
      <c r="AB376" s="98"/>
      <c r="AC376" s="98"/>
      <c r="AD376" s="98"/>
      <c r="AE376" s="93"/>
      <c r="AF376" s="93"/>
      <c r="AG376" s="99"/>
      <c r="AH376" s="99"/>
      <c r="AI376" s="101"/>
    </row>
    <row r="377" spans="1:35" ht="15">
      <c r="A377" s="113"/>
      <c r="B377" s="113"/>
      <c r="C377" s="113"/>
      <c r="D377" s="155"/>
      <c r="E377" s="155"/>
      <c r="F377" s="155"/>
      <c r="G377" s="155"/>
      <c r="H377" s="91" t="s">
        <v>58</v>
      </c>
      <c r="I377" s="103"/>
      <c r="J377" s="93"/>
      <c r="K377" s="93"/>
      <c r="L377" s="94" t="b">
        <v>0</v>
      </c>
      <c r="M377" s="94" t="b">
        <v>0</v>
      </c>
      <c r="N377" s="95"/>
      <c r="O377" s="95"/>
      <c r="P377" s="96">
        <f t="shared" si="57"/>
        <v>0</v>
      </c>
      <c r="Q377" s="95"/>
      <c r="R377" s="93"/>
      <c r="S377" s="95"/>
      <c r="T377" s="95"/>
      <c r="U377" s="96">
        <f t="shared" si="58"/>
        <v>0</v>
      </c>
      <c r="V377" s="93"/>
      <c r="W377" s="93"/>
      <c r="X377" s="97"/>
      <c r="Y377" s="97"/>
      <c r="Z377" s="98"/>
      <c r="AA377" s="97"/>
      <c r="AB377" s="98"/>
      <c r="AC377" s="98"/>
      <c r="AD377" s="98"/>
      <c r="AE377" s="93"/>
      <c r="AF377" s="93"/>
      <c r="AG377" s="99"/>
      <c r="AH377" s="99"/>
      <c r="AI377" s="101"/>
    </row>
    <row r="378" spans="1:35" ht="12.75">
      <c r="A378" s="114"/>
      <c r="B378" s="114"/>
      <c r="C378" s="114"/>
      <c r="D378" s="115"/>
      <c r="E378" s="115"/>
      <c r="F378" s="115"/>
      <c r="G378" s="116"/>
      <c r="H378" s="115"/>
      <c r="I378" s="117"/>
      <c r="J378" s="116"/>
      <c r="K378" s="116"/>
      <c r="L378" s="116"/>
      <c r="M378" s="116"/>
      <c r="N378" s="118"/>
      <c r="O378" s="118"/>
      <c r="P378" s="119"/>
      <c r="Q378" s="118"/>
      <c r="R378" s="116"/>
      <c r="S378" s="118"/>
      <c r="T378" s="118"/>
      <c r="U378" s="119"/>
      <c r="V378" s="116"/>
      <c r="W378" s="116"/>
      <c r="X378" s="116"/>
      <c r="Y378" s="116"/>
      <c r="Z378" s="115"/>
      <c r="AA378" s="116"/>
      <c r="AB378" s="115"/>
      <c r="AC378" s="115"/>
      <c r="AD378" s="115"/>
      <c r="AE378" s="116"/>
      <c r="AF378" s="116"/>
      <c r="AG378" s="116"/>
      <c r="AH378" s="116"/>
      <c r="AI378" s="116"/>
    </row>
    <row r="379" spans="1:35" ht="12.75">
      <c r="A379" s="161" t="s">
        <v>342</v>
      </c>
      <c r="B379" s="162" t="s">
        <v>178</v>
      </c>
      <c r="C379" s="161" t="s">
        <v>342</v>
      </c>
      <c r="D379" s="162" t="s">
        <v>453</v>
      </c>
      <c r="E379" s="160" t="s">
        <v>47</v>
      </c>
      <c r="F379" s="162" t="s">
        <v>454</v>
      </c>
      <c r="G379" s="164"/>
      <c r="H379" s="77" t="s">
        <v>49</v>
      </c>
      <c r="I379" s="108"/>
      <c r="J379" s="78"/>
      <c r="K379" s="78"/>
      <c r="L379" s="79" t="b">
        <v>0</v>
      </c>
      <c r="M379" s="79" t="b">
        <v>0</v>
      </c>
      <c r="N379" s="81"/>
      <c r="O379" s="81"/>
      <c r="P379" s="80">
        <f t="shared" ref="P379:P390" si="59">N379+O379</f>
        <v>0</v>
      </c>
      <c r="Q379" s="81"/>
      <c r="R379" s="78"/>
      <c r="S379" s="81"/>
      <c r="T379" s="81"/>
      <c r="U379" s="80">
        <f t="shared" ref="U379:U390" si="60">S379+T379</f>
        <v>0</v>
      </c>
      <c r="V379" s="78"/>
      <c r="W379" s="78"/>
      <c r="X379" s="78"/>
      <c r="Y379" s="78"/>
      <c r="Z379" s="77"/>
      <c r="AA379" s="78"/>
      <c r="AB379" s="77"/>
      <c r="AC379" s="77"/>
      <c r="AD379" s="77"/>
      <c r="AE379" s="78"/>
      <c r="AF379" s="78"/>
      <c r="AG379" s="109"/>
      <c r="AH379" s="109"/>
      <c r="AI379" s="78"/>
    </row>
    <row r="380" spans="1:35" ht="12.75">
      <c r="A380" s="155"/>
      <c r="B380" s="155"/>
      <c r="C380" s="155"/>
      <c r="D380" s="155"/>
      <c r="E380" s="155"/>
      <c r="F380" s="155"/>
      <c r="G380" s="155"/>
      <c r="H380" s="85" t="s">
        <v>58</v>
      </c>
      <c r="I380" s="112"/>
      <c r="J380" s="84"/>
      <c r="K380" s="84"/>
      <c r="L380" s="86" t="b">
        <v>0</v>
      </c>
      <c r="M380" s="86" t="b">
        <v>0</v>
      </c>
      <c r="N380" s="83"/>
      <c r="O380" s="83"/>
      <c r="P380" s="87">
        <f t="shared" si="59"/>
        <v>0</v>
      </c>
      <c r="Q380" s="83"/>
      <c r="R380" s="84"/>
      <c r="S380" s="83"/>
      <c r="T380" s="83"/>
      <c r="U380" s="87">
        <f t="shared" si="60"/>
        <v>0</v>
      </c>
      <c r="V380" s="84"/>
      <c r="W380" s="84"/>
      <c r="X380" s="84"/>
      <c r="Y380" s="84"/>
      <c r="Z380" s="85"/>
      <c r="AA380" s="84"/>
      <c r="AB380" s="85"/>
      <c r="AC380" s="85"/>
      <c r="AD380" s="85"/>
      <c r="AE380" s="84"/>
      <c r="AF380" s="84"/>
      <c r="AG380" s="110"/>
      <c r="AH380" s="110"/>
      <c r="AI380" s="84"/>
    </row>
    <row r="381" spans="1:35" ht="12.75">
      <c r="A381" s="155"/>
      <c r="B381" s="155"/>
      <c r="C381" s="155"/>
      <c r="D381" s="157" t="s">
        <v>453</v>
      </c>
      <c r="E381" s="157" t="s">
        <v>59</v>
      </c>
      <c r="F381" s="157" t="s">
        <v>454</v>
      </c>
      <c r="G381" s="158"/>
      <c r="H381" s="5" t="s">
        <v>49</v>
      </c>
      <c r="I381" s="17"/>
      <c r="J381" s="9"/>
      <c r="K381" s="9"/>
      <c r="L381" s="11" t="b">
        <v>0</v>
      </c>
      <c r="M381" s="11" t="b">
        <v>0</v>
      </c>
      <c r="N381" s="7"/>
      <c r="O381" s="7"/>
      <c r="P381" s="8">
        <f t="shared" si="59"/>
        <v>0</v>
      </c>
      <c r="Q381" s="7"/>
      <c r="R381" s="9"/>
      <c r="S381" s="7"/>
      <c r="T381" s="7"/>
      <c r="U381" s="8">
        <f t="shared" si="60"/>
        <v>0</v>
      </c>
      <c r="V381" s="9"/>
      <c r="W381" s="9"/>
      <c r="X381" s="18"/>
      <c r="Y381" s="18"/>
      <c r="Z381" s="19"/>
      <c r="AA381" s="18"/>
      <c r="AB381" s="19"/>
      <c r="AC381" s="19"/>
      <c r="AD381" s="19"/>
      <c r="AE381" s="9"/>
      <c r="AF381" s="9"/>
      <c r="AG381" s="26"/>
      <c r="AH381" s="26"/>
      <c r="AI381" s="89"/>
    </row>
    <row r="382" spans="1:35" ht="12.75">
      <c r="A382" s="155"/>
      <c r="B382" s="155"/>
      <c r="C382" s="155"/>
      <c r="D382" s="155"/>
      <c r="E382" s="155"/>
      <c r="F382" s="155"/>
      <c r="G382" s="155"/>
      <c r="H382" s="5" t="s">
        <v>58</v>
      </c>
      <c r="I382" s="22"/>
      <c r="J382" s="9"/>
      <c r="K382" s="9"/>
      <c r="L382" s="11" t="b">
        <v>0</v>
      </c>
      <c r="M382" s="11" t="b">
        <v>0</v>
      </c>
      <c r="N382" s="7"/>
      <c r="O382" s="7"/>
      <c r="P382" s="8">
        <f t="shared" si="59"/>
        <v>0</v>
      </c>
      <c r="Q382" s="7"/>
      <c r="R382" s="9"/>
      <c r="S382" s="7"/>
      <c r="T382" s="7"/>
      <c r="U382" s="8">
        <f t="shared" si="60"/>
        <v>0</v>
      </c>
      <c r="V382" s="9"/>
      <c r="W382" s="9"/>
      <c r="X382" s="18"/>
      <c r="Y382" s="18"/>
      <c r="Z382" s="19"/>
      <c r="AA382" s="18"/>
      <c r="AB382" s="19"/>
      <c r="AC382" s="19"/>
      <c r="AD382" s="19"/>
      <c r="AE382" s="9"/>
      <c r="AF382" s="9"/>
      <c r="AG382" s="26"/>
      <c r="AH382" s="26"/>
      <c r="AI382" s="9"/>
    </row>
    <row r="383" spans="1:35" ht="15">
      <c r="A383" s="113"/>
      <c r="B383" s="113"/>
      <c r="C383" s="113"/>
      <c r="D383" s="159" t="s">
        <v>455</v>
      </c>
      <c r="E383" s="159" t="s">
        <v>456</v>
      </c>
      <c r="F383" s="163" t="s">
        <v>457</v>
      </c>
      <c r="G383" s="165"/>
      <c r="H383" s="91" t="s">
        <v>458</v>
      </c>
      <c r="I383" s="92"/>
      <c r="J383" s="93"/>
      <c r="K383" s="93"/>
      <c r="L383" s="94" t="b">
        <v>0</v>
      </c>
      <c r="M383" s="94" t="b">
        <v>0</v>
      </c>
      <c r="N383" s="95"/>
      <c r="O383" s="95"/>
      <c r="P383" s="96">
        <f t="shared" si="59"/>
        <v>0</v>
      </c>
      <c r="Q383" s="95"/>
      <c r="R383" s="93"/>
      <c r="S383" s="95"/>
      <c r="T383" s="95"/>
      <c r="U383" s="96">
        <f t="shared" si="60"/>
        <v>0</v>
      </c>
      <c r="V383" s="93"/>
      <c r="W383" s="93"/>
      <c r="X383" s="97"/>
      <c r="Y383" s="97"/>
      <c r="Z383" s="98"/>
      <c r="AA383" s="97"/>
      <c r="AB383" s="98"/>
      <c r="AC383" s="98"/>
      <c r="AD383" s="98"/>
      <c r="AE383" s="93"/>
      <c r="AF383" s="93"/>
      <c r="AG383" s="99"/>
      <c r="AH383" s="99"/>
      <c r="AI383" s="93"/>
    </row>
    <row r="384" spans="1:35" ht="15">
      <c r="A384" s="113"/>
      <c r="B384" s="113"/>
      <c r="C384" s="113"/>
      <c r="D384" s="155"/>
      <c r="E384" s="155"/>
      <c r="F384" s="155"/>
      <c r="G384" s="155"/>
      <c r="H384" s="91" t="s">
        <v>58</v>
      </c>
      <c r="I384" s="92"/>
      <c r="J384" s="93"/>
      <c r="K384" s="93"/>
      <c r="L384" s="94" t="b">
        <v>0</v>
      </c>
      <c r="M384" s="94" t="b">
        <v>0</v>
      </c>
      <c r="N384" s="95"/>
      <c r="O384" s="95"/>
      <c r="P384" s="96">
        <f t="shared" si="59"/>
        <v>0</v>
      </c>
      <c r="Q384" s="95"/>
      <c r="R384" s="93"/>
      <c r="S384" s="95"/>
      <c r="T384" s="95"/>
      <c r="U384" s="96">
        <f t="shared" si="60"/>
        <v>0</v>
      </c>
      <c r="V384" s="93"/>
      <c r="W384" s="93"/>
      <c r="X384" s="97"/>
      <c r="Y384" s="97"/>
      <c r="Z384" s="98"/>
      <c r="AA384" s="97"/>
      <c r="AB384" s="98"/>
      <c r="AC384" s="98"/>
      <c r="AD384" s="98"/>
      <c r="AE384" s="93"/>
      <c r="AF384" s="93"/>
      <c r="AG384" s="99"/>
      <c r="AH384" s="99"/>
      <c r="AI384" s="100"/>
    </row>
    <row r="385" spans="1:35" ht="15">
      <c r="A385" s="113"/>
      <c r="B385" s="113"/>
      <c r="C385" s="113"/>
      <c r="D385" s="159" t="s">
        <v>455</v>
      </c>
      <c r="E385" s="166" t="s">
        <v>459</v>
      </c>
      <c r="F385" s="163" t="s">
        <v>457</v>
      </c>
      <c r="G385" s="165"/>
      <c r="H385" s="91" t="s">
        <v>458</v>
      </c>
      <c r="I385" s="92"/>
      <c r="J385" s="93"/>
      <c r="K385" s="93"/>
      <c r="L385" s="94" t="b">
        <v>0</v>
      </c>
      <c r="M385" s="94" t="b">
        <v>0</v>
      </c>
      <c r="N385" s="95"/>
      <c r="O385" s="95"/>
      <c r="P385" s="96">
        <f t="shared" si="59"/>
        <v>0</v>
      </c>
      <c r="Q385" s="95"/>
      <c r="R385" s="93"/>
      <c r="S385" s="95"/>
      <c r="T385" s="95"/>
      <c r="U385" s="96">
        <f t="shared" si="60"/>
        <v>0</v>
      </c>
      <c r="V385" s="93"/>
      <c r="W385" s="93"/>
      <c r="X385" s="93"/>
      <c r="Y385" s="93"/>
      <c r="Z385" s="91"/>
      <c r="AA385" s="93"/>
      <c r="AB385" s="91"/>
      <c r="AC385" s="91"/>
      <c r="AD385" s="91"/>
      <c r="AE385" s="93"/>
      <c r="AF385" s="93"/>
      <c r="AG385" s="99"/>
      <c r="AH385" s="99"/>
      <c r="AI385" s="101"/>
    </row>
    <row r="386" spans="1:35" ht="12.75">
      <c r="A386" s="113"/>
      <c r="B386" s="113"/>
      <c r="C386" s="113"/>
      <c r="D386" s="155"/>
      <c r="E386" s="155"/>
      <c r="F386" s="155"/>
      <c r="G386" s="155"/>
      <c r="H386" s="91" t="s">
        <v>58</v>
      </c>
      <c r="I386" s="102"/>
      <c r="J386" s="93"/>
      <c r="K386" s="93"/>
      <c r="L386" s="94" t="b">
        <v>0</v>
      </c>
      <c r="M386" s="94" t="b">
        <v>0</v>
      </c>
      <c r="N386" s="95"/>
      <c r="O386" s="95"/>
      <c r="P386" s="96">
        <f t="shared" si="59"/>
        <v>0</v>
      </c>
      <c r="Q386" s="95"/>
      <c r="R386" s="93"/>
      <c r="S386" s="95"/>
      <c r="T386" s="95"/>
      <c r="U386" s="96">
        <f t="shared" si="60"/>
        <v>0</v>
      </c>
      <c r="V386" s="93"/>
      <c r="W386" s="93"/>
      <c r="X386" s="93"/>
      <c r="Y386" s="93"/>
      <c r="Z386" s="91"/>
      <c r="AA386" s="93"/>
      <c r="AB386" s="91"/>
      <c r="AC386" s="91"/>
      <c r="AD386" s="91"/>
      <c r="AE386" s="93"/>
      <c r="AF386" s="93"/>
      <c r="AG386" s="99"/>
      <c r="AH386" s="99"/>
      <c r="AI386" s="99"/>
    </row>
    <row r="387" spans="1:35" ht="15">
      <c r="A387" s="113"/>
      <c r="B387" s="113"/>
      <c r="C387" s="113"/>
      <c r="D387" s="159" t="s">
        <v>460</v>
      </c>
      <c r="E387" s="163" t="s">
        <v>461</v>
      </c>
      <c r="F387" s="159" t="s">
        <v>462</v>
      </c>
      <c r="G387" s="165"/>
      <c r="H387" s="91" t="s">
        <v>49</v>
      </c>
      <c r="I387" s="103"/>
      <c r="J387" s="93"/>
      <c r="K387" s="93"/>
      <c r="L387" s="94" t="b">
        <v>0</v>
      </c>
      <c r="M387" s="94" t="b">
        <v>0</v>
      </c>
      <c r="N387" s="95"/>
      <c r="O387" s="95"/>
      <c r="P387" s="96">
        <f t="shared" si="59"/>
        <v>0</v>
      </c>
      <c r="Q387" s="95"/>
      <c r="R387" s="93"/>
      <c r="S387" s="95"/>
      <c r="T387" s="95"/>
      <c r="U387" s="96">
        <f t="shared" si="60"/>
        <v>0</v>
      </c>
      <c r="V387" s="93"/>
      <c r="W387" s="93"/>
      <c r="X387" s="93"/>
      <c r="Y387" s="93"/>
      <c r="Z387" s="91"/>
      <c r="AA387" s="93"/>
      <c r="AB387" s="91"/>
      <c r="AC387" s="91"/>
      <c r="AD387" s="91"/>
      <c r="AE387" s="93"/>
      <c r="AF387" s="93"/>
      <c r="AG387" s="99"/>
      <c r="AH387" s="99"/>
      <c r="AI387" s="101"/>
    </row>
    <row r="388" spans="1:35" ht="15">
      <c r="A388" s="113"/>
      <c r="B388" s="113"/>
      <c r="C388" s="113"/>
      <c r="D388" s="155"/>
      <c r="E388" s="155"/>
      <c r="F388" s="155"/>
      <c r="G388" s="155"/>
      <c r="H388" s="91" t="s">
        <v>58</v>
      </c>
      <c r="I388" s="103"/>
      <c r="J388" s="93"/>
      <c r="K388" s="93"/>
      <c r="L388" s="94" t="b">
        <v>0</v>
      </c>
      <c r="M388" s="94" t="b">
        <v>0</v>
      </c>
      <c r="N388" s="95"/>
      <c r="O388" s="95"/>
      <c r="P388" s="96">
        <f t="shared" si="59"/>
        <v>0</v>
      </c>
      <c r="Q388" s="95"/>
      <c r="R388" s="93"/>
      <c r="S388" s="95"/>
      <c r="T388" s="95"/>
      <c r="U388" s="96">
        <f t="shared" si="60"/>
        <v>0</v>
      </c>
      <c r="V388" s="93"/>
      <c r="W388" s="93"/>
      <c r="X388" s="97"/>
      <c r="Y388" s="97"/>
      <c r="Z388" s="98"/>
      <c r="AA388" s="97"/>
      <c r="AB388" s="98"/>
      <c r="AC388" s="98"/>
      <c r="AD388" s="98"/>
      <c r="AE388" s="93"/>
      <c r="AF388" s="93"/>
      <c r="AG388" s="99"/>
      <c r="AH388" s="99"/>
      <c r="AI388" s="101"/>
    </row>
    <row r="389" spans="1:35" ht="15">
      <c r="A389" s="113"/>
      <c r="B389" s="113"/>
      <c r="C389" s="113"/>
      <c r="D389" s="159" t="s">
        <v>453</v>
      </c>
      <c r="E389" s="159" t="s">
        <v>463</v>
      </c>
      <c r="F389" s="159" t="s">
        <v>464</v>
      </c>
      <c r="G389" s="165"/>
      <c r="H389" s="91" t="s">
        <v>465</v>
      </c>
      <c r="I389" s="103"/>
      <c r="J389" s="93"/>
      <c r="K389" s="93"/>
      <c r="L389" s="94" t="b">
        <v>0</v>
      </c>
      <c r="M389" s="94" t="b">
        <v>0</v>
      </c>
      <c r="N389" s="95"/>
      <c r="O389" s="95"/>
      <c r="P389" s="96">
        <f t="shared" si="59"/>
        <v>0</v>
      </c>
      <c r="Q389" s="95"/>
      <c r="R389" s="93"/>
      <c r="S389" s="95"/>
      <c r="T389" s="95"/>
      <c r="U389" s="96">
        <f t="shared" si="60"/>
        <v>0</v>
      </c>
      <c r="V389" s="93"/>
      <c r="W389" s="93"/>
      <c r="X389" s="97"/>
      <c r="Y389" s="97"/>
      <c r="Z389" s="98"/>
      <c r="AA389" s="97"/>
      <c r="AB389" s="98"/>
      <c r="AC389" s="98"/>
      <c r="AD389" s="98"/>
      <c r="AE389" s="93"/>
      <c r="AF389" s="93"/>
      <c r="AG389" s="99"/>
      <c r="AH389" s="99"/>
      <c r="AI389" s="101"/>
    </row>
    <row r="390" spans="1:35" ht="15">
      <c r="A390" s="113"/>
      <c r="B390" s="113"/>
      <c r="C390" s="113"/>
      <c r="D390" s="155"/>
      <c r="E390" s="155"/>
      <c r="F390" s="155"/>
      <c r="G390" s="155"/>
      <c r="H390" s="91" t="s">
        <v>58</v>
      </c>
      <c r="I390" s="103"/>
      <c r="J390" s="93"/>
      <c r="K390" s="93"/>
      <c r="L390" s="94" t="b">
        <v>0</v>
      </c>
      <c r="M390" s="94" t="b">
        <v>0</v>
      </c>
      <c r="N390" s="95"/>
      <c r="O390" s="95"/>
      <c r="P390" s="96">
        <f t="shared" si="59"/>
        <v>0</v>
      </c>
      <c r="Q390" s="95"/>
      <c r="R390" s="93"/>
      <c r="S390" s="95"/>
      <c r="T390" s="95"/>
      <c r="U390" s="96">
        <f t="shared" si="60"/>
        <v>0</v>
      </c>
      <c r="V390" s="93"/>
      <c r="W390" s="93"/>
      <c r="X390" s="97"/>
      <c r="Y390" s="97"/>
      <c r="Z390" s="98"/>
      <c r="AA390" s="97"/>
      <c r="AB390" s="98"/>
      <c r="AC390" s="98"/>
      <c r="AD390" s="98"/>
      <c r="AE390" s="93"/>
      <c r="AF390" s="93"/>
      <c r="AG390" s="99"/>
      <c r="AH390" s="99"/>
      <c r="AI390" s="101"/>
    </row>
    <row r="391" spans="1:35" ht="12.75">
      <c r="A391" s="114"/>
      <c r="B391" s="114"/>
      <c r="C391" s="114"/>
      <c r="D391" s="115"/>
      <c r="E391" s="115"/>
      <c r="F391" s="115"/>
      <c r="G391" s="116"/>
      <c r="H391" s="115"/>
      <c r="I391" s="117"/>
      <c r="J391" s="116"/>
      <c r="K391" s="116"/>
      <c r="L391" s="116"/>
      <c r="M391" s="116"/>
      <c r="N391" s="118"/>
      <c r="O391" s="118"/>
      <c r="P391" s="119"/>
      <c r="Q391" s="118"/>
      <c r="R391" s="116"/>
      <c r="S391" s="118"/>
      <c r="T391" s="118"/>
      <c r="U391" s="119"/>
      <c r="V391" s="116"/>
      <c r="W391" s="116"/>
      <c r="X391" s="116"/>
      <c r="Y391" s="116"/>
      <c r="Z391" s="115"/>
      <c r="AA391" s="116"/>
      <c r="AB391" s="115"/>
      <c r="AC391" s="115"/>
      <c r="AD391" s="115"/>
      <c r="AE391" s="116"/>
      <c r="AF391" s="116"/>
      <c r="AG391" s="116"/>
      <c r="AH391" s="116"/>
      <c r="AI391" s="116"/>
    </row>
    <row r="392" spans="1:35" ht="12.75">
      <c r="A392" s="171" t="s">
        <v>352</v>
      </c>
      <c r="B392" s="162" t="s">
        <v>353</v>
      </c>
      <c r="C392" s="171" t="s">
        <v>354</v>
      </c>
      <c r="D392" s="162" t="s">
        <v>453</v>
      </c>
      <c r="E392" s="160" t="s">
        <v>47</v>
      </c>
      <c r="F392" s="162" t="s">
        <v>454</v>
      </c>
      <c r="G392" s="164"/>
      <c r="H392" s="77" t="s">
        <v>49</v>
      </c>
      <c r="I392" s="108"/>
      <c r="J392" s="78"/>
      <c r="K392" s="78"/>
      <c r="L392" s="79" t="b">
        <v>0</v>
      </c>
      <c r="M392" s="79" t="b">
        <v>0</v>
      </c>
      <c r="N392" s="81"/>
      <c r="O392" s="81"/>
      <c r="P392" s="80">
        <f t="shared" ref="P392:P403" si="61">N392+O392</f>
        <v>0</v>
      </c>
      <c r="Q392" s="81"/>
      <c r="R392" s="78"/>
      <c r="S392" s="81"/>
      <c r="T392" s="81"/>
      <c r="U392" s="80">
        <f t="shared" ref="U392:U403" si="62">S392+T392</f>
        <v>0</v>
      </c>
      <c r="V392" s="78"/>
      <c r="W392" s="78"/>
      <c r="X392" s="78"/>
      <c r="Y392" s="78"/>
      <c r="Z392" s="77"/>
      <c r="AA392" s="78"/>
      <c r="AB392" s="77"/>
      <c r="AC392" s="77"/>
      <c r="AD392" s="77"/>
      <c r="AE392" s="78"/>
      <c r="AF392" s="78"/>
      <c r="AG392" s="109"/>
      <c r="AH392" s="109"/>
      <c r="AI392" s="78"/>
    </row>
    <row r="393" spans="1:35" ht="12.75">
      <c r="A393" s="155"/>
      <c r="B393" s="155"/>
      <c r="C393" s="155"/>
      <c r="D393" s="155"/>
      <c r="E393" s="155"/>
      <c r="F393" s="155"/>
      <c r="G393" s="155"/>
      <c r="H393" s="85" t="s">
        <v>58</v>
      </c>
      <c r="I393" s="112"/>
      <c r="J393" s="84"/>
      <c r="K393" s="84"/>
      <c r="L393" s="86" t="b">
        <v>0</v>
      </c>
      <c r="M393" s="86" t="b">
        <v>0</v>
      </c>
      <c r="N393" s="83"/>
      <c r="O393" s="83"/>
      <c r="P393" s="87">
        <f t="shared" si="61"/>
        <v>0</v>
      </c>
      <c r="Q393" s="83"/>
      <c r="R393" s="84"/>
      <c r="S393" s="83"/>
      <c r="T393" s="83"/>
      <c r="U393" s="87">
        <f t="shared" si="62"/>
        <v>0</v>
      </c>
      <c r="V393" s="84"/>
      <c r="W393" s="84"/>
      <c r="X393" s="84"/>
      <c r="Y393" s="84"/>
      <c r="Z393" s="85"/>
      <c r="AA393" s="84"/>
      <c r="AB393" s="85"/>
      <c r="AC393" s="85"/>
      <c r="AD393" s="85"/>
      <c r="AE393" s="84"/>
      <c r="AF393" s="84"/>
      <c r="AG393" s="110"/>
      <c r="AH393" s="110"/>
      <c r="AI393" s="84"/>
    </row>
    <row r="394" spans="1:35" ht="12.75">
      <c r="A394" s="155"/>
      <c r="B394" s="155"/>
      <c r="C394" s="155"/>
      <c r="D394" s="157" t="s">
        <v>453</v>
      </c>
      <c r="E394" s="157" t="s">
        <v>59</v>
      </c>
      <c r="F394" s="157" t="s">
        <v>454</v>
      </c>
      <c r="G394" s="158"/>
      <c r="H394" s="5" t="s">
        <v>49</v>
      </c>
      <c r="I394" s="17"/>
      <c r="J394" s="9"/>
      <c r="K394" s="9"/>
      <c r="L394" s="11" t="b">
        <v>0</v>
      </c>
      <c r="M394" s="11" t="b">
        <v>0</v>
      </c>
      <c r="N394" s="7"/>
      <c r="O394" s="7"/>
      <c r="P394" s="8">
        <f t="shared" si="61"/>
        <v>0</v>
      </c>
      <c r="Q394" s="7"/>
      <c r="R394" s="9"/>
      <c r="S394" s="7"/>
      <c r="T394" s="7"/>
      <c r="U394" s="8">
        <f t="shared" si="62"/>
        <v>0</v>
      </c>
      <c r="V394" s="9"/>
      <c r="W394" s="9"/>
      <c r="X394" s="18"/>
      <c r="Y394" s="18"/>
      <c r="Z394" s="19"/>
      <c r="AA394" s="18"/>
      <c r="AB394" s="19"/>
      <c r="AC394" s="19"/>
      <c r="AD394" s="19"/>
      <c r="AE394" s="9"/>
      <c r="AF394" s="9"/>
      <c r="AG394" s="26"/>
      <c r="AH394" s="26"/>
      <c r="AI394" s="89"/>
    </row>
    <row r="395" spans="1:35" ht="12.75">
      <c r="A395" s="155"/>
      <c r="B395" s="155"/>
      <c r="C395" s="155"/>
      <c r="D395" s="155"/>
      <c r="E395" s="155"/>
      <c r="F395" s="155"/>
      <c r="G395" s="155"/>
      <c r="H395" s="5" t="s">
        <v>58</v>
      </c>
      <c r="I395" s="22"/>
      <c r="J395" s="9"/>
      <c r="K395" s="9"/>
      <c r="L395" s="11" t="b">
        <v>0</v>
      </c>
      <c r="M395" s="11" t="b">
        <v>0</v>
      </c>
      <c r="N395" s="7"/>
      <c r="O395" s="7"/>
      <c r="P395" s="8">
        <f t="shared" si="61"/>
        <v>0</v>
      </c>
      <c r="Q395" s="7"/>
      <c r="R395" s="9"/>
      <c r="S395" s="7"/>
      <c r="T395" s="7"/>
      <c r="U395" s="8">
        <f t="shared" si="62"/>
        <v>0</v>
      </c>
      <c r="V395" s="9"/>
      <c r="W395" s="9"/>
      <c r="X395" s="18"/>
      <c r="Y395" s="18"/>
      <c r="Z395" s="19"/>
      <c r="AA395" s="18"/>
      <c r="AB395" s="19"/>
      <c r="AC395" s="19"/>
      <c r="AD395" s="19"/>
      <c r="AE395" s="9"/>
      <c r="AF395" s="9"/>
      <c r="AG395" s="26"/>
      <c r="AH395" s="26"/>
      <c r="AI395" s="9"/>
    </row>
    <row r="396" spans="1:35" ht="15">
      <c r="A396" s="113"/>
      <c r="B396" s="113"/>
      <c r="C396" s="113"/>
      <c r="D396" s="159" t="s">
        <v>455</v>
      </c>
      <c r="E396" s="159" t="s">
        <v>456</v>
      </c>
      <c r="F396" s="163" t="s">
        <v>457</v>
      </c>
      <c r="G396" s="165"/>
      <c r="H396" s="91" t="s">
        <v>458</v>
      </c>
      <c r="I396" s="92"/>
      <c r="J396" s="93"/>
      <c r="K396" s="93"/>
      <c r="L396" s="94" t="b">
        <v>0</v>
      </c>
      <c r="M396" s="94" t="b">
        <v>0</v>
      </c>
      <c r="N396" s="95"/>
      <c r="O396" s="95"/>
      <c r="P396" s="96">
        <f t="shared" si="61"/>
        <v>0</v>
      </c>
      <c r="Q396" s="95"/>
      <c r="R396" s="93"/>
      <c r="S396" s="95"/>
      <c r="T396" s="95"/>
      <c r="U396" s="96">
        <f t="shared" si="62"/>
        <v>0</v>
      </c>
      <c r="V396" s="93"/>
      <c r="W396" s="93"/>
      <c r="X396" s="97"/>
      <c r="Y396" s="97"/>
      <c r="Z396" s="98"/>
      <c r="AA396" s="97"/>
      <c r="AB396" s="98"/>
      <c r="AC396" s="98"/>
      <c r="AD396" s="98"/>
      <c r="AE396" s="93"/>
      <c r="AF396" s="93"/>
      <c r="AG396" s="99"/>
      <c r="AH396" s="99"/>
      <c r="AI396" s="93"/>
    </row>
    <row r="397" spans="1:35" ht="15">
      <c r="A397" s="113"/>
      <c r="B397" s="113"/>
      <c r="C397" s="113"/>
      <c r="D397" s="155"/>
      <c r="E397" s="155"/>
      <c r="F397" s="155"/>
      <c r="G397" s="155"/>
      <c r="H397" s="91" t="s">
        <v>58</v>
      </c>
      <c r="I397" s="92"/>
      <c r="J397" s="93"/>
      <c r="K397" s="93"/>
      <c r="L397" s="94" t="b">
        <v>0</v>
      </c>
      <c r="M397" s="94" t="b">
        <v>0</v>
      </c>
      <c r="N397" s="95"/>
      <c r="O397" s="95"/>
      <c r="P397" s="96">
        <f t="shared" si="61"/>
        <v>0</v>
      </c>
      <c r="Q397" s="95"/>
      <c r="R397" s="93"/>
      <c r="S397" s="95"/>
      <c r="T397" s="95"/>
      <c r="U397" s="96">
        <f t="shared" si="62"/>
        <v>0</v>
      </c>
      <c r="V397" s="93"/>
      <c r="W397" s="93"/>
      <c r="X397" s="97"/>
      <c r="Y397" s="97"/>
      <c r="Z397" s="98"/>
      <c r="AA397" s="97"/>
      <c r="AB397" s="98"/>
      <c r="AC397" s="98"/>
      <c r="AD397" s="98"/>
      <c r="AE397" s="93"/>
      <c r="AF397" s="93"/>
      <c r="AG397" s="99"/>
      <c r="AH397" s="99"/>
      <c r="AI397" s="100"/>
    </row>
    <row r="398" spans="1:35" ht="15">
      <c r="A398" s="113"/>
      <c r="B398" s="113"/>
      <c r="C398" s="113"/>
      <c r="D398" s="159" t="s">
        <v>455</v>
      </c>
      <c r="E398" s="166" t="s">
        <v>459</v>
      </c>
      <c r="F398" s="163" t="s">
        <v>457</v>
      </c>
      <c r="G398" s="165"/>
      <c r="H398" s="91" t="s">
        <v>458</v>
      </c>
      <c r="I398" s="92"/>
      <c r="J398" s="93"/>
      <c r="K398" s="93"/>
      <c r="L398" s="94" t="b">
        <v>0</v>
      </c>
      <c r="M398" s="94" t="b">
        <v>0</v>
      </c>
      <c r="N398" s="95"/>
      <c r="O398" s="95"/>
      <c r="P398" s="96">
        <f t="shared" si="61"/>
        <v>0</v>
      </c>
      <c r="Q398" s="95"/>
      <c r="R398" s="93"/>
      <c r="S398" s="95"/>
      <c r="T398" s="95"/>
      <c r="U398" s="96">
        <f t="shared" si="62"/>
        <v>0</v>
      </c>
      <c r="V398" s="93"/>
      <c r="W398" s="93"/>
      <c r="X398" s="93"/>
      <c r="Y398" s="93"/>
      <c r="Z398" s="91"/>
      <c r="AA398" s="93"/>
      <c r="AB398" s="91"/>
      <c r="AC398" s="91"/>
      <c r="AD398" s="91"/>
      <c r="AE398" s="93"/>
      <c r="AF398" s="93"/>
      <c r="AG398" s="99"/>
      <c r="AH398" s="99"/>
      <c r="AI398" s="101"/>
    </row>
    <row r="399" spans="1:35" ht="12.75">
      <c r="A399" s="113"/>
      <c r="B399" s="113"/>
      <c r="C399" s="113"/>
      <c r="D399" s="155"/>
      <c r="E399" s="155"/>
      <c r="F399" s="155"/>
      <c r="G399" s="155"/>
      <c r="H399" s="91" t="s">
        <v>58</v>
      </c>
      <c r="I399" s="102"/>
      <c r="J399" s="93"/>
      <c r="K399" s="93"/>
      <c r="L399" s="94" t="b">
        <v>0</v>
      </c>
      <c r="M399" s="94" t="b">
        <v>0</v>
      </c>
      <c r="N399" s="95"/>
      <c r="O399" s="95"/>
      <c r="P399" s="96">
        <f t="shared" si="61"/>
        <v>0</v>
      </c>
      <c r="Q399" s="95"/>
      <c r="R399" s="93"/>
      <c r="S399" s="95"/>
      <c r="T399" s="95"/>
      <c r="U399" s="96">
        <f t="shared" si="62"/>
        <v>0</v>
      </c>
      <c r="V399" s="93"/>
      <c r="W399" s="93"/>
      <c r="X399" s="93"/>
      <c r="Y399" s="93"/>
      <c r="Z399" s="91"/>
      <c r="AA399" s="93"/>
      <c r="AB399" s="91"/>
      <c r="AC399" s="91"/>
      <c r="AD399" s="91"/>
      <c r="AE399" s="93"/>
      <c r="AF399" s="93"/>
      <c r="AG399" s="99"/>
      <c r="AH399" s="99"/>
      <c r="AI399" s="99"/>
    </row>
    <row r="400" spans="1:35" ht="15">
      <c r="A400" s="113"/>
      <c r="B400" s="113"/>
      <c r="C400" s="113"/>
      <c r="D400" s="159" t="s">
        <v>460</v>
      </c>
      <c r="E400" s="163" t="s">
        <v>461</v>
      </c>
      <c r="F400" s="159" t="s">
        <v>462</v>
      </c>
      <c r="G400" s="165"/>
      <c r="H400" s="91" t="s">
        <v>49</v>
      </c>
      <c r="I400" s="103"/>
      <c r="J400" s="93"/>
      <c r="K400" s="93"/>
      <c r="L400" s="94" t="b">
        <v>0</v>
      </c>
      <c r="M400" s="94" t="b">
        <v>0</v>
      </c>
      <c r="N400" s="95"/>
      <c r="O400" s="95"/>
      <c r="P400" s="96">
        <f t="shared" si="61"/>
        <v>0</v>
      </c>
      <c r="Q400" s="95"/>
      <c r="R400" s="93"/>
      <c r="S400" s="95"/>
      <c r="T400" s="95"/>
      <c r="U400" s="96">
        <f t="shared" si="62"/>
        <v>0</v>
      </c>
      <c r="V400" s="93"/>
      <c r="W400" s="93"/>
      <c r="X400" s="93"/>
      <c r="Y400" s="93"/>
      <c r="Z400" s="91"/>
      <c r="AA400" s="93"/>
      <c r="AB400" s="91"/>
      <c r="AC400" s="91"/>
      <c r="AD400" s="91"/>
      <c r="AE400" s="93"/>
      <c r="AF400" s="93"/>
      <c r="AG400" s="99"/>
      <c r="AH400" s="99"/>
      <c r="AI400" s="101"/>
    </row>
    <row r="401" spans="1:35" ht="15">
      <c r="A401" s="113"/>
      <c r="B401" s="113"/>
      <c r="C401" s="113"/>
      <c r="D401" s="155"/>
      <c r="E401" s="155"/>
      <c r="F401" s="155"/>
      <c r="G401" s="155"/>
      <c r="H401" s="91" t="s">
        <v>58</v>
      </c>
      <c r="I401" s="103"/>
      <c r="J401" s="93"/>
      <c r="K401" s="93"/>
      <c r="L401" s="94" t="b">
        <v>0</v>
      </c>
      <c r="M401" s="94" t="b">
        <v>0</v>
      </c>
      <c r="N401" s="95"/>
      <c r="O401" s="95"/>
      <c r="P401" s="96">
        <f t="shared" si="61"/>
        <v>0</v>
      </c>
      <c r="Q401" s="95"/>
      <c r="R401" s="93"/>
      <c r="S401" s="95"/>
      <c r="T401" s="95"/>
      <c r="U401" s="96">
        <f t="shared" si="62"/>
        <v>0</v>
      </c>
      <c r="V401" s="93"/>
      <c r="W401" s="93"/>
      <c r="X401" s="97"/>
      <c r="Y401" s="97"/>
      <c r="Z401" s="98"/>
      <c r="AA401" s="97"/>
      <c r="AB401" s="98"/>
      <c r="AC401" s="98"/>
      <c r="AD401" s="98"/>
      <c r="AE401" s="93"/>
      <c r="AF401" s="93"/>
      <c r="AG401" s="99"/>
      <c r="AH401" s="99"/>
      <c r="AI401" s="101"/>
    </row>
    <row r="402" spans="1:35" ht="15">
      <c r="A402" s="113"/>
      <c r="B402" s="113"/>
      <c r="C402" s="113"/>
      <c r="D402" s="159" t="s">
        <v>453</v>
      </c>
      <c r="E402" s="159" t="s">
        <v>463</v>
      </c>
      <c r="F402" s="159" t="s">
        <v>464</v>
      </c>
      <c r="G402" s="165"/>
      <c r="H402" s="91" t="s">
        <v>465</v>
      </c>
      <c r="I402" s="103"/>
      <c r="J402" s="93"/>
      <c r="K402" s="93"/>
      <c r="L402" s="94" t="b">
        <v>0</v>
      </c>
      <c r="M402" s="94" t="b">
        <v>0</v>
      </c>
      <c r="N402" s="95"/>
      <c r="O402" s="95"/>
      <c r="P402" s="96">
        <f t="shared" si="61"/>
        <v>0</v>
      </c>
      <c r="Q402" s="95"/>
      <c r="R402" s="93"/>
      <c r="S402" s="95"/>
      <c r="T402" s="95"/>
      <c r="U402" s="96">
        <f t="shared" si="62"/>
        <v>0</v>
      </c>
      <c r="V402" s="93"/>
      <c r="W402" s="93"/>
      <c r="X402" s="97"/>
      <c r="Y402" s="97"/>
      <c r="Z402" s="98"/>
      <c r="AA402" s="97"/>
      <c r="AB402" s="98"/>
      <c r="AC402" s="98"/>
      <c r="AD402" s="98"/>
      <c r="AE402" s="93"/>
      <c r="AF402" s="93"/>
      <c r="AG402" s="99"/>
      <c r="AH402" s="99"/>
      <c r="AI402" s="101"/>
    </row>
    <row r="403" spans="1:35" ht="15">
      <c r="A403" s="113"/>
      <c r="B403" s="113"/>
      <c r="C403" s="113"/>
      <c r="D403" s="155"/>
      <c r="E403" s="155"/>
      <c r="F403" s="155"/>
      <c r="G403" s="155"/>
      <c r="H403" s="91" t="s">
        <v>58</v>
      </c>
      <c r="I403" s="103"/>
      <c r="J403" s="93"/>
      <c r="K403" s="93"/>
      <c r="L403" s="94" t="b">
        <v>0</v>
      </c>
      <c r="M403" s="94" t="b">
        <v>0</v>
      </c>
      <c r="N403" s="95"/>
      <c r="O403" s="95"/>
      <c r="P403" s="96">
        <f t="shared" si="61"/>
        <v>0</v>
      </c>
      <c r="Q403" s="95"/>
      <c r="R403" s="93"/>
      <c r="S403" s="95"/>
      <c r="T403" s="95"/>
      <c r="U403" s="96">
        <f t="shared" si="62"/>
        <v>0</v>
      </c>
      <c r="V403" s="93"/>
      <c r="W403" s="93"/>
      <c r="X403" s="97"/>
      <c r="Y403" s="97"/>
      <c r="Z403" s="98"/>
      <c r="AA403" s="97"/>
      <c r="AB403" s="98"/>
      <c r="AC403" s="98"/>
      <c r="AD403" s="98"/>
      <c r="AE403" s="93"/>
      <c r="AF403" s="93"/>
      <c r="AG403" s="99"/>
      <c r="AH403" s="99"/>
      <c r="AI403" s="101"/>
    </row>
    <row r="404" spans="1:35" ht="12.75">
      <c r="A404" s="114"/>
      <c r="B404" s="114"/>
      <c r="C404" s="114"/>
      <c r="D404" s="115"/>
      <c r="E404" s="115"/>
      <c r="F404" s="115"/>
      <c r="G404" s="116"/>
      <c r="H404" s="115"/>
      <c r="I404" s="117"/>
      <c r="J404" s="116"/>
      <c r="K404" s="116"/>
      <c r="L404" s="116"/>
      <c r="M404" s="116"/>
      <c r="N404" s="118"/>
      <c r="O404" s="118"/>
      <c r="P404" s="119"/>
      <c r="Q404" s="118"/>
      <c r="R404" s="116"/>
      <c r="S404" s="118"/>
      <c r="T404" s="118"/>
      <c r="U404" s="119"/>
      <c r="V404" s="116"/>
      <c r="W404" s="116"/>
      <c r="X404" s="116"/>
      <c r="Y404" s="116"/>
      <c r="Z404" s="115"/>
      <c r="AA404" s="116"/>
      <c r="AB404" s="115"/>
      <c r="AC404" s="115"/>
      <c r="AD404" s="115"/>
      <c r="AE404" s="116"/>
      <c r="AF404" s="116"/>
      <c r="AG404" s="116"/>
      <c r="AH404" s="116"/>
      <c r="AI404" s="116"/>
    </row>
    <row r="405" spans="1:35" ht="12.75">
      <c r="A405" s="171" t="s">
        <v>365</v>
      </c>
      <c r="B405" s="162" t="s">
        <v>353</v>
      </c>
      <c r="C405" s="171" t="s">
        <v>354</v>
      </c>
      <c r="D405" s="162" t="s">
        <v>453</v>
      </c>
      <c r="E405" s="160" t="s">
        <v>47</v>
      </c>
      <c r="F405" s="162" t="s">
        <v>454</v>
      </c>
      <c r="G405" s="164"/>
      <c r="H405" s="77" t="s">
        <v>49</v>
      </c>
      <c r="I405" s="108"/>
      <c r="J405" s="78"/>
      <c r="K405" s="78"/>
      <c r="L405" s="79" t="b">
        <v>0</v>
      </c>
      <c r="M405" s="79" t="b">
        <v>0</v>
      </c>
      <c r="N405" s="81"/>
      <c r="O405" s="81"/>
      <c r="P405" s="80">
        <f t="shared" ref="P405:P416" si="63">N405+O405</f>
        <v>0</v>
      </c>
      <c r="Q405" s="81"/>
      <c r="R405" s="78"/>
      <c r="S405" s="81"/>
      <c r="T405" s="81"/>
      <c r="U405" s="80">
        <f t="shared" ref="U405:U416" si="64">S405+T405</f>
        <v>0</v>
      </c>
      <c r="V405" s="78"/>
      <c r="W405" s="78"/>
      <c r="X405" s="78"/>
      <c r="Y405" s="78"/>
      <c r="Z405" s="77"/>
      <c r="AA405" s="78"/>
      <c r="AB405" s="77"/>
      <c r="AC405" s="77"/>
      <c r="AD405" s="77"/>
      <c r="AE405" s="78"/>
      <c r="AF405" s="78"/>
      <c r="AG405" s="109"/>
      <c r="AH405" s="109"/>
      <c r="AI405" s="78"/>
    </row>
    <row r="406" spans="1:35" ht="12.75">
      <c r="A406" s="155"/>
      <c r="B406" s="155"/>
      <c r="C406" s="155"/>
      <c r="D406" s="155"/>
      <c r="E406" s="155"/>
      <c r="F406" s="155"/>
      <c r="G406" s="155"/>
      <c r="H406" s="85" t="s">
        <v>58</v>
      </c>
      <c r="I406" s="112"/>
      <c r="J406" s="84"/>
      <c r="K406" s="84"/>
      <c r="L406" s="86" t="b">
        <v>0</v>
      </c>
      <c r="M406" s="86" t="b">
        <v>0</v>
      </c>
      <c r="N406" s="83"/>
      <c r="O406" s="83"/>
      <c r="P406" s="87">
        <f t="shared" si="63"/>
        <v>0</v>
      </c>
      <c r="Q406" s="83"/>
      <c r="R406" s="84"/>
      <c r="S406" s="83"/>
      <c r="T406" s="83"/>
      <c r="U406" s="87">
        <f t="shared" si="64"/>
        <v>0</v>
      </c>
      <c r="V406" s="84"/>
      <c r="W406" s="84"/>
      <c r="X406" s="84"/>
      <c r="Y406" s="84"/>
      <c r="Z406" s="85"/>
      <c r="AA406" s="84"/>
      <c r="AB406" s="85"/>
      <c r="AC406" s="85"/>
      <c r="AD406" s="85"/>
      <c r="AE406" s="84"/>
      <c r="AF406" s="84"/>
      <c r="AG406" s="110"/>
      <c r="AH406" s="110"/>
      <c r="AI406" s="84"/>
    </row>
    <row r="407" spans="1:35" ht="12.75">
      <c r="A407" s="155"/>
      <c r="B407" s="155"/>
      <c r="C407" s="155"/>
      <c r="D407" s="157" t="s">
        <v>453</v>
      </c>
      <c r="E407" s="157" t="s">
        <v>59</v>
      </c>
      <c r="F407" s="157" t="s">
        <v>454</v>
      </c>
      <c r="G407" s="158"/>
      <c r="H407" s="5" t="s">
        <v>49</v>
      </c>
      <c r="I407" s="17"/>
      <c r="J407" s="9"/>
      <c r="K407" s="9"/>
      <c r="L407" s="11" t="b">
        <v>0</v>
      </c>
      <c r="M407" s="11" t="b">
        <v>0</v>
      </c>
      <c r="N407" s="7"/>
      <c r="O407" s="7"/>
      <c r="P407" s="8">
        <f t="shared" si="63"/>
        <v>0</v>
      </c>
      <c r="Q407" s="7"/>
      <c r="R407" s="9"/>
      <c r="S407" s="7"/>
      <c r="T407" s="7"/>
      <c r="U407" s="8">
        <f t="shared" si="64"/>
        <v>0</v>
      </c>
      <c r="V407" s="9"/>
      <c r="W407" s="9"/>
      <c r="X407" s="18"/>
      <c r="Y407" s="18"/>
      <c r="Z407" s="19"/>
      <c r="AA407" s="18"/>
      <c r="AB407" s="19"/>
      <c r="AC407" s="19"/>
      <c r="AD407" s="19"/>
      <c r="AE407" s="9"/>
      <c r="AF407" s="9"/>
      <c r="AG407" s="26"/>
      <c r="AH407" s="26"/>
      <c r="AI407" s="89"/>
    </row>
    <row r="408" spans="1:35" ht="12.75">
      <c r="A408" s="155"/>
      <c r="B408" s="155"/>
      <c r="C408" s="155"/>
      <c r="D408" s="155"/>
      <c r="E408" s="155"/>
      <c r="F408" s="155"/>
      <c r="G408" s="155"/>
      <c r="H408" s="5" t="s">
        <v>58</v>
      </c>
      <c r="I408" s="22"/>
      <c r="J408" s="9"/>
      <c r="K408" s="9"/>
      <c r="L408" s="11" t="b">
        <v>0</v>
      </c>
      <c r="M408" s="11" t="b">
        <v>0</v>
      </c>
      <c r="N408" s="7"/>
      <c r="O408" s="7"/>
      <c r="P408" s="8">
        <f t="shared" si="63"/>
        <v>0</v>
      </c>
      <c r="Q408" s="7"/>
      <c r="R408" s="9"/>
      <c r="S408" s="7"/>
      <c r="T408" s="7"/>
      <c r="U408" s="8">
        <f t="shared" si="64"/>
        <v>0</v>
      </c>
      <c r="V408" s="9"/>
      <c r="W408" s="9"/>
      <c r="X408" s="18"/>
      <c r="Y408" s="18"/>
      <c r="Z408" s="19"/>
      <c r="AA408" s="18"/>
      <c r="AB408" s="19"/>
      <c r="AC408" s="19"/>
      <c r="AD408" s="19"/>
      <c r="AE408" s="9"/>
      <c r="AF408" s="9"/>
      <c r="AG408" s="26"/>
      <c r="AH408" s="26"/>
      <c r="AI408" s="9"/>
    </row>
    <row r="409" spans="1:35" ht="15">
      <c r="A409" s="113"/>
      <c r="B409" s="113"/>
      <c r="C409" s="113"/>
      <c r="D409" s="159" t="s">
        <v>455</v>
      </c>
      <c r="E409" s="159" t="s">
        <v>456</v>
      </c>
      <c r="F409" s="163" t="s">
        <v>457</v>
      </c>
      <c r="G409" s="165"/>
      <c r="H409" s="91" t="s">
        <v>458</v>
      </c>
      <c r="I409" s="92"/>
      <c r="J409" s="93"/>
      <c r="K409" s="93"/>
      <c r="L409" s="94" t="b">
        <v>0</v>
      </c>
      <c r="M409" s="94" t="b">
        <v>0</v>
      </c>
      <c r="N409" s="95"/>
      <c r="O409" s="95"/>
      <c r="P409" s="96">
        <f t="shared" si="63"/>
        <v>0</v>
      </c>
      <c r="Q409" s="95"/>
      <c r="R409" s="93"/>
      <c r="S409" s="95"/>
      <c r="T409" s="95"/>
      <c r="U409" s="96">
        <f t="shared" si="64"/>
        <v>0</v>
      </c>
      <c r="V409" s="93"/>
      <c r="W409" s="93"/>
      <c r="X409" s="97"/>
      <c r="Y409" s="97"/>
      <c r="Z409" s="98"/>
      <c r="AA409" s="97"/>
      <c r="AB409" s="98"/>
      <c r="AC409" s="98"/>
      <c r="AD409" s="98"/>
      <c r="AE409" s="93"/>
      <c r="AF409" s="93"/>
      <c r="AG409" s="99"/>
      <c r="AH409" s="99"/>
      <c r="AI409" s="93"/>
    </row>
    <row r="410" spans="1:35" ht="15">
      <c r="A410" s="113"/>
      <c r="B410" s="113"/>
      <c r="C410" s="113"/>
      <c r="D410" s="155"/>
      <c r="E410" s="155"/>
      <c r="F410" s="155"/>
      <c r="G410" s="155"/>
      <c r="H410" s="91" t="s">
        <v>58</v>
      </c>
      <c r="I410" s="92"/>
      <c r="J410" s="93"/>
      <c r="K410" s="93"/>
      <c r="L410" s="94" t="b">
        <v>0</v>
      </c>
      <c r="M410" s="94" t="b">
        <v>0</v>
      </c>
      <c r="N410" s="95"/>
      <c r="O410" s="95"/>
      <c r="P410" s="96">
        <f t="shared" si="63"/>
        <v>0</v>
      </c>
      <c r="Q410" s="95"/>
      <c r="R410" s="93"/>
      <c r="S410" s="95"/>
      <c r="T410" s="95"/>
      <c r="U410" s="96">
        <f t="shared" si="64"/>
        <v>0</v>
      </c>
      <c r="V410" s="93"/>
      <c r="W410" s="93"/>
      <c r="X410" s="97"/>
      <c r="Y410" s="97"/>
      <c r="Z410" s="98"/>
      <c r="AA410" s="97"/>
      <c r="AB410" s="98"/>
      <c r="AC410" s="98"/>
      <c r="AD410" s="98"/>
      <c r="AE410" s="93"/>
      <c r="AF410" s="93"/>
      <c r="AG410" s="99"/>
      <c r="AH410" s="99"/>
      <c r="AI410" s="100"/>
    </row>
    <row r="411" spans="1:35" ht="15">
      <c r="A411" s="113"/>
      <c r="B411" s="113"/>
      <c r="C411" s="113"/>
      <c r="D411" s="159" t="s">
        <v>455</v>
      </c>
      <c r="E411" s="166" t="s">
        <v>459</v>
      </c>
      <c r="F411" s="163" t="s">
        <v>457</v>
      </c>
      <c r="G411" s="165"/>
      <c r="H411" s="91" t="s">
        <v>458</v>
      </c>
      <c r="I411" s="92"/>
      <c r="J411" s="93"/>
      <c r="K411" s="93"/>
      <c r="L411" s="94" t="b">
        <v>0</v>
      </c>
      <c r="M411" s="94" t="b">
        <v>0</v>
      </c>
      <c r="N411" s="95"/>
      <c r="O411" s="95"/>
      <c r="P411" s="96">
        <f t="shared" si="63"/>
        <v>0</v>
      </c>
      <c r="Q411" s="95"/>
      <c r="R411" s="93"/>
      <c r="S411" s="95"/>
      <c r="T411" s="95"/>
      <c r="U411" s="96">
        <f t="shared" si="64"/>
        <v>0</v>
      </c>
      <c r="V411" s="93"/>
      <c r="W411" s="93"/>
      <c r="X411" s="93"/>
      <c r="Y411" s="93"/>
      <c r="Z411" s="91"/>
      <c r="AA411" s="93"/>
      <c r="AB411" s="91"/>
      <c r="AC411" s="91"/>
      <c r="AD411" s="91"/>
      <c r="AE411" s="93"/>
      <c r="AF411" s="93"/>
      <c r="AG411" s="99"/>
      <c r="AH411" s="99"/>
      <c r="AI411" s="101"/>
    </row>
    <row r="412" spans="1:35" ht="12.75">
      <c r="A412" s="113"/>
      <c r="B412" s="113"/>
      <c r="C412" s="113"/>
      <c r="D412" s="155"/>
      <c r="E412" s="155"/>
      <c r="F412" s="155"/>
      <c r="G412" s="155"/>
      <c r="H412" s="91" t="s">
        <v>58</v>
      </c>
      <c r="I412" s="102"/>
      <c r="J412" s="93"/>
      <c r="K412" s="93"/>
      <c r="L412" s="94" t="b">
        <v>0</v>
      </c>
      <c r="M412" s="94" t="b">
        <v>0</v>
      </c>
      <c r="N412" s="95"/>
      <c r="O412" s="95"/>
      <c r="P412" s="96">
        <f t="shared" si="63"/>
        <v>0</v>
      </c>
      <c r="Q412" s="95"/>
      <c r="R412" s="93"/>
      <c r="S412" s="95"/>
      <c r="T412" s="95"/>
      <c r="U412" s="96">
        <f t="shared" si="64"/>
        <v>0</v>
      </c>
      <c r="V412" s="93"/>
      <c r="W412" s="93"/>
      <c r="X412" s="93"/>
      <c r="Y412" s="93"/>
      <c r="Z412" s="91"/>
      <c r="AA412" s="93"/>
      <c r="AB412" s="91"/>
      <c r="AC412" s="91"/>
      <c r="AD412" s="91"/>
      <c r="AE412" s="93"/>
      <c r="AF412" s="93"/>
      <c r="AG412" s="99"/>
      <c r="AH412" s="99"/>
      <c r="AI412" s="99"/>
    </row>
    <row r="413" spans="1:35" ht="15">
      <c r="A413" s="113"/>
      <c r="B413" s="113"/>
      <c r="C413" s="113"/>
      <c r="D413" s="159" t="s">
        <v>460</v>
      </c>
      <c r="E413" s="163" t="s">
        <v>461</v>
      </c>
      <c r="F413" s="159" t="s">
        <v>462</v>
      </c>
      <c r="G413" s="165"/>
      <c r="H413" s="91" t="s">
        <v>49</v>
      </c>
      <c r="I413" s="103"/>
      <c r="J413" s="93"/>
      <c r="K413" s="93"/>
      <c r="L413" s="94" t="b">
        <v>0</v>
      </c>
      <c r="M413" s="94" t="b">
        <v>0</v>
      </c>
      <c r="N413" s="95"/>
      <c r="O413" s="95"/>
      <c r="P413" s="96">
        <f t="shared" si="63"/>
        <v>0</v>
      </c>
      <c r="Q413" s="95"/>
      <c r="R413" s="93"/>
      <c r="S413" s="95"/>
      <c r="T413" s="95"/>
      <c r="U413" s="96">
        <f t="shared" si="64"/>
        <v>0</v>
      </c>
      <c r="V413" s="93"/>
      <c r="W413" s="93"/>
      <c r="X413" s="93"/>
      <c r="Y413" s="93"/>
      <c r="Z413" s="91"/>
      <c r="AA413" s="93"/>
      <c r="AB413" s="91"/>
      <c r="AC413" s="91"/>
      <c r="AD413" s="91"/>
      <c r="AE413" s="93"/>
      <c r="AF413" s="93"/>
      <c r="AG413" s="99"/>
      <c r="AH413" s="99"/>
      <c r="AI413" s="101"/>
    </row>
    <row r="414" spans="1:35" ht="15">
      <c r="A414" s="113"/>
      <c r="B414" s="113"/>
      <c r="C414" s="113"/>
      <c r="D414" s="155"/>
      <c r="E414" s="155"/>
      <c r="F414" s="155"/>
      <c r="G414" s="155"/>
      <c r="H414" s="91" t="s">
        <v>58</v>
      </c>
      <c r="I414" s="103"/>
      <c r="J414" s="93"/>
      <c r="K414" s="93"/>
      <c r="L414" s="94" t="b">
        <v>0</v>
      </c>
      <c r="M414" s="94" t="b">
        <v>0</v>
      </c>
      <c r="N414" s="95"/>
      <c r="O414" s="95"/>
      <c r="P414" s="96">
        <f t="shared" si="63"/>
        <v>0</v>
      </c>
      <c r="Q414" s="95"/>
      <c r="R414" s="93"/>
      <c r="S414" s="95"/>
      <c r="T414" s="95"/>
      <c r="U414" s="96">
        <f t="shared" si="64"/>
        <v>0</v>
      </c>
      <c r="V414" s="93"/>
      <c r="W414" s="93"/>
      <c r="X414" s="97"/>
      <c r="Y414" s="97"/>
      <c r="Z414" s="98"/>
      <c r="AA414" s="97"/>
      <c r="AB414" s="98"/>
      <c r="AC414" s="98"/>
      <c r="AD414" s="98"/>
      <c r="AE414" s="93"/>
      <c r="AF414" s="93"/>
      <c r="AG414" s="99"/>
      <c r="AH414" s="99"/>
      <c r="AI414" s="101"/>
    </row>
    <row r="415" spans="1:35" ht="15">
      <c r="A415" s="113"/>
      <c r="B415" s="113"/>
      <c r="C415" s="113"/>
      <c r="D415" s="159" t="s">
        <v>453</v>
      </c>
      <c r="E415" s="159" t="s">
        <v>463</v>
      </c>
      <c r="F415" s="159" t="s">
        <v>464</v>
      </c>
      <c r="G415" s="165"/>
      <c r="H415" s="91" t="s">
        <v>465</v>
      </c>
      <c r="I415" s="103"/>
      <c r="J415" s="93"/>
      <c r="K415" s="93"/>
      <c r="L415" s="94" t="b">
        <v>0</v>
      </c>
      <c r="M415" s="94" t="b">
        <v>0</v>
      </c>
      <c r="N415" s="95"/>
      <c r="O415" s="95"/>
      <c r="P415" s="96">
        <f t="shared" si="63"/>
        <v>0</v>
      </c>
      <c r="Q415" s="95"/>
      <c r="R415" s="93"/>
      <c r="S415" s="95"/>
      <c r="T415" s="95"/>
      <c r="U415" s="96">
        <f t="shared" si="64"/>
        <v>0</v>
      </c>
      <c r="V415" s="93"/>
      <c r="W415" s="93"/>
      <c r="X415" s="97"/>
      <c r="Y415" s="97"/>
      <c r="Z415" s="98"/>
      <c r="AA415" s="97"/>
      <c r="AB415" s="98"/>
      <c r="AC415" s="98"/>
      <c r="AD415" s="98"/>
      <c r="AE415" s="93"/>
      <c r="AF415" s="93"/>
      <c r="AG415" s="99"/>
      <c r="AH415" s="99"/>
      <c r="AI415" s="101"/>
    </row>
    <row r="416" spans="1:35" ht="15">
      <c r="A416" s="113"/>
      <c r="B416" s="113"/>
      <c r="C416" s="113"/>
      <c r="D416" s="155"/>
      <c r="E416" s="155"/>
      <c r="F416" s="155"/>
      <c r="G416" s="155"/>
      <c r="H416" s="91" t="s">
        <v>58</v>
      </c>
      <c r="I416" s="103"/>
      <c r="J416" s="93"/>
      <c r="K416" s="93"/>
      <c r="L416" s="94" t="b">
        <v>0</v>
      </c>
      <c r="M416" s="94" t="b">
        <v>0</v>
      </c>
      <c r="N416" s="95"/>
      <c r="O416" s="95"/>
      <c r="P416" s="96">
        <f t="shared" si="63"/>
        <v>0</v>
      </c>
      <c r="Q416" s="95"/>
      <c r="R416" s="93"/>
      <c r="S416" s="95"/>
      <c r="T416" s="95"/>
      <c r="U416" s="96">
        <f t="shared" si="64"/>
        <v>0</v>
      </c>
      <c r="V416" s="93"/>
      <c r="W416" s="93"/>
      <c r="X416" s="97"/>
      <c r="Y416" s="97"/>
      <c r="Z416" s="98"/>
      <c r="AA416" s="97"/>
      <c r="AB416" s="98"/>
      <c r="AC416" s="98"/>
      <c r="AD416" s="98"/>
      <c r="AE416" s="93"/>
      <c r="AF416" s="93"/>
      <c r="AG416" s="99"/>
      <c r="AH416" s="99"/>
      <c r="AI416" s="101"/>
    </row>
    <row r="417" spans="1:35" ht="12.75">
      <c r="A417" s="114"/>
      <c r="B417" s="114"/>
      <c r="C417" s="114"/>
      <c r="D417" s="115"/>
      <c r="E417" s="115"/>
      <c r="F417" s="115"/>
      <c r="G417" s="116"/>
      <c r="H417" s="115"/>
      <c r="I417" s="117"/>
      <c r="J417" s="116"/>
      <c r="K417" s="116"/>
      <c r="L417" s="116"/>
      <c r="M417" s="116"/>
      <c r="N417" s="118"/>
      <c r="O417" s="118"/>
      <c r="P417" s="119"/>
      <c r="Q417" s="118"/>
      <c r="R417" s="116"/>
      <c r="S417" s="118"/>
      <c r="T417" s="118"/>
      <c r="U417" s="119"/>
      <c r="V417" s="116"/>
      <c r="W417" s="116"/>
      <c r="X417" s="116"/>
      <c r="Y417" s="116"/>
      <c r="Z417" s="115"/>
      <c r="AA417" s="116"/>
      <c r="AB417" s="115"/>
      <c r="AC417" s="115"/>
      <c r="AD417" s="115"/>
      <c r="AE417" s="116"/>
      <c r="AF417" s="116"/>
      <c r="AG417" s="116"/>
      <c r="AH417" s="116"/>
      <c r="AI417" s="116"/>
    </row>
    <row r="418" spans="1:35" ht="12.75">
      <c r="A418" s="171" t="s">
        <v>373</v>
      </c>
      <c r="B418" s="162" t="s">
        <v>353</v>
      </c>
      <c r="C418" s="171" t="s">
        <v>354</v>
      </c>
      <c r="D418" s="162" t="s">
        <v>453</v>
      </c>
      <c r="E418" s="160" t="s">
        <v>47</v>
      </c>
      <c r="F418" s="162" t="s">
        <v>454</v>
      </c>
      <c r="G418" s="164"/>
      <c r="H418" s="77" t="s">
        <v>49</v>
      </c>
      <c r="I418" s="108"/>
      <c r="J418" s="78"/>
      <c r="K418" s="78"/>
      <c r="L418" s="79" t="b">
        <v>0</v>
      </c>
      <c r="M418" s="79" t="b">
        <v>0</v>
      </c>
      <c r="N418" s="81"/>
      <c r="O418" s="81"/>
      <c r="P418" s="80">
        <f t="shared" ref="P418:P429" si="65">N418+O418</f>
        <v>0</v>
      </c>
      <c r="Q418" s="81"/>
      <c r="R418" s="78"/>
      <c r="S418" s="81"/>
      <c r="T418" s="81"/>
      <c r="U418" s="80">
        <f t="shared" ref="U418:U429" si="66">S418+T418</f>
        <v>0</v>
      </c>
      <c r="V418" s="78"/>
      <c r="W418" s="78"/>
      <c r="X418" s="78"/>
      <c r="Y418" s="78"/>
      <c r="Z418" s="77"/>
      <c r="AA418" s="78"/>
      <c r="AB418" s="77"/>
      <c r="AC418" s="77"/>
      <c r="AD418" s="77"/>
      <c r="AE418" s="78"/>
      <c r="AF418" s="78"/>
      <c r="AG418" s="109"/>
      <c r="AH418" s="109"/>
      <c r="AI418" s="78"/>
    </row>
    <row r="419" spans="1:35" ht="12.75">
      <c r="A419" s="155"/>
      <c r="B419" s="155"/>
      <c r="C419" s="155"/>
      <c r="D419" s="155"/>
      <c r="E419" s="155"/>
      <c r="F419" s="155"/>
      <c r="G419" s="155"/>
      <c r="H419" s="85" t="s">
        <v>58</v>
      </c>
      <c r="I419" s="112"/>
      <c r="J419" s="84"/>
      <c r="K419" s="84"/>
      <c r="L419" s="86" t="b">
        <v>0</v>
      </c>
      <c r="M419" s="86" t="b">
        <v>0</v>
      </c>
      <c r="N419" s="83"/>
      <c r="O419" s="83"/>
      <c r="P419" s="87">
        <f t="shared" si="65"/>
        <v>0</v>
      </c>
      <c r="Q419" s="83"/>
      <c r="R419" s="84"/>
      <c r="S419" s="83"/>
      <c r="T419" s="83"/>
      <c r="U419" s="87">
        <f t="shared" si="66"/>
        <v>0</v>
      </c>
      <c r="V419" s="84"/>
      <c r="W419" s="84"/>
      <c r="X419" s="84"/>
      <c r="Y419" s="84"/>
      <c r="Z419" s="85"/>
      <c r="AA419" s="84"/>
      <c r="AB419" s="85"/>
      <c r="AC419" s="85"/>
      <c r="AD419" s="85"/>
      <c r="AE419" s="84"/>
      <c r="AF419" s="84"/>
      <c r="AG419" s="110"/>
      <c r="AH419" s="110"/>
      <c r="AI419" s="84"/>
    </row>
    <row r="420" spans="1:35" ht="12.75">
      <c r="A420" s="155"/>
      <c r="B420" s="155"/>
      <c r="C420" s="155"/>
      <c r="D420" s="157" t="s">
        <v>453</v>
      </c>
      <c r="E420" s="157" t="s">
        <v>59</v>
      </c>
      <c r="F420" s="157" t="s">
        <v>454</v>
      </c>
      <c r="G420" s="158"/>
      <c r="H420" s="5" t="s">
        <v>49</v>
      </c>
      <c r="I420" s="17"/>
      <c r="J420" s="9"/>
      <c r="K420" s="9"/>
      <c r="L420" s="11" t="b">
        <v>0</v>
      </c>
      <c r="M420" s="11" t="b">
        <v>0</v>
      </c>
      <c r="N420" s="7"/>
      <c r="O420" s="7"/>
      <c r="P420" s="8">
        <f t="shared" si="65"/>
        <v>0</v>
      </c>
      <c r="Q420" s="7"/>
      <c r="R420" s="9"/>
      <c r="S420" s="7"/>
      <c r="T420" s="7"/>
      <c r="U420" s="8">
        <f t="shared" si="66"/>
        <v>0</v>
      </c>
      <c r="V420" s="9"/>
      <c r="W420" s="9"/>
      <c r="X420" s="18"/>
      <c r="Y420" s="18"/>
      <c r="Z420" s="19"/>
      <c r="AA420" s="18"/>
      <c r="AB420" s="19"/>
      <c r="AC420" s="19"/>
      <c r="AD420" s="19"/>
      <c r="AE420" s="9"/>
      <c r="AF420" s="9"/>
      <c r="AG420" s="26"/>
      <c r="AH420" s="26"/>
      <c r="AI420" s="89"/>
    </row>
    <row r="421" spans="1:35" ht="12.75">
      <c r="A421" s="155"/>
      <c r="B421" s="155"/>
      <c r="C421" s="155"/>
      <c r="D421" s="155"/>
      <c r="E421" s="155"/>
      <c r="F421" s="155"/>
      <c r="G421" s="155"/>
      <c r="H421" s="5" t="s">
        <v>58</v>
      </c>
      <c r="I421" s="22"/>
      <c r="J421" s="9"/>
      <c r="K421" s="9"/>
      <c r="L421" s="11" t="b">
        <v>0</v>
      </c>
      <c r="M421" s="11" t="b">
        <v>0</v>
      </c>
      <c r="N421" s="7"/>
      <c r="O421" s="7"/>
      <c r="P421" s="8">
        <f t="shared" si="65"/>
        <v>0</v>
      </c>
      <c r="Q421" s="7"/>
      <c r="R421" s="9"/>
      <c r="S421" s="7"/>
      <c r="T421" s="7"/>
      <c r="U421" s="8">
        <f t="shared" si="66"/>
        <v>0</v>
      </c>
      <c r="V421" s="9"/>
      <c r="W421" s="9"/>
      <c r="X421" s="18"/>
      <c r="Y421" s="18"/>
      <c r="Z421" s="19"/>
      <c r="AA421" s="18"/>
      <c r="AB421" s="19"/>
      <c r="AC421" s="19"/>
      <c r="AD421" s="19"/>
      <c r="AE421" s="9"/>
      <c r="AF421" s="9"/>
      <c r="AG421" s="26"/>
      <c r="AH421" s="26"/>
      <c r="AI421" s="9"/>
    </row>
    <row r="422" spans="1:35" ht="15">
      <c r="A422" s="113"/>
      <c r="B422" s="113"/>
      <c r="C422" s="113"/>
      <c r="D422" s="159" t="s">
        <v>455</v>
      </c>
      <c r="E422" s="159" t="s">
        <v>456</v>
      </c>
      <c r="F422" s="163" t="s">
        <v>457</v>
      </c>
      <c r="G422" s="165"/>
      <c r="H422" s="91" t="s">
        <v>458</v>
      </c>
      <c r="I422" s="92"/>
      <c r="J422" s="93"/>
      <c r="K422" s="93"/>
      <c r="L422" s="94" t="b">
        <v>0</v>
      </c>
      <c r="M422" s="94" t="b">
        <v>0</v>
      </c>
      <c r="N422" s="95"/>
      <c r="O422" s="95"/>
      <c r="P422" s="96">
        <f t="shared" si="65"/>
        <v>0</v>
      </c>
      <c r="Q422" s="95"/>
      <c r="R422" s="93"/>
      <c r="S422" s="95"/>
      <c r="T422" s="95"/>
      <c r="U422" s="96">
        <f t="shared" si="66"/>
        <v>0</v>
      </c>
      <c r="V422" s="93"/>
      <c r="W422" s="93"/>
      <c r="X422" s="97"/>
      <c r="Y422" s="97"/>
      <c r="Z422" s="98"/>
      <c r="AA422" s="97"/>
      <c r="AB422" s="98"/>
      <c r="AC422" s="98"/>
      <c r="AD422" s="98"/>
      <c r="AE422" s="93"/>
      <c r="AF422" s="93"/>
      <c r="AG422" s="99"/>
      <c r="AH422" s="99"/>
      <c r="AI422" s="93"/>
    </row>
    <row r="423" spans="1:35" ht="15">
      <c r="A423" s="113"/>
      <c r="B423" s="113"/>
      <c r="C423" s="113"/>
      <c r="D423" s="155"/>
      <c r="E423" s="155"/>
      <c r="F423" s="155"/>
      <c r="G423" s="155"/>
      <c r="H423" s="91" t="s">
        <v>58</v>
      </c>
      <c r="I423" s="92"/>
      <c r="J423" s="93"/>
      <c r="K423" s="93"/>
      <c r="L423" s="94" t="b">
        <v>0</v>
      </c>
      <c r="M423" s="94" t="b">
        <v>0</v>
      </c>
      <c r="N423" s="95"/>
      <c r="O423" s="95"/>
      <c r="P423" s="96">
        <f t="shared" si="65"/>
        <v>0</v>
      </c>
      <c r="Q423" s="95"/>
      <c r="R423" s="93"/>
      <c r="S423" s="95"/>
      <c r="T423" s="95"/>
      <c r="U423" s="96">
        <f t="shared" si="66"/>
        <v>0</v>
      </c>
      <c r="V423" s="93"/>
      <c r="W423" s="93"/>
      <c r="X423" s="97"/>
      <c r="Y423" s="97"/>
      <c r="Z423" s="98"/>
      <c r="AA423" s="97"/>
      <c r="AB423" s="98"/>
      <c r="AC423" s="98"/>
      <c r="AD423" s="98"/>
      <c r="AE423" s="93"/>
      <c r="AF423" s="93"/>
      <c r="AG423" s="99"/>
      <c r="AH423" s="99"/>
      <c r="AI423" s="100"/>
    </row>
    <row r="424" spans="1:35" ht="15">
      <c r="A424" s="113"/>
      <c r="B424" s="113"/>
      <c r="C424" s="113"/>
      <c r="D424" s="159" t="s">
        <v>455</v>
      </c>
      <c r="E424" s="166" t="s">
        <v>459</v>
      </c>
      <c r="F424" s="163" t="s">
        <v>457</v>
      </c>
      <c r="G424" s="165"/>
      <c r="H424" s="91" t="s">
        <v>458</v>
      </c>
      <c r="I424" s="92"/>
      <c r="J424" s="93"/>
      <c r="K424" s="93"/>
      <c r="L424" s="94" t="b">
        <v>0</v>
      </c>
      <c r="M424" s="94" t="b">
        <v>0</v>
      </c>
      <c r="N424" s="95"/>
      <c r="O424" s="95"/>
      <c r="P424" s="96">
        <f t="shared" si="65"/>
        <v>0</v>
      </c>
      <c r="Q424" s="95"/>
      <c r="R424" s="93"/>
      <c r="S424" s="95"/>
      <c r="T424" s="95"/>
      <c r="U424" s="96">
        <f t="shared" si="66"/>
        <v>0</v>
      </c>
      <c r="V424" s="93"/>
      <c r="W424" s="93"/>
      <c r="X424" s="93"/>
      <c r="Y424" s="93"/>
      <c r="Z424" s="91"/>
      <c r="AA424" s="93"/>
      <c r="AB424" s="91"/>
      <c r="AC424" s="91"/>
      <c r="AD424" s="91"/>
      <c r="AE424" s="93"/>
      <c r="AF424" s="93"/>
      <c r="AG424" s="99"/>
      <c r="AH424" s="99"/>
      <c r="AI424" s="101"/>
    </row>
    <row r="425" spans="1:35" ht="12.75">
      <c r="A425" s="113"/>
      <c r="B425" s="113"/>
      <c r="C425" s="113"/>
      <c r="D425" s="155"/>
      <c r="E425" s="155"/>
      <c r="F425" s="155"/>
      <c r="G425" s="155"/>
      <c r="H425" s="91" t="s">
        <v>58</v>
      </c>
      <c r="I425" s="102"/>
      <c r="J425" s="93"/>
      <c r="K425" s="93"/>
      <c r="L425" s="94" t="b">
        <v>0</v>
      </c>
      <c r="M425" s="94" t="b">
        <v>0</v>
      </c>
      <c r="N425" s="95"/>
      <c r="O425" s="95"/>
      <c r="P425" s="96">
        <f t="shared" si="65"/>
        <v>0</v>
      </c>
      <c r="Q425" s="95"/>
      <c r="R425" s="93"/>
      <c r="S425" s="95"/>
      <c r="T425" s="95"/>
      <c r="U425" s="96">
        <f t="shared" si="66"/>
        <v>0</v>
      </c>
      <c r="V425" s="93"/>
      <c r="W425" s="93"/>
      <c r="X425" s="93"/>
      <c r="Y425" s="93"/>
      <c r="Z425" s="91"/>
      <c r="AA425" s="93"/>
      <c r="AB425" s="91"/>
      <c r="AC425" s="91"/>
      <c r="AD425" s="91"/>
      <c r="AE425" s="93"/>
      <c r="AF425" s="93"/>
      <c r="AG425" s="99"/>
      <c r="AH425" s="99"/>
      <c r="AI425" s="99"/>
    </row>
    <row r="426" spans="1:35" ht="15">
      <c r="A426" s="113"/>
      <c r="B426" s="113"/>
      <c r="C426" s="113"/>
      <c r="D426" s="159" t="s">
        <v>460</v>
      </c>
      <c r="E426" s="163" t="s">
        <v>461</v>
      </c>
      <c r="F426" s="159" t="s">
        <v>462</v>
      </c>
      <c r="G426" s="165"/>
      <c r="H426" s="91" t="s">
        <v>49</v>
      </c>
      <c r="I426" s="103"/>
      <c r="J426" s="93"/>
      <c r="K426" s="93"/>
      <c r="L426" s="94" t="b">
        <v>0</v>
      </c>
      <c r="M426" s="94" t="b">
        <v>0</v>
      </c>
      <c r="N426" s="95"/>
      <c r="O426" s="95"/>
      <c r="P426" s="96">
        <f t="shared" si="65"/>
        <v>0</v>
      </c>
      <c r="Q426" s="95"/>
      <c r="R426" s="93"/>
      <c r="S426" s="95"/>
      <c r="T426" s="95"/>
      <c r="U426" s="96">
        <f t="shared" si="66"/>
        <v>0</v>
      </c>
      <c r="V426" s="93"/>
      <c r="W426" s="93"/>
      <c r="X426" s="93"/>
      <c r="Y426" s="93"/>
      <c r="Z426" s="91"/>
      <c r="AA426" s="93"/>
      <c r="AB426" s="91"/>
      <c r="AC426" s="91"/>
      <c r="AD426" s="91"/>
      <c r="AE426" s="93"/>
      <c r="AF426" s="93"/>
      <c r="AG426" s="99"/>
      <c r="AH426" s="99"/>
      <c r="AI426" s="101"/>
    </row>
    <row r="427" spans="1:35" ht="15">
      <c r="A427" s="113"/>
      <c r="B427" s="113"/>
      <c r="C427" s="113"/>
      <c r="D427" s="155"/>
      <c r="E427" s="155"/>
      <c r="F427" s="155"/>
      <c r="G427" s="155"/>
      <c r="H427" s="91" t="s">
        <v>58</v>
      </c>
      <c r="I427" s="103"/>
      <c r="J427" s="93"/>
      <c r="K427" s="93"/>
      <c r="L427" s="94" t="b">
        <v>0</v>
      </c>
      <c r="M427" s="94" t="b">
        <v>0</v>
      </c>
      <c r="N427" s="95"/>
      <c r="O427" s="95"/>
      <c r="P427" s="96">
        <f t="shared" si="65"/>
        <v>0</v>
      </c>
      <c r="Q427" s="95"/>
      <c r="R427" s="93"/>
      <c r="S427" s="95"/>
      <c r="T427" s="95"/>
      <c r="U427" s="96">
        <f t="shared" si="66"/>
        <v>0</v>
      </c>
      <c r="V427" s="93"/>
      <c r="W427" s="93"/>
      <c r="X427" s="97"/>
      <c r="Y427" s="97"/>
      <c r="Z427" s="98"/>
      <c r="AA427" s="97"/>
      <c r="AB427" s="98"/>
      <c r="AC427" s="98"/>
      <c r="AD427" s="98"/>
      <c r="AE427" s="93"/>
      <c r="AF427" s="93"/>
      <c r="AG427" s="99"/>
      <c r="AH427" s="99"/>
      <c r="AI427" s="101"/>
    </row>
    <row r="428" spans="1:35" ht="15">
      <c r="A428" s="113"/>
      <c r="B428" s="113"/>
      <c r="C428" s="113"/>
      <c r="D428" s="159" t="s">
        <v>453</v>
      </c>
      <c r="E428" s="159" t="s">
        <v>463</v>
      </c>
      <c r="F428" s="159" t="s">
        <v>464</v>
      </c>
      <c r="G428" s="165"/>
      <c r="H428" s="91" t="s">
        <v>465</v>
      </c>
      <c r="I428" s="103"/>
      <c r="J428" s="93"/>
      <c r="K428" s="93"/>
      <c r="L428" s="94" t="b">
        <v>0</v>
      </c>
      <c r="M428" s="94" t="b">
        <v>0</v>
      </c>
      <c r="N428" s="95"/>
      <c r="O428" s="95"/>
      <c r="P428" s="96">
        <f t="shared" si="65"/>
        <v>0</v>
      </c>
      <c r="Q428" s="95"/>
      <c r="R428" s="93"/>
      <c r="S428" s="95"/>
      <c r="T428" s="95"/>
      <c r="U428" s="96">
        <f t="shared" si="66"/>
        <v>0</v>
      </c>
      <c r="V428" s="93"/>
      <c r="W428" s="93"/>
      <c r="X428" s="97"/>
      <c r="Y428" s="97"/>
      <c r="Z428" s="98"/>
      <c r="AA428" s="97"/>
      <c r="AB428" s="98"/>
      <c r="AC428" s="98"/>
      <c r="AD428" s="98"/>
      <c r="AE428" s="93"/>
      <c r="AF428" s="93"/>
      <c r="AG428" s="99"/>
      <c r="AH428" s="99"/>
      <c r="AI428" s="101"/>
    </row>
    <row r="429" spans="1:35" ht="15">
      <c r="A429" s="113"/>
      <c r="B429" s="113"/>
      <c r="C429" s="113"/>
      <c r="D429" s="155"/>
      <c r="E429" s="155"/>
      <c r="F429" s="155"/>
      <c r="G429" s="155"/>
      <c r="H429" s="91" t="s">
        <v>58</v>
      </c>
      <c r="I429" s="103"/>
      <c r="J429" s="93"/>
      <c r="K429" s="93"/>
      <c r="L429" s="94" t="b">
        <v>0</v>
      </c>
      <c r="M429" s="94" t="b">
        <v>0</v>
      </c>
      <c r="N429" s="95"/>
      <c r="O429" s="95"/>
      <c r="P429" s="96">
        <f t="shared" si="65"/>
        <v>0</v>
      </c>
      <c r="Q429" s="95"/>
      <c r="R429" s="93"/>
      <c r="S429" s="95"/>
      <c r="T429" s="95"/>
      <c r="U429" s="96">
        <f t="shared" si="66"/>
        <v>0</v>
      </c>
      <c r="V429" s="93"/>
      <c r="W429" s="93"/>
      <c r="X429" s="97"/>
      <c r="Y429" s="97"/>
      <c r="Z429" s="98"/>
      <c r="AA429" s="97"/>
      <c r="AB429" s="98"/>
      <c r="AC429" s="98"/>
      <c r="AD429" s="98"/>
      <c r="AE429" s="93"/>
      <c r="AF429" s="93"/>
      <c r="AG429" s="99"/>
      <c r="AH429" s="99"/>
      <c r="AI429" s="101"/>
    </row>
    <row r="430" spans="1:35" ht="12.75">
      <c r="A430" s="114"/>
      <c r="B430" s="114"/>
      <c r="C430" s="114"/>
      <c r="D430" s="115"/>
      <c r="E430" s="115"/>
      <c r="F430" s="115"/>
      <c r="G430" s="116"/>
      <c r="H430" s="115"/>
      <c r="I430" s="117"/>
      <c r="J430" s="116"/>
      <c r="K430" s="116"/>
      <c r="L430" s="116"/>
      <c r="M430" s="116"/>
      <c r="N430" s="118"/>
      <c r="O430" s="118"/>
      <c r="P430" s="119"/>
      <c r="Q430" s="118"/>
      <c r="R430" s="116"/>
      <c r="S430" s="118"/>
      <c r="T430" s="118"/>
      <c r="U430" s="119"/>
      <c r="V430" s="116"/>
      <c r="W430" s="116"/>
      <c r="X430" s="116"/>
      <c r="Y430" s="116"/>
      <c r="Z430" s="115"/>
      <c r="AA430" s="116"/>
      <c r="AB430" s="115"/>
      <c r="AC430" s="115"/>
      <c r="AD430" s="115"/>
      <c r="AE430" s="116"/>
      <c r="AF430" s="116"/>
      <c r="AG430" s="116"/>
      <c r="AH430" s="116"/>
      <c r="AI430" s="116"/>
    </row>
    <row r="431" spans="1:35" ht="12.75">
      <c r="A431" s="171" t="s">
        <v>379</v>
      </c>
      <c r="B431" s="162" t="s">
        <v>353</v>
      </c>
      <c r="C431" s="171" t="s">
        <v>354</v>
      </c>
      <c r="D431" s="162" t="s">
        <v>453</v>
      </c>
      <c r="E431" s="160" t="s">
        <v>47</v>
      </c>
      <c r="F431" s="162" t="s">
        <v>454</v>
      </c>
      <c r="G431" s="164"/>
      <c r="H431" s="77" t="s">
        <v>49</v>
      </c>
      <c r="I431" s="108"/>
      <c r="J431" s="78"/>
      <c r="K431" s="78"/>
      <c r="L431" s="79" t="b">
        <v>0</v>
      </c>
      <c r="M431" s="79" t="b">
        <v>0</v>
      </c>
      <c r="N431" s="81"/>
      <c r="O431" s="81"/>
      <c r="P431" s="80">
        <f t="shared" ref="P431:P442" si="67">N431+O431</f>
        <v>0</v>
      </c>
      <c r="Q431" s="81"/>
      <c r="R431" s="78"/>
      <c r="S431" s="81"/>
      <c r="T431" s="81"/>
      <c r="U431" s="80">
        <f t="shared" ref="U431:U442" si="68">S431+T431</f>
        <v>0</v>
      </c>
      <c r="V431" s="78"/>
      <c r="W431" s="78"/>
      <c r="X431" s="78"/>
      <c r="Y431" s="78"/>
      <c r="Z431" s="77"/>
      <c r="AA431" s="78"/>
      <c r="AB431" s="77"/>
      <c r="AC431" s="77"/>
      <c r="AD431" s="77"/>
      <c r="AE431" s="78"/>
      <c r="AF431" s="78"/>
      <c r="AG431" s="109"/>
      <c r="AH431" s="109"/>
      <c r="AI431" s="78"/>
    </row>
    <row r="432" spans="1:35" ht="12.75">
      <c r="A432" s="155"/>
      <c r="B432" s="155"/>
      <c r="C432" s="155"/>
      <c r="D432" s="155"/>
      <c r="E432" s="155"/>
      <c r="F432" s="155"/>
      <c r="G432" s="155"/>
      <c r="H432" s="85" t="s">
        <v>58</v>
      </c>
      <c r="I432" s="112"/>
      <c r="J432" s="84"/>
      <c r="K432" s="84"/>
      <c r="L432" s="86" t="b">
        <v>0</v>
      </c>
      <c r="M432" s="86" t="b">
        <v>0</v>
      </c>
      <c r="N432" s="83"/>
      <c r="O432" s="83"/>
      <c r="P432" s="87">
        <f t="shared" si="67"/>
        <v>0</v>
      </c>
      <c r="Q432" s="83"/>
      <c r="R432" s="84"/>
      <c r="S432" s="83"/>
      <c r="T432" s="83"/>
      <c r="U432" s="87">
        <f t="shared" si="68"/>
        <v>0</v>
      </c>
      <c r="V432" s="84"/>
      <c r="W432" s="84"/>
      <c r="X432" s="84"/>
      <c r="Y432" s="84"/>
      <c r="Z432" s="85"/>
      <c r="AA432" s="84"/>
      <c r="AB432" s="85"/>
      <c r="AC432" s="85"/>
      <c r="AD432" s="85"/>
      <c r="AE432" s="84"/>
      <c r="AF432" s="84"/>
      <c r="AG432" s="110"/>
      <c r="AH432" s="110"/>
      <c r="AI432" s="84"/>
    </row>
    <row r="433" spans="1:35" ht="12.75">
      <c r="A433" s="155"/>
      <c r="B433" s="155"/>
      <c r="C433" s="155"/>
      <c r="D433" s="157" t="s">
        <v>453</v>
      </c>
      <c r="E433" s="157" t="s">
        <v>59</v>
      </c>
      <c r="F433" s="157" t="s">
        <v>454</v>
      </c>
      <c r="G433" s="158"/>
      <c r="H433" s="5" t="s">
        <v>49</v>
      </c>
      <c r="I433" s="17"/>
      <c r="J433" s="9"/>
      <c r="K433" s="9"/>
      <c r="L433" s="11" t="b">
        <v>0</v>
      </c>
      <c r="M433" s="11" t="b">
        <v>0</v>
      </c>
      <c r="N433" s="7"/>
      <c r="O433" s="7"/>
      <c r="P433" s="8">
        <f t="shared" si="67"/>
        <v>0</v>
      </c>
      <c r="Q433" s="7"/>
      <c r="R433" s="9"/>
      <c r="S433" s="7"/>
      <c r="T433" s="7"/>
      <c r="U433" s="8">
        <f t="shared" si="68"/>
        <v>0</v>
      </c>
      <c r="V433" s="9"/>
      <c r="W433" s="9"/>
      <c r="X433" s="18"/>
      <c r="Y433" s="18"/>
      <c r="Z433" s="19"/>
      <c r="AA433" s="18"/>
      <c r="AB433" s="19"/>
      <c r="AC433" s="19"/>
      <c r="AD433" s="19"/>
      <c r="AE433" s="9"/>
      <c r="AF433" s="9"/>
      <c r="AG433" s="26"/>
      <c r="AH433" s="26"/>
      <c r="AI433" s="89"/>
    </row>
    <row r="434" spans="1:35" ht="12.75">
      <c r="A434" s="155"/>
      <c r="B434" s="155"/>
      <c r="C434" s="155"/>
      <c r="D434" s="155"/>
      <c r="E434" s="155"/>
      <c r="F434" s="155"/>
      <c r="G434" s="155"/>
      <c r="H434" s="5" t="s">
        <v>58</v>
      </c>
      <c r="I434" s="22"/>
      <c r="J434" s="9"/>
      <c r="K434" s="9"/>
      <c r="L434" s="11" t="b">
        <v>0</v>
      </c>
      <c r="M434" s="11" t="b">
        <v>0</v>
      </c>
      <c r="N434" s="7"/>
      <c r="O434" s="7"/>
      <c r="P434" s="8">
        <f t="shared" si="67"/>
        <v>0</v>
      </c>
      <c r="Q434" s="7"/>
      <c r="R434" s="9"/>
      <c r="S434" s="7"/>
      <c r="T434" s="7"/>
      <c r="U434" s="8">
        <f t="shared" si="68"/>
        <v>0</v>
      </c>
      <c r="V434" s="9"/>
      <c r="W434" s="9"/>
      <c r="X434" s="18"/>
      <c r="Y434" s="18"/>
      <c r="Z434" s="19"/>
      <c r="AA434" s="18"/>
      <c r="AB434" s="19"/>
      <c r="AC434" s="19"/>
      <c r="AD434" s="19"/>
      <c r="AE434" s="9"/>
      <c r="AF434" s="9"/>
      <c r="AG434" s="26"/>
      <c r="AH434" s="26"/>
      <c r="AI434" s="9"/>
    </row>
    <row r="435" spans="1:35" ht="15">
      <c r="A435" s="113"/>
      <c r="B435" s="113"/>
      <c r="C435" s="113"/>
      <c r="D435" s="159" t="s">
        <v>455</v>
      </c>
      <c r="E435" s="159" t="s">
        <v>456</v>
      </c>
      <c r="F435" s="163" t="s">
        <v>457</v>
      </c>
      <c r="G435" s="165"/>
      <c r="H435" s="91" t="s">
        <v>458</v>
      </c>
      <c r="I435" s="92"/>
      <c r="J435" s="93"/>
      <c r="K435" s="93"/>
      <c r="L435" s="94" t="b">
        <v>0</v>
      </c>
      <c r="M435" s="94" t="b">
        <v>0</v>
      </c>
      <c r="N435" s="95"/>
      <c r="O435" s="95"/>
      <c r="P435" s="96">
        <f t="shared" si="67"/>
        <v>0</v>
      </c>
      <c r="Q435" s="95"/>
      <c r="R435" s="93"/>
      <c r="S435" s="95"/>
      <c r="T435" s="95"/>
      <c r="U435" s="96">
        <f t="shared" si="68"/>
        <v>0</v>
      </c>
      <c r="V435" s="93"/>
      <c r="W435" s="93"/>
      <c r="X435" s="97"/>
      <c r="Y435" s="97"/>
      <c r="Z435" s="98"/>
      <c r="AA435" s="97"/>
      <c r="AB435" s="98"/>
      <c r="AC435" s="98"/>
      <c r="AD435" s="98"/>
      <c r="AE435" s="93"/>
      <c r="AF435" s="93"/>
      <c r="AG435" s="99"/>
      <c r="AH435" s="99"/>
      <c r="AI435" s="93"/>
    </row>
    <row r="436" spans="1:35" ht="15">
      <c r="A436" s="113"/>
      <c r="B436" s="113"/>
      <c r="C436" s="113"/>
      <c r="D436" s="155"/>
      <c r="E436" s="155"/>
      <c r="F436" s="155"/>
      <c r="G436" s="155"/>
      <c r="H436" s="91" t="s">
        <v>58</v>
      </c>
      <c r="I436" s="92"/>
      <c r="J436" s="93"/>
      <c r="K436" s="93"/>
      <c r="L436" s="94" t="b">
        <v>0</v>
      </c>
      <c r="M436" s="94" t="b">
        <v>0</v>
      </c>
      <c r="N436" s="95"/>
      <c r="O436" s="95"/>
      <c r="P436" s="96">
        <f t="shared" si="67"/>
        <v>0</v>
      </c>
      <c r="Q436" s="95"/>
      <c r="R436" s="93"/>
      <c r="S436" s="95"/>
      <c r="T436" s="95"/>
      <c r="U436" s="96">
        <f t="shared" si="68"/>
        <v>0</v>
      </c>
      <c r="V436" s="93"/>
      <c r="W436" s="93"/>
      <c r="X436" s="97"/>
      <c r="Y436" s="97"/>
      <c r="Z436" s="98"/>
      <c r="AA436" s="97"/>
      <c r="AB436" s="98"/>
      <c r="AC436" s="98"/>
      <c r="AD436" s="98"/>
      <c r="AE436" s="93"/>
      <c r="AF436" s="93"/>
      <c r="AG436" s="99"/>
      <c r="AH436" s="99"/>
      <c r="AI436" s="100"/>
    </row>
    <row r="437" spans="1:35" ht="15">
      <c r="A437" s="113"/>
      <c r="B437" s="113"/>
      <c r="C437" s="113"/>
      <c r="D437" s="159" t="s">
        <v>455</v>
      </c>
      <c r="E437" s="166" t="s">
        <v>459</v>
      </c>
      <c r="F437" s="163" t="s">
        <v>457</v>
      </c>
      <c r="G437" s="165"/>
      <c r="H437" s="91" t="s">
        <v>458</v>
      </c>
      <c r="I437" s="92"/>
      <c r="J437" s="93"/>
      <c r="K437" s="93"/>
      <c r="L437" s="94" t="b">
        <v>0</v>
      </c>
      <c r="M437" s="94" t="b">
        <v>0</v>
      </c>
      <c r="N437" s="95"/>
      <c r="O437" s="95"/>
      <c r="P437" s="96">
        <f t="shared" si="67"/>
        <v>0</v>
      </c>
      <c r="Q437" s="95"/>
      <c r="R437" s="93"/>
      <c r="S437" s="95"/>
      <c r="T437" s="95"/>
      <c r="U437" s="96">
        <f t="shared" si="68"/>
        <v>0</v>
      </c>
      <c r="V437" s="93"/>
      <c r="W437" s="93"/>
      <c r="X437" s="93"/>
      <c r="Y437" s="93"/>
      <c r="Z437" s="91"/>
      <c r="AA437" s="93"/>
      <c r="AB437" s="91"/>
      <c r="AC437" s="91"/>
      <c r="AD437" s="91"/>
      <c r="AE437" s="93"/>
      <c r="AF437" s="93"/>
      <c r="AG437" s="99"/>
      <c r="AH437" s="99"/>
      <c r="AI437" s="101"/>
    </row>
    <row r="438" spans="1:35" ht="12.75">
      <c r="A438" s="113"/>
      <c r="B438" s="113"/>
      <c r="C438" s="113"/>
      <c r="D438" s="155"/>
      <c r="E438" s="155"/>
      <c r="F438" s="155"/>
      <c r="G438" s="155"/>
      <c r="H438" s="91" t="s">
        <v>58</v>
      </c>
      <c r="I438" s="102"/>
      <c r="J438" s="93"/>
      <c r="K438" s="93"/>
      <c r="L438" s="94" t="b">
        <v>0</v>
      </c>
      <c r="M438" s="94" t="b">
        <v>0</v>
      </c>
      <c r="N438" s="95"/>
      <c r="O438" s="95"/>
      <c r="P438" s="96">
        <f t="shared" si="67"/>
        <v>0</v>
      </c>
      <c r="Q438" s="95"/>
      <c r="R438" s="93"/>
      <c r="S438" s="95"/>
      <c r="T438" s="95"/>
      <c r="U438" s="96">
        <f t="shared" si="68"/>
        <v>0</v>
      </c>
      <c r="V438" s="93"/>
      <c r="W438" s="93"/>
      <c r="X438" s="93"/>
      <c r="Y438" s="93"/>
      <c r="Z438" s="91"/>
      <c r="AA438" s="93"/>
      <c r="AB438" s="91"/>
      <c r="AC438" s="91"/>
      <c r="AD438" s="91"/>
      <c r="AE438" s="93"/>
      <c r="AF438" s="93"/>
      <c r="AG438" s="99"/>
      <c r="AH438" s="99"/>
      <c r="AI438" s="99"/>
    </row>
    <row r="439" spans="1:35" ht="15">
      <c r="A439" s="113"/>
      <c r="B439" s="113"/>
      <c r="C439" s="113"/>
      <c r="D439" s="159" t="s">
        <v>460</v>
      </c>
      <c r="E439" s="163" t="s">
        <v>461</v>
      </c>
      <c r="F439" s="159" t="s">
        <v>462</v>
      </c>
      <c r="G439" s="165"/>
      <c r="H439" s="91" t="s">
        <v>49</v>
      </c>
      <c r="I439" s="103"/>
      <c r="J439" s="93"/>
      <c r="K439" s="93"/>
      <c r="L439" s="94" t="b">
        <v>0</v>
      </c>
      <c r="M439" s="94" t="b">
        <v>0</v>
      </c>
      <c r="N439" s="95"/>
      <c r="O439" s="95"/>
      <c r="P439" s="96">
        <f t="shared" si="67"/>
        <v>0</v>
      </c>
      <c r="Q439" s="95"/>
      <c r="R439" s="93"/>
      <c r="S439" s="95"/>
      <c r="T439" s="95"/>
      <c r="U439" s="96">
        <f t="shared" si="68"/>
        <v>0</v>
      </c>
      <c r="V439" s="93"/>
      <c r="W439" s="93"/>
      <c r="X439" s="93"/>
      <c r="Y439" s="93"/>
      <c r="Z439" s="91"/>
      <c r="AA439" s="93"/>
      <c r="AB439" s="91"/>
      <c r="AC439" s="91"/>
      <c r="AD439" s="91"/>
      <c r="AE439" s="93"/>
      <c r="AF439" s="93"/>
      <c r="AG439" s="99"/>
      <c r="AH439" s="99"/>
      <c r="AI439" s="101"/>
    </row>
    <row r="440" spans="1:35" ht="15">
      <c r="A440" s="113"/>
      <c r="B440" s="113"/>
      <c r="C440" s="113"/>
      <c r="D440" s="155"/>
      <c r="E440" s="155"/>
      <c r="F440" s="155"/>
      <c r="G440" s="155"/>
      <c r="H440" s="91" t="s">
        <v>58</v>
      </c>
      <c r="I440" s="103"/>
      <c r="J440" s="93"/>
      <c r="K440" s="93"/>
      <c r="L440" s="94" t="b">
        <v>0</v>
      </c>
      <c r="M440" s="94" t="b">
        <v>0</v>
      </c>
      <c r="N440" s="95"/>
      <c r="O440" s="95"/>
      <c r="P440" s="96">
        <f t="shared" si="67"/>
        <v>0</v>
      </c>
      <c r="Q440" s="95"/>
      <c r="R440" s="93"/>
      <c r="S440" s="95"/>
      <c r="T440" s="95"/>
      <c r="U440" s="96">
        <f t="shared" si="68"/>
        <v>0</v>
      </c>
      <c r="V440" s="93"/>
      <c r="W440" s="93"/>
      <c r="X440" s="97"/>
      <c r="Y440" s="97"/>
      <c r="Z440" s="98"/>
      <c r="AA440" s="97"/>
      <c r="AB440" s="98"/>
      <c r="AC440" s="98"/>
      <c r="AD440" s="98"/>
      <c r="AE440" s="93"/>
      <c r="AF440" s="93"/>
      <c r="AG440" s="99"/>
      <c r="AH440" s="99"/>
      <c r="AI440" s="101"/>
    </row>
    <row r="441" spans="1:35" ht="15">
      <c r="A441" s="113"/>
      <c r="B441" s="113"/>
      <c r="C441" s="113"/>
      <c r="D441" s="159" t="s">
        <v>453</v>
      </c>
      <c r="E441" s="159" t="s">
        <v>463</v>
      </c>
      <c r="F441" s="159" t="s">
        <v>464</v>
      </c>
      <c r="G441" s="165"/>
      <c r="H441" s="91" t="s">
        <v>465</v>
      </c>
      <c r="I441" s="103"/>
      <c r="J441" s="93"/>
      <c r="K441" s="93"/>
      <c r="L441" s="94" t="b">
        <v>0</v>
      </c>
      <c r="M441" s="94" t="b">
        <v>0</v>
      </c>
      <c r="N441" s="95"/>
      <c r="O441" s="95"/>
      <c r="P441" s="96">
        <f t="shared" si="67"/>
        <v>0</v>
      </c>
      <c r="Q441" s="95"/>
      <c r="R441" s="93"/>
      <c r="S441" s="95"/>
      <c r="T441" s="95"/>
      <c r="U441" s="96">
        <f t="shared" si="68"/>
        <v>0</v>
      </c>
      <c r="V441" s="93"/>
      <c r="W441" s="93"/>
      <c r="X441" s="97"/>
      <c r="Y441" s="97"/>
      <c r="Z441" s="98"/>
      <c r="AA441" s="97"/>
      <c r="AB441" s="98"/>
      <c r="AC441" s="98"/>
      <c r="AD441" s="98"/>
      <c r="AE441" s="93"/>
      <c r="AF441" s="93"/>
      <c r="AG441" s="99"/>
      <c r="AH441" s="99"/>
      <c r="AI441" s="101"/>
    </row>
    <row r="442" spans="1:35" ht="15">
      <c r="A442" s="113"/>
      <c r="B442" s="113"/>
      <c r="C442" s="113"/>
      <c r="D442" s="155"/>
      <c r="E442" s="155"/>
      <c r="F442" s="155"/>
      <c r="G442" s="155"/>
      <c r="H442" s="91" t="s">
        <v>58</v>
      </c>
      <c r="I442" s="103"/>
      <c r="J442" s="93"/>
      <c r="K442" s="93"/>
      <c r="L442" s="94" t="b">
        <v>0</v>
      </c>
      <c r="M442" s="94" t="b">
        <v>0</v>
      </c>
      <c r="N442" s="95"/>
      <c r="O442" s="95"/>
      <c r="P442" s="96">
        <f t="shared" si="67"/>
        <v>0</v>
      </c>
      <c r="Q442" s="95"/>
      <c r="R442" s="93"/>
      <c r="S442" s="95"/>
      <c r="T442" s="95"/>
      <c r="U442" s="96">
        <f t="shared" si="68"/>
        <v>0</v>
      </c>
      <c r="V442" s="93"/>
      <c r="W442" s="93"/>
      <c r="X442" s="97"/>
      <c r="Y442" s="97"/>
      <c r="Z442" s="98"/>
      <c r="AA442" s="97"/>
      <c r="AB442" s="98"/>
      <c r="AC442" s="98"/>
      <c r="AD442" s="98"/>
      <c r="AE442" s="93"/>
      <c r="AF442" s="93"/>
      <c r="AG442" s="99"/>
      <c r="AH442" s="99"/>
      <c r="AI442" s="101"/>
    </row>
    <row r="443" spans="1:35" ht="12.75">
      <c r="A443" s="114"/>
      <c r="B443" s="114"/>
      <c r="C443" s="114"/>
      <c r="D443" s="115"/>
      <c r="E443" s="115"/>
      <c r="F443" s="115"/>
      <c r="G443" s="116"/>
      <c r="H443" s="115"/>
      <c r="I443" s="117"/>
      <c r="J443" s="116"/>
      <c r="K443" s="116"/>
      <c r="L443" s="116"/>
      <c r="M443" s="116"/>
      <c r="N443" s="118"/>
      <c r="O443" s="118"/>
      <c r="P443" s="119"/>
      <c r="Q443" s="118"/>
      <c r="R443" s="116"/>
      <c r="S443" s="118"/>
      <c r="T443" s="118"/>
      <c r="U443" s="119"/>
      <c r="V443" s="116"/>
      <c r="W443" s="116"/>
      <c r="X443" s="116"/>
      <c r="Y443" s="116"/>
      <c r="Z443" s="115"/>
      <c r="AA443" s="116"/>
      <c r="AB443" s="115"/>
      <c r="AC443" s="115"/>
      <c r="AD443" s="115"/>
      <c r="AE443" s="116"/>
      <c r="AF443" s="116"/>
      <c r="AG443" s="116"/>
      <c r="AH443" s="116"/>
      <c r="AI443" s="116"/>
    </row>
    <row r="444" spans="1:35" ht="12.75">
      <c r="A444" s="171" t="s">
        <v>389</v>
      </c>
      <c r="B444" s="162" t="s">
        <v>353</v>
      </c>
      <c r="C444" s="171" t="s">
        <v>390</v>
      </c>
      <c r="D444" s="162" t="s">
        <v>453</v>
      </c>
      <c r="E444" s="160" t="s">
        <v>47</v>
      </c>
      <c r="F444" s="162" t="s">
        <v>454</v>
      </c>
      <c r="G444" s="164"/>
      <c r="H444" s="77" t="s">
        <v>49</v>
      </c>
      <c r="I444" s="108"/>
      <c r="J444" s="78"/>
      <c r="K444" s="78"/>
      <c r="L444" s="79" t="b">
        <v>0</v>
      </c>
      <c r="M444" s="79" t="b">
        <v>0</v>
      </c>
      <c r="N444" s="81"/>
      <c r="O444" s="81"/>
      <c r="P444" s="80">
        <f t="shared" ref="P444:P455" si="69">N444+O444</f>
        <v>0</v>
      </c>
      <c r="Q444" s="81"/>
      <c r="R444" s="78"/>
      <c r="S444" s="81"/>
      <c r="T444" s="81"/>
      <c r="U444" s="80">
        <f t="shared" ref="U444:U455" si="70">S444+T444</f>
        <v>0</v>
      </c>
      <c r="V444" s="78"/>
      <c r="W444" s="78"/>
      <c r="X444" s="78"/>
      <c r="Y444" s="78"/>
      <c r="Z444" s="77"/>
      <c r="AA444" s="78"/>
      <c r="AB444" s="77"/>
      <c r="AC444" s="77"/>
      <c r="AD444" s="77"/>
      <c r="AE444" s="78"/>
      <c r="AF444" s="78"/>
      <c r="AG444" s="109"/>
      <c r="AH444" s="109"/>
      <c r="AI444" s="78"/>
    </row>
    <row r="445" spans="1:35" ht="12.75">
      <c r="A445" s="155"/>
      <c r="B445" s="155"/>
      <c r="C445" s="155"/>
      <c r="D445" s="155"/>
      <c r="E445" s="155"/>
      <c r="F445" s="155"/>
      <c r="G445" s="155"/>
      <c r="H445" s="85" t="s">
        <v>58</v>
      </c>
      <c r="I445" s="112"/>
      <c r="J445" s="84"/>
      <c r="K445" s="84"/>
      <c r="L445" s="86" t="b">
        <v>0</v>
      </c>
      <c r="M445" s="86" t="b">
        <v>0</v>
      </c>
      <c r="N445" s="83"/>
      <c r="O445" s="83"/>
      <c r="P445" s="87">
        <f t="shared" si="69"/>
        <v>0</v>
      </c>
      <c r="Q445" s="83"/>
      <c r="R445" s="84"/>
      <c r="S445" s="83"/>
      <c r="T445" s="83"/>
      <c r="U445" s="87">
        <f t="shared" si="70"/>
        <v>0</v>
      </c>
      <c r="V445" s="84"/>
      <c r="W445" s="84"/>
      <c r="X445" s="84"/>
      <c r="Y445" s="84"/>
      <c r="Z445" s="85"/>
      <c r="AA445" s="84"/>
      <c r="AB445" s="85"/>
      <c r="AC445" s="85"/>
      <c r="AD445" s="85"/>
      <c r="AE445" s="84"/>
      <c r="AF445" s="84"/>
      <c r="AG445" s="110"/>
      <c r="AH445" s="110"/>
      <c r="AI445" s="84"/>
    </row>
    <row r="446" spans="1:35" ht="12.75">
      <c r="A446" s="155"/>
      <c r="B446" s="155"/>
      <c r="C446" s="155"/>
      <c r="D446" s="157" t="s">
        <v>453</v>
      </c>
      <c r="E446" s="157" t="s">
        <v>59</v>
      </c>
      <c r="F446" s="157" t="s">
        <v>454</v>
      </c>
      <c r="G446" s="158"/>
      <c r="H446" s="5" t="s">
        <v>49</v>
      </c>
      <c r="I446" s="17"/>
      <c r="J446" s="9"/>
      <c r="K446" s="9"/>
      <c r="L446" s="11" t="b">
        <v>0</v>
      </c>
      <c r="M446" s="11" t="b">
        <v>0</v>
      </c>
      <c r="N446" s="7"/>
      <c r="O446" s="7"/>
      <c r="P446" s="8">
        <f t="shared" si="69"/>
        <v>0</v>
      </c>
      <c r="Q446" s="7"/>
      <c r="R446" s="9"/>
      <c r="S446" s="7"/>
      <c r="T446" s="7"/>
      <c r="U446" s="8">
        <f t="shared" si="70"/>
        <v>0</v>
      </c>
      <c r="V446" s="9"/>
      <c r="W446" s="9"/>
      <c r="X446" s="18"/>
      <c r="Y446" s="18"/>
      <c r="Z446" s="19"/>
      <c r="AA446" s="18"/>
      <c r="AB446" s="19"/>
      <c r="AC446" s="19"/>
      <c r="AD446" s="19"/>
      <c r="AE446" s="9"/>
      <c r="AF446" s="9"/>
      <c r="AG446" s="26"/>
      <c r="AH446" s="26"/>
      <c r="AI446" s="89"/>
    </row>
    <row r="447" spans="1:35" ht="12.75">
      <c r="A447" s="155"/>
      <c r="B447" s="155"/>
      <c r="C447" s="155"/>
      <c r="D447" s="155"/>
      <c r="E447" s="155"/>
      <c r="F447" s="155"/>
      <c r="G447" s="155"/>
      <c r="H447" s="5" t="s">
        <v>58</v>
      </c>
      <c r="I447" s="22"/>
      <c r="J447" s="9"/>
      <c r="K447" s="9"/>
      <c r="L447" s="11" t="b">
        <v>0</v>
      </c>
      <c r="M447" s="11" t="b">
        <v>0</v>
      </c>
      <c r="N447" s="7"/>
      <c r="O447" s="7"/>
      <c r="P447" s="8">
        <f t="shared" si="69"/>
        <v>0</v>
      </c>
      <c r="Q447" s="7"/>
      <c r="R447" s="9"/>
      <c r="S447" s="7"/>
      <c r="T447" s="7"/>
      <c r="U447" s="8">
        <f t="shared" si="70"/>
        <v>0</v>
      </c>
      <c r="V447" s="9"/>
      <c r="W447" s="9"/>
      <c r="X447" s="18"/>
      <c r="Y447" s="18"/>
      <c r="Z447" s="19"/>
      <c r="AA447" s="18"/>
      <c r="AB447" s="19"/>
      <c r="AC447" s="19"/>
      <c r="AD447" s="19"/>
      <c r="AE447" s="9"/>
      <c r="AF447" s="9"/>
      <c r="AG447" s="26"/>
      <c r="AH447" s="26"/>
      <c r="AI447" s="9"/>
    </row>
    <row r="448" spans="1:35" ht="15">
      <c r="A448" s="113"/>
      <c r="B448" s="113"/>
      <c r="C448" s="113"/>
      <c r="D448" s="159" t="s">
        <v>455</v>
      </c>
      <c r="E448" s="159" t="s">
        <v>456</v>
      </c>
      <c r="F448" s="163" t="s">
        <v>457</v>
      </c>
      <c r="G448" s="165"/>
      <c r="H448" s="91" t="s">
        <v>458</v>
      </c>
      <c r="I448" s="92"/>
      <c r="J448" s="93"/>
      <c r="K448" s="93"/>
      <c r="L448" s="94" t="b">
        <v>0</v>
      </c>
      <c r="M448" s="94" t="b">
        <v>0</v>
      </c>
      <c r="N448" s="95"/>
      <c r="O448" s="95"/>
      <c r="P448" s="96">
        <f t="shared" si="69"/>
        <v>0</v>
      </c>
      <c r="Q448" s="95"/>
      <c r="R448" s="93"/>
      <c r="S448" s="95"/>
      <c r="T448" s="95"/>
      <c r="U448" s="96">
        <f t="shared" si="70"/>
        <v>0</v>
      </c>
      <c r="V448" s="93"/>
      <c r="W448" s="93"/>
      <c r="X448" s="97"/>
      <c r="Y448" s="97"/>
      <c r="Z448" s="98"/>
      <c r="AA448" s="97"/>
      <c r="AB448" s="98"/>
      <c r="AC448" s="98"/>
      <c r="AD448" s="98"/>
      <c r="AE448" s="93"/>
      <c r="AF448" s="93"/>
      <c r="AG448" s="99"/>
      <c r="AH448" s="99"/>
      <c r="AI448" s="93"/>
    </row>
    <row r="449" spans="1:35" ht="15">
      <c r="A449" s="113"/>
      <c r="B449" s="113"/>
      <c r="C449" s="113"/>
      <c r="D449" s="155"/>
      <c r="E449" s="155"/>
      <c r="F449" s="155"/>
      <c r="G449" s="155"/>
      <c r="H449" s="91" t="s">
        <v>58</v>
      </c>
      <c r="I449" s="92"/>
      <c r="J449" s="93"/>
      <c r="K449" s="93"/>
      <c r="L449" s="94" t="b">
        <v>0</v>
      </c>
      <c r="M449" s="94" t="b">
        <v>0</v>
      </c>
      <c r="N449" s="95"/>
      <c r="O449" s="95"/>
      <c r="P449" s="96">
        <f t="shared" si="69"/>
        <v>0</v>
      </c>
      <c r="Q449" s="95"/>
      <c r="R449" s="93"/>
      <c r="S449" s="95"/>
      <c r="T449" s="95"/>
      <c r="U449" s="96">
        <f t="shared" si="70"/>
        <v>0</v>
      </c>
      <c r="V449" s="93"/>
      <c r="W449" s="93"/>
      <c r="X449" s="97"/>
      <c r="Y449" s="97"/>
      <c r="Z449" s="98"/>
      <c r="AA449" s="97"/>
      <c r="AB449" s="98"/>
      <c r="AC449" s="98"/>
      <c r="AD449" s="98"/>
      <c r="AE449" s="93"/>
      <c r="AF449" s="93"/>
      <c r="AG449" s="99"/>
      <c r="AH449" s="99"/>
      <c r="AI449" s="100"/>
    </row>
    <row r="450" spans="1:35" ht="15">
      <c r="A450" s="113"/>
      <c r="B450" s="113"/>
      <c r="C450" s="113"/>
      <c r="D450" s="159" t="s">
        <v>455</v>
      </c>
      <c r="E450" s="166" t="s">
        <v>459</v>
      </c>
      <c r="F450" s="163" t="s">
        <v>457</v>
      </c>
      <c r="G450" s="165"/>
      <c r="H450" s="91" t="s">
        <v>458</v>
      </c>
      <c r="I450" s="92"/>
      <c r="J450" s="93"/>
      <c r="K450" s="93"/>
      <c r="L450" s="94" t="b">
        <v>0</v>
      </c>
      <c r="M450" s="94" t="b">
        <v>0</v>
      </c>
      <c r="N450" s="95"/>
      <c r="O450" s="95"/>
      <c r="P450" s="96">
        <f t="shared" si="69"/>
        <v>0</v>
      </c>
      <c r="Q450" s="95"/>
      <c r="R450" s="93"/>
      <c r="S450" s="95"/>
      <c r="T450" s="95"/>
      <c r="U450" s="96">
        <f t="shared" si="70"/>
        <v>0</v>
      </c>
      <c r="V450" s="93"/>
      <c r="W450" s="93"/>
      <c r="X450" s="93"/>
      <c r="Y450" s="93"/>
      <c r="Z450" s="91"/>
      <c r="AA450" s="93"/>
      <c r="AB450" s="91"/>
      <c r="AC450" s="91"/>
      <c r="AD450" s="91"/>
      <c r="AE450" s="93"/>
      <c r="AF450" s="93"/>
      <c r="AG450" s="99"/>
      <c r="AH450" s="99"/>
      <c r="AI450" s="101"/>
    </row>
    <row r="451" spans="1:35" ht="12.75">
      <c r="A451" s="113"/>
      <c r="B451" s="113"/>
      <c r="C451" s="113"/>
      <c r="D451" s="155"/>
      <c r="E451" s="155"/>
      <c r="F451" s="155"/>
      <c r="G451" s="155"/>
      <c r="H451" s="91" t="s">
        <v>58</v>
      </c>
      <c r="I451" s="102"/>
      <c r="J451" s="93"/>
      <c r="K451" s="93"/>
      <c r="L451" s="94" t="b">
        <v>0</v>
      </c>
      <c r="M451" s="94" t="b">
        <v>0</v>
      </c>
      <c r="N451" s="95"/>
      <c r="O451" s="95"/>
      <c r="P451" s="96">
        <f t="shared" si="69"/>
        <v>0</v>
      </c>
      <c r="Q451" s="95"/>
      <c r="R451" s="93"/>
      <c r="S451" s="95"/>
      <c r="T451" s="95"/>
      <c r="U451" s="96">
        <f t="shared" si="70"/>
        <v>0</v>
      </c>
      <c r="V451" s="93"/>
      <c r="W451" s="93"/>
      <c r="X451" s="93"/>
      <c r="Y451" s="93"/>
      <c r="Z451" s="91"/>
      <c r="AA451" s="93"/>
      <c r="AB451" s="91"/>
      <c r="AC451" s="91"/>
      <c r="AD451" s="91"/>
      <c r="AE451" s="93"/>
      <c r="AF451" s="93"/>
      <c r="AG451" s="99"/>
      <c r="AH451" s="99"/>
      <c r="AI451" s="99"/>
    </row>
    <row r="452" spans="1:35" ht="15">
      <c r="A452" s="113"/>
      <c r="B452" s="113"/>
      <c r="C452" s="113"/>
      <c r="D452" s="159" t="s">
        <v>460</v>
      </c>
      <c r="E452" s="163" t="s">
        <v>461</v>
      </c>
      <c r="F452" s="159" t="s">
        <v>462</v>
      </c>
      <c r="G452" s="165"/>
      <c r="H452" s="91" t="s">
        <v>49</v>
      </c>
      <c r="I452" s="103"/>
      <c r="J452" s="93"/>
      <c r="K452" s="93"/>
      <c r="L452" s="94" t="b">
        <v>0</v>
      </c>
      <c r="M452" s="94" t="b">
        <v>0</v>
      </c>
      <c r="N452" s="95"/>
      <c r="O452" s="95"/>
      <c r="P452" s="96">
        <f t="shared" si="69"/>
        <v>0</v>
      </c>
      <c r="Q452" s="95"/>
      <c r="R452" s="93"/>
      <c r="S452" s="95"/>
      <c r="T452" s="95"/>
      <c r="U452" s="96">
        <f t="shared" si="70"/>
        <v>0</v>
      </c>
      <c r="V452" s="93"/>
      <c r="W452" s="93"/>
      <c r="X452" s="93"/>
      <c r="Y452" s="93"/>
      <c r="Z452" s="91"/>
      <c r="AA452" s="93"/>
      <c r="AB452" s="91"/>
      <c r="AC452" s="91"/>
      <c r="AD452" s="91"/>
      <c r="AE452" s="93"/>
      <c r="AF452" s="93"/>
      <c r="AG452" s="99"/>
      <c r="AH452" s="99"/>
      <c r="AI452" s="101"/>
    </row>
    <row r="453" spans="1:35" ht="15">
      <c r="A453" s="113"/>
      <c r="B453" s="113"/>
      <c r="C453" s="113"/>
      <c r="D453" s="155"/>
      <c r="E453" s="155"/>
      <c r="F453" s="155"/>
      <c r="G453" s="155"/>
      <c r="H453" s="91" t="s">
        <v>58</v>
      </c>
      <c r="I453" s="103"/>
      <c r="J453" s="93"/>
      <c r="K453" s="93"/>
      <c r="L453" s="94" t="b">
        <v>0</v>
      </c>
      <c r="M453" s="94" t="b">
        <v>0</v>
      </c>
      <c r="N453" s="95"/>
      <c r="O453" s="95"/>
      <c r="P453" s="96">
        <f t="shared" si="69"/>
        <v>0</v>
      </c>
      <c r="Q453" s="95"/>
      <c r="R453" s="93"/>
      <c r="S453" s="95"/>
      <c r="T453" s="95"/>
      <c r="U453" s="96">
        <f t="shared" si="70"/>
        <v>0</v>
      </c>
      <c r="V453" s="93"/>
      <c r="W453" s="93"/>
      <c r="X453" s="97"/>
      <c r="Y453" s="97"/>
      <c r="Z453" s="98"/>
      <c r="AA453" s="97"/>
      <c r="AB453" s="98"/>
      <c r="AC453" s="98"/>
      <c r="AD453" s="98"/>
      <c r="AE453" s="93"/>
      <c r="AF453" s="93"/>
      <c r="AG453" s="99"/>
      <c r="AH453" s="99"/>
      <c r="AI453" s="101"/>
    </row>
    <row r="454" spans="1:35" ht="15">
      <c r="A454" s="113"/>
      <c r="B454" s="113"/>
      <c r="C454" s="113"/>
      <c r="D454" s="159" t="s">
        <v>453</v>
      </c>
      <c r="E454" s="159" t="s">
        <v>463</v>
      </c>
      <c r="F454" s="159" t="s">
        <v>464</v>
      </c>
      <c r="G454" s="165"/>
      <c r="H454" s="91" t="s">
        <v>465</v>
      </c>
      <c r="I454" s="103"/>
      <c r="J454" s="93"/>
      <c r="K454" s="93"/>
      <c r="L454" s="94" t="b">
        <v>0</v>
      </c>
      <c r="M454" s="94" t="b">
        <v>0</v>
      </c>
      <c r="N454" s="95"/>
      <c r="O454" s="95"/>
      <c r="P454" s="96">
        <f t="shared" si="69"/>
        <v>0</v>
      </c>
      <c r="Q454" s="95"/>
      <c r="R454" s="93"/>
      <c r="S454" s="95"/>
      <c r="T454" s="95"/>
      <c r="U454" s="96">
        <f t="shared" si="70"/>
        <v>0</v>
      </c>
      <c r="V454" s="93"/>
      <c r="W454" s="93"/>
      <c r="X454" s="97"/>
      <c r="Y454" s="97"/>
      <c r="Z454" s="98"/>
      <c r="AA454" s="97"/>
      <c r="AB454" s="98"/>
      <c r="AC454" s="98"/>
      <c r="AD454" s="98"/>
      <c r="AE454" s="93"/>
      <c r="AF454" s="93"/>
      <c r="AG454" s="99"/>
      <c r="AH454" s="99"/>
      <c r="AI454" s="101"/>
    </row>
    <row r="455" spans="1:35" ht="15">
      <c r="A455" s="113"/>
      <c r="B455" s="113"/>
      <c r="C455" s="113"/>
      <c r="D455" s="155"/>
      <c r="E455" s="155"/>
      <c r="F455" s="155"/>
      <c r="G455" s="155"/>
      <c r="H455" s="91" t="s">
        <v>58</v>
      </c>
      <c r="I455" s="103"/>
      <c r="J455" s="93"/>
      <c r="K455" s="93"/>
      <c r="L455" s="94" t="b">
        <v>0</v>
      </c>
      <c r="M455" s="94" t="b">
        <v>0</v>
      </c>
      <c r="N455" s="95"/>
      <c r="O455" s="95"/>
      <c r="P455" s="96">
        <f t="shared" si="69"/>
        <v>0</v>
      </c>
      <c r="Q455" s="95"/>
      <c r="R455" s="93"/>
      <c r="S455" s="95"/>
      <c r="T455" s="95"/>
      <c r="U455" s="96">
        <f t="shared" si="70"/>
        <v>0</v>
      </c>
      <c r="V455" s="93"/>
      <c r="W455" s="93"/>
      <c r="X455" s="97"/>
      <c r="Y455" s="97"/>
      <c r="Z455" s="98"/>
      <c r="AA455" s="97"/>
      <c r="AB455" s="98"/>
      <c r="AC455" s="98"/>
      <c r="AD455" s="98"/>
      <c r="AE455" s="93"/>
      <c r="AF455" s="93"/>
      <c r="AG455" s="99"/>
      <c r="AH455" s="99"/>
      <c r="AI455" s="101"/>
    </row>
    <row r="456" spans="1:35" ht="12.75">
      <c r="A456" s="114"/>
      <c r="B456" s="114"/>
      <c r="C456" s="114"/>
      <c r="D456" s="115"/>
      <c r="E456" s="115"/>
      <c r="F456" s="115"/>
      <c r="G456" s="116"/>
      <c r="H456" s="115"/>
      <c r="I456" s="117"/>
      <c r="J456" s="116"/>
      <c r="K456" s="116"/>
      <c r="L456" s="116"/>
      <c r="M456" s="116"/>
      <c r="N456" s="118"/>
      <c r="O456" s="118"/>
      <c r="P456" s="119"/>
      <c r="Q456" s="118"/>
      <c r="R456" s="116"/>
      <c r="S456" s="118"/>
      <c r="T456" s="118"/>
      <c r="U456" s="119"/>
      <c r="V456" s="116"/>
      <c r="W456" s="116"/>
      <c r="X456" s="116"/>
      <c r="Y456" s="116"/>
      <c r="Z456" s="115"/>
      <c r="AA456" s="116"/>
      <c r="AB456" s="115"/>
      <c r="AC456" s="115"/>
      <c r="AD456" s="115"/>
      <c r="AE456" s="116"/>
      <c r="AF456" s="116"/>
      <c r="AG456" s="116"/>
      <c r="AH456" s="116"/>
      <c r="AI456" s="116"/>
    </row>
    <row r="457" spans="1:35" ht="12.75">
      <c r="A457" s="114"/>
      <c r="B457" s="114"/>
      <c r="C457" s="114"/>
      <c r="D457" s="115"/>
      <c r="E457" s="115"/>
      <c r="F457" s="115"/>
      <c r="G457" s="116"/>
      <c r="H457" s="115"/>
      <c r="I457" s="117"/>
      <c r="J457" s="116"/>
      <c r="K457" s="116"/>
      <c r="L457" s="116"/>
      <c r="M457" s="116"/>
      <c r="N457" s="118"/>
      <c r="O457" s="118"/>
      <c r="P457" s="119"/>
      <c r="Q457" s="118"/>
      <c r="R457" s="116"/>
      <c r="S457" s="118"/>
      <c r="T457" s="118"/>
      <c r="U457" s="119"/>
      <c r="V457" s="116"/>
      <c r="W457" s="116"/>
      <c r="X457" s="116"/>
      <c r="Y457" s="116"/>
      <c r="Z457" s="115"/>
      <c r="AA457" s="116"/>
      <c r="AB457" s="115"/>
      <c r="AC457" s="115"/>
      <c r="AD457" s="115"/>
      <c r="AE457" s="116"/>
      <c r="AF457" s="116"/>
      <c r="AG457" s="116"/>
      <c r="AH457" s="116"/>
      <c r="AI457" s="116"/>
    </row>
    <row r="458" spans="1:35" ht="12.75">
      <c r="A458" s="171" t="s">
        <v>403</v>
      </c>
      <c r="B458" s="162" t="s">
        <v>353</v>
      </c>
      <c r="C458" s="171" t="s">
        <v>403</v>
      </c>
      <c r="D458" s="162" t="s">
        <v>453</v>
      </c>
      <c r="E458" s="160" t="s">
        <v>47</v>
      </c>
      <c r="F458" s="162" t="s">
        <v>454</v>
      </c>
      <c r="G458" s="164"/>
      <c r="H458" s="77" t="s">
        <v>49</v>
      </c>
      <c r="I458" s="108"/>
      <c r="J458" s="78"/>
      <c r="K458" s="78"/>
      <c r="L458" s="79" t="b">
        <v>0</v>
      </c>
      <c r="M458" s="79" t="b">
        <v>0</v>
      </c>
      <c r="N458" s="81"/>
      <c r="O458" s="81"/>
      <c r="P458" s="80">
        <f t="shared" ref="P458:P469" si="71">N458+O458</f>
        <v>0</v>
      </c>
      <c r="Q458" s="81"/>
      <c r="R458" s="78"/>
      <c r="S458" s="81"/>
      <c r="T458" s="81"/>
      <c r="U458" s="80">
        <f t="shared" ref="U458:U469" si="72">S458+T458</f>
        <v>0</v>
      </c>
      <c r="V458" s="78"/>
      <c r="W458" s="78"/>
      <c r="X458" s="78"/>
      <c r="Y458" s="78"/>
      <c r="Z458" s="77"/>
      <c r="AA458" s="78"/>
      <c r="AB458" s="77"/>
      <c r="AC458" s="77"/>
      <c r="AD458" s="77"/>
      <c r="AE458" s="78"/>
      <c r="AF458" s="78"/>
      <c r="AG458" s="109"/>
      <c r="AH458" s="109"/>
      <c r="AI458" s="78"/>
    </row>
    <row r="459" spans="1:35" ht="12.75">
      <c r="A459" s="155"/>
      <c r="B459" s="155"/>
      <c r="C459" s="155"/>
      <c r="D459" s="155"/>
      <c r="E459" s="155"/>
      <c r="F459" s="155"/>
      <c r="G459" s="155"/>
      <c r="H459" s="85" t="s">
        <v>58</v>
      </c>
      <c r="I459" s="112"/>
      <c r="J459" s="84"/>
      <c r="K459" s="84"/>
      <c r="L459" s="86" t="b">
        <v>0</v>
      </c>
      <c r="M459" s="86" t="b">
        <v>0</v>
      </c>
      <c r="N459" s="83"/>
      <c r="O459" s="83"/>
      <c r="P459" s="87">
        <f t="shared" si="71"/>
        <v>0</v>
      </c>
      <c r="Q459" s="83"/>
      <c r="R459" s="84"/>
      <c r="S459" s="83"/>
      <c r="T459" s="83"/>
      <c r="U459" s="87">
        <f t="shared" si="72"/>
        <v>0</v>
      </c>
      <c r="V459" s="84"/>
      <c r="W459" s="84"/>
      <c r="X459" s="84"/>
      <c r="Y459" s="84"/>
      <c r="Z459" s="85"/>
      <c r="AA459" s="84"/>
      <c r="AB459" s="85"/>
      <c r="AC459" s="85"/>
      <c r="AD459" s="85"/>
      <c r="AE459" s="84"/>
      <c r="AF459" s="84"/>
      <c r="AG459" s="110"/>
      <c r="AH459" s="110"/>
      <c r="AI459" s="84"/>
    </row>
    <row r="460" spans="1:35" ht="12.75">
      <c r="A460" s="155"/>
      <c r="B460" s="155"/>
      <c r="C460" s="155"/>
      <c r="D460" s="157" t="s">
        <v>453</v>
      </c>
      <c r="E460" s="157" t="s">
        <v>59</v>
      </c>
      <c r="F460" s="157" t="s">
        <v>454</v>
      </c>
      <c r="G460" s="158"/>
      <c r="H460" s="5" t="s">
        <v>49</v>
      </c>
      <c r="I460" s="17"/>
      <c r="J460" s="9"/>
      <c r="K460" s="9"/>
      <c r="L460" s="11" t="b">
        <v>0</v>
      </c>
      <c r="M460" s="11" t="b">
        <v>0</v>
      </c>
      <c r="N460" s="7"/>
      <c r="O460" s="7"/>
      <c r="P460" s="8">
        <f t="shared" si="71"/>
        <v>0</v>
      </c>
      <c r="Q460" s="7"/>
      <c r="R460" s="9"/>
      <c r="S460" s="7"/>
      <c r="T460" s="7"/>
      <c r="U460" s="8">
        <f t="shared" si="72"/>
        <v>0</v>
      </c>
      <c r="V460" s="9"/>
      <c r="W460" s="9"/>
      <c r="X460" s="18"/>
      <c r="Y460" s="18"/>
      <c r="Z460" s="19"/>
      <c r="AA460" s="18"/>
      <c r="AB460" s="19"/>
      <c r="AC460" s="19"/>
      <c r="AD460" s="19"/>
      <c r="AE460" s="9"/>
      <c r="AF460" s="9"/>
      <c r="AG460" s="26"/>
      <c r="AH460" s="26"/>
      <c r="AI460" s="89"/>
    </row>
    <row r="461" spans="1:35" ht="12.75">
      <c r="A461" s="155"/>
      <c r="B461" s="155"/>
      <c r="C461" s="155"/>
      <c r="D461" s="155"/>
      <c r="E461" s="155"/>
      <c r="F461" s="155"/>
      <c r="G461" s="155"/>
      <c r="H461" s="5" t="s">
        <v>58</v>
      </c>
      <c r="I461" s="22"/>
      <c r="J461" s="9"/>
      <c r="K461" s="9"/>
      <c r="L461" s="11" t="b">
        <v>0</v>
      </c>
      <c r="M461" s="11" t="b">
        <v>0</v>
      </c>
      <c r="N461" s="7"/>
      <c r="O461" s="7"/>
      <c r="P461" s="8">
        <f t="shared" si="71"/>
        <v>0</v>
      </c>
      <c r="Q461" s="7"/>
      <c r="R461" s="9"/>
      <c r="S461" s="7"/>
      <c r="T461" s="7"/>
      <c r="U461" s="8">
        <f t="shared" si="72"/>
        <v>0</v>
      </c>
      <c r="V461" s="9"/>
      <c r="W461" s="9"/>
      <c r="X461" s="18"/>
      <c r="Y461" s="18"/>
      <c r="Z461" s="19"/>
      <c r="AA461" s="18"/>
      <c r="AB461" s="19"/>
      <c r="AC461" s="19"/>
      <c r="AD461" s="19"/>
      <c r="AE461" s="9"/>
      <c r="AF461" s="9"/>
      <c r="AG461" s="26"/>
      <c r="AH461" s="26"/>
      <c r="AI461" s="9"/>
    </row>
    <row r="462" spans="1:35" ht="15">
      <c r="A462" s="113"/>
      <c r="B462" s="113"/>
      <c r="C462" s="113"/>
      <c r="D462" s="159" t="s">
        <v>455</v>
      </c>
      <c r="E462" s="159" t="s">
        <v>456</v>
      </c>
      <c r="F462" s="163" t="s">
        <v>457</v>
      </c>
      <c r="G462" s="165"/>
      <c r="H462" s="91" t="s">
        <v>458</v>
      </c>
      <c r="I462" s="92"/>
      <c r="J462" s="93"/>
      <c r="K462" s="93"/>
      <c r="L462" s="94" t="b">
        <v>0</v>
      </c>
      <c r="M462" s="94" t="b">
        <v>0</v>
      </c>
      <c r="N462" s="95"/>
      <c r="O462" s="95"/>
      <c r="P462" s="96">
        <f t="shared" si="71"/>
        <v>0</v>
      </c>
      <c r="Q462" s="95"/>
      <c r="R462" s="93"/>
      <c r="S462" s="95"/>
      <c r="T462" s="95"/>
      <c r="U462" s="96">
        <f t="shared" si="72"/>
        <v>0</v>
      </c>
      <c r="V462" s="93"/>
      <c r="W462" s="93"/>
      <c r="X462" s="97"/>
      <c r="Y462" s="97"/>
      <c r="Z462" s="98"/>
      <c r="AA462" s="97"/>
      <c r="AB462" s="98"/>
      <c r="AC462" s="98"/>
      <c r="AD462" s="98"/>
      <c r="AE462" s="93"/>
      <c r="AF462" s="93"/>
      <c r="AG462" s="99"/>
      <c r="AH462" s="99"/>
      <c r="AI462" s="93"/>
    </row>
    <row r="463" spans="1:35" ht="15">
      <c r="A463" s="113"/>
      <c r="B463" s="113"/>
      <c r="C463" s="113"/>
      <c r="D463" s="155"/>
      <c r="E463" s="155"/>
      <c r="F463" s="155"/>
      <c r="G463" s="155"/>
      <c r="H463" s="91" t="s">
        <v>58</v>
      </c>
      <c r="I463" s="92"/>
      <c r="J463" s="93"/>
      <c r="K463" s="93"/>
      <c r="L463" s="94" t="b">
        <v>0</v>
      </c>
      <c r="M463" s="94" t="b">
        <v>0</v>
      </c>
      <c r="N463" s="95"/>
      <c r="O463" s="95"/>
      <c r="P463" s="96">
        <f t="shared" si="71"/>
        <v>0</v>
      </c>
      <c r="Q463" s="95"/>
      <c r="R463" s="93"/>
      <c r="S463" s="95"/>
      <c r="T463" s="95"/>
      <c r="U463" s="96">
        <f t="shared" si="72"/>
        <v>0</v>
      </c>
      <c r="V463" s="93"/>
      <c r="W463" s="93"/>
      <c r="X463" s="97"/>
      <c r="Y463" s="97"/>
      <c r="Z463" s="98"/>
      <c r="AA463" s="97"/>
      <c r="AB463" s="98"/>
      <c r="AC463" s="98"/>
      <c r="AD463" s="98"/>
      <c r="AE463" s="93"/>
      <c r="AF463" s="93"/>
      <c r="AG463" s="99"/>
      <c r="AH463" s="99"/>
      <c r="AI463" s="100"/>
    </row>
    <row r="464" spans="1:35" ht="15">
      <c r="A464" s="113"/>
      <c r="B464" s="113"/>
      <c r="C464" s="113"/>
      <c r="D464" s="159" t="s">
        <v>455</v>
      </c>
      <c r="E464" s="166" t="s">
        <v>459</v>
      </c>
      <c r="F464" s="163" t="s">
        <v>457</v>
      </c>
      <c r="G464" s="165"/>
      <c r="H464" s="91" t="s">
        <v>458</v>
      </c>
      <c r="I464" s="92"/>
      <c r="J464" s="93"/>
      <c r="K464" s="93"/>
      <c r="L464" s="94" t="b">
        <v>0</v>
      </c>
      <c r="M464" s="94" t="b">
        <v>0</v>
      </c>
      <c r="N464" s="95"/>
      <c r="O464" s="95"/>
      <c r="P464" s="96">
        <f t="shared" si="71"/>
        <v>0</v>
      </c>
      <c r="Q464" s="95"/>
      <c r="R464" s="93"/>
      <c r="S464" s="95"/>
      <c r="T464" s="95"/>
      <c r="U464" s="96">
        <f t="shared" si="72"/>
        <v>0</v>
      </c>
      <c r="V464" s="93"/>
      <c r="W464" s="93"/>
      <c r="X464" s="93"/>
      <c r="Y464" s="93"/>
      <c r="Z464" s="91"/>
      <c r="AA464" s="93"/>
      <c r="AB464" s="91"/>
      <c r="AC464" s="91"/>
      <c r="AD464" s="91"/>
      <c r="AE464" s="93"/>
      <c r="AF464" s="93"/>
      <c r="AG464" s="99"/>
      <c r="AH464" s="99"/>
      <c r="AI464" s="101"/>
    </row>
    <row r="465" spans="1:35" ht="12.75">
      <c r="A465" s="113"/>
      <c r="B465" s="113"/>
      <c r="C465" s="113"/>
      <c r="D465" s="155"/>
      <c r="E465" s="155"/>
      <c r="F465" s="155"/>
      <c r="G465" s="155"/>
      <c r="H465" s="91" t="s">
        <v>58</v>
      </c>
      <c r="I465" s="102"/>
      <c r="J465" s="93"/>
      <c r="K465" s="93"/>
      <c r="L465" s="94" t="b">
        <v>0</v>
      </c>
      <c r="M465" s="94" t="b">
        <v>0</v>
      </c>
      <c r="N465" s="95"/>
      <c r="O465" s="95"/>
      <c r="P465" s="96">
        <f t="shared" si="71"/>
        <v>0</v>
      </c>
      <c r="Q465" s="95"/>
      <c r="R465" s="93"/>
      <c r="S465" s="95"/>
      <c r="T465" s="95"/>
      <c r="U465" s="96">
        <f t="shared" si="72"/>
        <v>0</v>
      </c>
      <c r="V465" s="93"/>
      <c r="W465" s="93"/>
      <c r="X465" s="93"/>
      <c r="Y465" s="93"/>
      <c r="Z465" s="91"/>
      <c r="AA465" s="93"/>
      <c r="AB465" s="91"/>
      <c r="AC465" s="91"/>
      <c r="AD465" s="91"/>
      <c r="AE465" s="93"/>
      <c r="AF465" s="93"/>
      <c r="AG465" s="99"/>
      <c r="AH465" s="99"/>
      <c r="AI465" s="99"/>
    </row>
    <row r="466" spans="1:35" ht="15">
      <c r="A466" s="113"/>
      <c r="B466" s="113"/>
      <c r="C466" s="113"/>
      <c r="D466" s="159" t="s">
        <v>460</v>
      </c>
      <c r="E466" s="163" t="s">
        <v>461</v>
      </c>
      <c r="F466" s="159" t="s">
        <v>462</v>
      </c>
      <c r="G466" s="165"/>
      <c r="H466" s="91" t="s">
        <v>49</v>
      </c>
      <c r="I466" s="103"/>
      <c r="J466" s="93"/>
      <c r="K466" s="93"/>
      <c r="L466" s="94" t="b">
        <v>0</v>
      </c>
      <c r="M466" s="94" t="b">
        <v>0</v>
      </c>
      <c r="N466" s="95"/>
      <c r="O466" s="95"/>
      <c r="P466" s="96">
        <f t="shared" si="71"/>
        <v>0</v>
      </c>
      <c r="Q466" s="95"/>
      <c r="R466" s="93"/>
      <c r="S466" s="95"/>
      <c r="T466" s="95"/>
      <c r="U466" s="96">
        <f t="shared" si="72"/>
        <v>0</v>
      </c>
      <c r="V466" s="93"/>
      <c r="W466" s="93"/>
      <c r="X466" s="93"/>
      <c r="Y466" s="93"/>
      <c r="Z466" s="91"/>
      <c r="AA466" s="93"/>
      <c r="AB466" s="91"/>
      <c r="AC466" s="91"/>
      <c r="AD466" s="91"/>
      <c r="AE466" s="93"/>
      <c r="AF466" s="93"/>
      <c r="AG466" s="99"/>
      <c r="AH466" s="99"/>
      <c r="AI466" s="101"/>
    </row>
    <row r="467" spans="1:35" ht="15">
      <c r="A467" s="113"/>
      <c r="B467" s="113"/>
      <c r="C467" s="113"/>
      <c r="D467" s="155"/>
      <c r="E467" s="155"/>
      <c r="F467" s="155"/>
      <c r="G467" s="155"/>
      <c r="H467" s="91" t="s">
        <v>58</v>
      </c>
      <c r="I467" s="103"/>
      <c r="J467" s="93"/>
      <c r="K467" s="93"/>
      <c r="L467" s="94" t="b">
        <v>0</v>
      </c>
      <c r="M467" s="94" t="b">
        <v>0</v>
      </c>
      <c r="N467" s="95"/>
      <c r="O467" s="95"/>
      <c r="P467" s="96">
        <f t="shared" si="71"/>
        <v>0</v>
      </c>
      <c r="Q467" s="95"/>
      <c r="R467" s="93"/>
      <c r="S467" s="95"/>
      <c r="T467" s="95"/>
      <c r="U467" s="96">
        <f t="shared" si="72"/>
        <v>0</v>
      </c>
      <c r="V467" s="93"/>
      <c r="W467" s="93"/>
      <c r="X467" s="97"/>
      <c r="Y467" s="97"/>
      <c r="Z467" s="98"/>
      <c r="AA467" s="97"/>
      <c r="AB467" s="98"/>
      <c r="AC467" s="98"/>
      <c r="AD467" s="98"/>
      <c r="AE467" s="93"/>
      <c r="AF467" s="93"/>
      <c r="AG467" s="99"/>
      <c r="AH467" s="99"/>
      <c r="AI467" s="101"/>
    </row>
    <row r="468" spans="1:35" ht="15">
      <c r="A468" s="113"/>
      <c r="B468" s="113"/>
      <c r="C468" s="113"/>
      <c r="D468" s="159" t="s">
        <v>453</v>
      </c>
      <c r="E468" s="159" t="s">
        <v>463</v>
      </c>
      <c r="F468" s="159" t="s">
        <v>464</v>
      </c>
      <c r="G468" s="165"/>
      <c r="H468" s="91" t="s">
        <v>465</v>
      </c>
      <c r="I468" s="103"/>
      <c r="J468" s="93"/>
      <c r="K468" s="93"/>
      <c r="L468" s="94" t="b">
        <v>0</v>
      </c>
      <c r="M468" s="94" t="b">
        <v>0</v>
      </c>
      <c r="N468" s="95"/>
      <c r="O468" s="95"/>
      <c r="P468" s="96">
        <f t="shared" si="71"/>
        <v>0</v>
      </c>
      <c r="Q468" s="95"/>
      <c r="R468" s="93"/>
      <c r="S468" s="95"/>
      <c r="T468" s="95"/>
      <c r="U468" s="96">
        <f t="shared" si="72"/>
        <v>0</v>
      </c>
      <c r="V468" s="93"/>
      <c r="W468" s="93"/>
      <c r="X468" s="97"/>
      <c r="Y468" s="97"/>
      <c r="Z468" s="98"/>
      <c r="AA468" s="97"/>
      <c r="AB468" s="98"/>
      <c r="AC468" s="98"/>
      <c r="AD468" s="98"/>
      <c r="AE468" s="93"/>
      <c r="AF468" s="93"/>
      <c r="AG468" s="99"/>
      <c r="AH468" s="99"/>
      <c r="AI468" s="101"/>
    </row>
    <row r="469" spans="1:35" ht="15">
      <c r="A469" s="113"/>
      <c r="B469" s="113"/>
      <c r="C469" s="113"/>
      <c r="D469" s="155"/>
      <c r="E469" s="155"/>
      <c r="F469" s="155"/>
      <c r="G469" s="155"/>
      <c r="H469" s="91" t="s">
        <v>58</v>
      </c>
      <c r="I469" s="103"/>
      <c r="J469" s="93"/>
      <c r="K469" s="93"/>
      <c r="L469" s="94" t="b">
        <v>0</v>
      </c>
      <c r="M469" s="94" t="b">
        <v>0</v>
      </c>
      <c r="N469" s="95"/>
      <c r="O469" s="95"/>
      <c r="P469" s="96">
        <f t="shared" si="71"/>
        <v>0</v>
      </c>
      <c r="Q469" s="95"/>
      <c r="R469" s="93"/>
      <c r="S469" s="95"/>
      <c r="T469" s="95"/>
      <c r="U469" s="96">
        <f t="shared" si="72"/>
        <v>0</v>
      </c>
      <c r="V469" s="93"/>
      <c r="W469" s="93"/>
      <c r="X469" s="97"/>
      <c r="Y469" s="97"/>
      <c r="Z469" s="98"/>
      <c r="AA469" s="97"/>
      <c r="AB469" s="98"/>
      <c r="AC469" s="98"/>
      <c r="AD469" s="98"/>
      <c r="AE469" s="93"/>
      <c r="AF469" s="93"/>
      <c r="AG469" s="99"/>
      <c r="AH469" s="99"/>
      <c r="AI469" s="101"/>
    </row>
    <row r="470" spans="1:35" ht="12.75">
      <c r="A470" s="114"/>
      <c r="B470" s="114"/>
      <c r="C470" s="114"/>
      <c r="D470" s="115"/>
      <c r="E470" s="115"/>
      <c r="F470" s="115"/>
      <c r="G470" s="116"/>
      <c r="H470" s="115"/>
      <c r="I470" s="117"/>
      <c r="J470" s="116"/>
      <c r="K470" s="116"/>
      <c r="L470" s="116"/>
      <c r="M470" s="116"/>
      <c r="N470" s="118"/>
      <c r="O470" s="118"/>
      <c r="P470" s="119"/>
      <c r="Q470" s="118"/>
      <c r="R470" s="116"/>
      <c r="S470" s="118"/>
      <c r="T470" s="118"/>
      <c r="U470" s="119"/>
      <c r="V470" s="116"/>
      <c r="W470" s="116"/>
      <c r="X470" s="116"/>
      <c r="Y470" s="116"/>
      <c r="Z470" s="115"/>
      <c r="AA470" s="116"/>
      <c r="AB470" s="115"/>
      <c r="AC470" s="115"/>
      <c r="AD470" s="115"/>
      <c r="AE470" s="116"/>
      <c r="AF470" s="116"/>
      <c r="AG470" s="116"/>
      <c r="AH470" s="116"/>
      <c r="AI470" s="116"/>
    </row>
    <row r="471" spans="1:35" ht="12.75">
      <c r="A471" s="161" t="s">
        <v>411</v>
      </c>
      <c r="B471" s="162" t="s">
        <v>412</v>
      </c>
      <c r="C471" s="161" t="s">
        <v>411</v>
      </c>
      <c r="D471" s="162" t="s">
        <v>453</v>
      </c>
      <c r="E471" s="160" t="s">
        <v>47</v>
      </c>
      <c r="F471" s="162" t="s">
        <v>454</v>
      </c>
      <c r="G471" s="164"/>
      <c r="H471" s="77" t="s">
        <v>49</v>
      </c>
      <c r="I471" s="108"/>
      <c r="J471" s="78"/>
      <c r="K471" s="78"/>
      <c r="L471" s="79" t="b">
        <v>0</v>
      </c>
      <c r="M471" s="79" t="b">
        <v>0</v>
      </c>
      <c r="N471" s="81"/>
      <c r="O471" s="81"/>
      <c r="P471" s="80">
        <f t="shared" ref="P471:P482" si="73">N471+O471</f>
        <v>0</v>
      </c>
      <c r="Q471" s="81"/>
      <c r="R471" s="78"/>
      <c r="S471" s="81"/>
      <c r="T471" s="81"/>
      <c r="U471" s="80">
        <f t="shared" ref="U471:U482" si="74">S471+T471</f>
        <v>0</v>
      </c>
      <c r="V471" s="78"/>
      <c r="W471" s="78"/>
      <c r="X471" s="78"/>
      <c r="Y471" s="78"/>
      <c r="Z471" s="77"/>
      <c r="AA471" s="78"/>
      <c r="AB471" s="77"/>
      <c r="AC471" s="77"/>
      <c r="AD471" s="77"/>
      <c r="AE471" s="78"/>
      <c r="AF471" s="78"/>
      <c r="AG471" s="109"/>
      <c r="AH471" s="109"/>
      <c r="AI471" s="78"/>
    </row>
    <row r="472" spans="1:35" ht="12.75">
      <c r="A472" s="155"/>
      <c r="B472" s="155"/>
      <c r="C472" s="155"/>
      <c r="D472" s="155"/>
      <c r="E472" s="155"/>
      <c r="F472" s="155"/>
      <c r="G472" s="155"/>
      <c r="H472" s="85" t="s">
        <v>58</v>
      </c>
      <c r="I472" s="112"/>
      <c r="J472" s="84"/>
      <c r="K472" s="84"/>
      <c r="L472" s="86" t="b">
        <v>0</v>
      </c>
      <c r="M472" s="86" t="b">
        <v>0</v>
      </c>
      <c r="N472" s="83"/>
      <c r="O472" s="83"/>
      <c r="P472" s="87">
        <f t="shared" si="73"/>
        <v>0</v>
      </c>
      <c r="Q472" s="83"/>
      <c r="R472" s="84"/>
      <c r="S472" s="83"/>
      <c r="T472" s="83"/>
      <c r="U472" s="87">
        <f t="shared" si="74"/>
        <v>0</v>
      </c>
      <c r="V472" s="84"/>
      <c r="W472" s="84"/>
      <c r="X472" s="84"/>
      <c r="Y472" s="84"/>
      <c r="Z472" s="85"/>
      <c r="AA472" s="84"/>
      <c r="AB472" s="85"/>
      <c r="AC472" s="85"/>
      <c r="AD472" s="85"/>
      <c r="AE472" s="84"/>
      <c r="AF472" s="84"/>
      <c r="AG472" s="110"/>
      <c r="AH472" s="110"/>
      <c r="AI472" s="84"/>
    </row>
    <row r="473" spans="1:35" ht="12.75">
      <c r="A473" s="155"/>
      <c r="B473" s="155"/>
      <c r="C473" s="155"/>
      <c r="D473" s="157" t="s">
        <v>453</v>
      </c>
      <c r="E473" s="157" t="s">
        <v>59</v>
      </c>
      <c r="F473" s="157" t="s">
        <v>454</v>
      </c>
      <c r="G473" s="158"/>
      <c r="H473" s="5" t="s">
        <v>49</v>
      </c>
      <c r="I473" s="17"/>
      <c r="J473" s="9"/>
      <c r="K473" s="9"/>
      <c r="L473" s="11" t="b">
        <v>0</v>
      </c>
      <c r="M473" s="11" t="b">
        <v>0</v>
      </c>
      <c r="N473" s="7"/>
      <c r="O473" s="7"/>
      <c r="P473" s="8">
        <f t="shared" si="73"/>
        <v>0</v>
      </c>
      <c r="Q473" s="7"/>
      <c r="R473" s="9"/>
      <c r="S473" s="7"/>
      <c r="T473" s="7"/>
      <c r="U473" s="8">
        <f t="shared" si="74"/>
        <v>0</v>
      </c>
      <c r="V473" s="9"/>
      <c r="W473" s="9"/>
      <c r="X473" s="18"/>
      <c r="Y473" s="18"/>
      <c r="Z473" s="19"/>
      <c r="AA473" s="18"/>
      <c r="AB473" s="19"/>
      <c r="AC473" s="19"/>
      <c r="AD473" s="19"/>
      <c r="AE473" s="9"/>
      <c r="AF473" s="9"/>
      <c r="AG473" s="26"/>
      <c r="AH473" s="26"/>
      <c r="AI473" s="89"/>
    </row>
    <row r="474" spans="1:35" ht="12.75">
      <c r="A474" s="155"/>
      <c r="B474" s="155"/>
      <c r="C474" s="155"/>
      <c r="D474" s="155"/>
      <c r="E474" s="155"/>
      <c r="F474" s="155"/>
      <c r="G474" s="155"/>
      <c r="H474" s="5" t="s">
        <v>58</v>
      </c>
      <c r="I474" s="22"/>
      <c r="J474" s="9"/>
      <c r="K474" s="9"/>
      <c r="L474" s="11" t="b">
        <v>0</v>
      </c>
      <c r="M474" s="11" t="b">
        <v>0</v>
      </c>
      <c r="N474" s="7"/>
      <c r="O474" s="7"/>
      <c r="P474" s="8">
        <f t="shared" si="73"/>
        <v>0</v>
      </c>
      <c r="Q474" s="7"/>
      <c r="R474" s="9"/>
      <c r="S474" s="7"/>
      <c r="T474" s="7"/>
      <c r="U474" s="8">
        <f t="shared" si="74"/>
        <v>0</v>
      </c>
      <c r="V474" s="9"/>
      <c r="W474" s="9"/>
      <c r="X474" s="18"/>
      <c r="Y474" s="18"/>
      <c r="Z474" s="19"/>
      <c r="AA474" s="18"/>
      <c r="AB474" s="19"/>
      <c r="AC474" s="19"/>
      <c r="AD474" s="19"/>
      <c r="AE474" s="9"/>
      <c r="AF474" s="9"/>
      <c r="AG474" s="26"/>
      <c r="AH474" s="26"/>
      <c r="AI474" s="9"/>
    </row>
    <row r="475" spans="1:35" ht="15">
      <c r="A475" s="113"/>
      <c r="B475" s="113"/>
      <c r="C475" s="113"/>
      <c r="D475" s="159" t="s">
        <v>455</v>
      </c>
      <c r="E475" s="159" t="s">
        <v>456</v>
      </c>
      <c r="F475" s="163" t="s">
        <v>457</v>
      </c>
      <c r="G475" s="165"/>
      <c r="H475" s="91" t="s">
        <v>458</v>
      </c>
      <c r="I475" s="92"/>
      <c r="J475" s="93"/>
      <c r="K475" s="93"/>
      <c r="L475" s="94" t="b">
        <v>0</v>
      </c>
      <c r="M475" s="94" t="b">
        <v>0</v>
      </c>
      <c r="N475" s="95"/>
      <c r="O475" s="95"/>
      <c r="P475" s="96">
        <f t="shared" si="73"/>
        <v>0</v>
      </c>
      <c r="Q475" s="95"/>
      <c r="R475" s="93"/>
      <c r="S475" s="95"/>
      <c r="T475" s="95"/>
      <c r="U475" s="96">
        <f t="shared" si="74"/>
        <v>0</v>
      </c>
      <c r="V475" s="93"/>
      <c r="W475" s="93"/>
      <c r="X475" s="97"/>
      <c r="Y475" s="97"/>
      <c r="Z475" s="98"/>
      <c r="AA475" s="97"/>
      <c r="AB475" s="98"/>
      <c r="AC475" s="98"/>
      <c r="AD475" s="98"/>
      <c r="AE475" s="93"/>
      <c r="AF475" s="93"/>
      <c r="AG475" s="99"/>
      <c r="AH475" s="99"/>
      <c r="AI475" s="93"/>
    </row>
    <row r="476" spans="1:35" ht="15">
      <c r="A476" s="113"/>
      <c r="B476" s="113"/>
      <c r="C476" s="113"/>
      <c r="D476" s="155"/>
      <c r="E476" s="155"/>
      <c r="F476" s="155"/>
      <c r="G476" s="155"/>
      <c r="H476" s="91" t="s">
        <v>58</v>
      </c>
      <c r="I476" s="92"/>
      <c r="J476" s="93"/>
      <c r="K476" s="93"/>
      <c r="L476" s="94" t="b">
        <v>0</v>
      </c>
      <c r="M476" s="94" t="b">
        <v>0</v>
      </c>
      <c r="N476" s="95"/>
      <c r="O476" s="95"/>
      <c r="P476" s="96">
        <f t="shared" si="73"/>
        <v>0</v>
      </c>
      <c r="Q476" s="95"/>
      <c r="R476" s="93"/>
      <c r="S476" s="95"/>
      <c r="T476" s="95"/>
      <c r="U476" s="96">
        <f t="shared" si="74"/>
        <v>0</v>
      </c>
      <c r="V476" s="93"/>
      <c r="W476" s="93"/>
      <c r="X476" s="97"/>
      <c r="Y476" s="97"/>
      <c r="Z476" s="98"/>
      <c r="AA476" s="97"/>
      <c r="AB476" s="98"/>
      <c r="AC476" s="98"/>
      <c r="AD476" s="98"/>
      <c r="AE476" s="93"/>
      <c r="AF476" s="93"/>
      <c r="AG476" s="99"/>
      <c r="AH476" s="99"/>
      <c r="AI476" s="100"/>
    </row>
    <row r="477" spans="1:35" ht="15">
      <c r="A477" s="113"/>
      <c r="B477" s="113"/>
      <c r="C477" s="113"/>
      <c r="D477" s="159" t="s">
        <v>455</v>
      </c>
      <c r="E477" s="166" t="s">
        <v>459</v>
      </c>
      <c r="F477" s="163" t="s">
        <v>457</v>
      </c>
      <c r="G477" s="165"/>
      <c r="H477" s="91" t="s">
        <v>458</v>
      </c>
      <c r="I477" s="92"/>
      <c r="J477" s="93"/>
      <c r="K477" s="93"/>
      <c r="L477" s="94" t="b">
        <v>0</v>
      </c>
      <c r="M477" s="94" t="b">
        <v>0</v>
      </c>
      <c r="N477" s="95"/>
      <c r="O477" s="95"/>
      <c r="P477" s="96">
        <f t="shared" si="73"/>
        <v>0</v>
      </c>
      <c r="Q477" s="95"/>
      <c r="R477" s="93"/>
      <c r="S477" s="95"/>
      <c r="T477" s="95"/>
      <c r="U477" s="96">
        <f t="shared" si="74"/>
        <v>0</v>
      </c>
      <c r="V477" s="93"/>
      <c r="W477" s="93"/>
      <c r="X477" s="93"/>
      <c r="Y477" s="93"/>
      <c r="Z477" s="91"/>
      <c r="AA477" s="93"/>
      <c r="AB477" s="91"/>
      <c r="AC477" s="91"/>
      <c r="AD477" s="91"/>
      <c r="AE477" s="93"/>
      <c r="AF477" s="93"/>
      <c r="AG477" s="99"/>
      <c r="AH477" s="99"/>
      <c r="AI477" s="101"/>
    </row>
    <row r="478" spans="1:35" ht="12.75">
      <c r="A478" s="113"/>
      <c r="B478" s="113"/>
      <c r="C478" s="113"/>
      <c r="D478" s="155"/>
      <c r="E478" s="155"/>
      <c r="F478" s="155"/>
      <c r="G478" s="155"/>
      <c r="H478" s="91" t="s">
        <v>58</v>
      </c>
      <c r="I478" s="102"/>
      <c r="J478" s="93"/>
      <c r="K478" s="93"/>
      <c r="L478" s="94" t="b">
        <v>0</v>
      </c>
      <c r="M478" s="94" t="b">
        <v>0</v>
      </c>
      <c r="N478" s="95"/>
      <c r="O478" s="95"/>
      <c r="P478" s="96">
        <f t="shared" si="73"/>
        <v>0</v>
      </c>
      <c r="Q478" s="95"/>
      <c r="R478" s="93"/>
      <c r="S478" s="95"/>
      <c r="T478" s="95"/>
      <c r="U478" s="96">
        <f t="shared" si="74"/>
        <v>0</v>
      </c>
      <c r="V478" s="93"/>
      <c r="W478" s="93"/>
      <c r="X478" s="93"/>
      <c r="Y478" s="93"/>
      <c r="Z478" s="91"/>
      <c r="AA478" s="93"/>
      <c r="AB478" s="91"/>
      <c r="AC478" s="91"/>
      <c r="AD478" s="91"/>
      <c r="AE478" s="93"/>
      <c r="AF478" s="93"/>
      <c r="AG478" s="99"/>
      <c r="AH478" s="99"/>
      <c r="AI478" s="99"/>
    </row>
    <row r="479" spans="1:35" ht="15">
      <c r="A479" s="113"/>
      <c r="B479" s="113"/>
      <c r="C479" s="113"/>
      <c r="D479" s="159" t="s">
        <v>460</v>
      </c>
      <c r="E479" s="163" t="s">
        <v>461</v>
      </c>
      <c r="F479" s="159" t="s">
        <v>462</v>
      </c>
      <c r="G479" s="165"/>
      <c r="H479" s="91" t="s">
        <v>49</v>
      </c>
      <c r="I479" s="103"/>
      <c r="J479" s="93"/>
      <c r="K479" s="93"/>
      <c r="L479" s="94" t="b">
        <v>0</v>
      </c>
      <c r="M479" s="94" t="b">
        <v>0</v>
      </c>
      <c r="N479" s="95"/>
      <c r="O479" s="95"/>
      <c r="P479" s="96">
        <f t="shared" si="73"/>
        <v>0</v>
      </c>
      <c r="Q479" s="95"/>
      <c r="R479" s="93"/>
      <c r="S479" s="95"/>
      <c r="T479" s="95"/>
      <c r="U479" s="96">
        <f t="shared" si="74"/>
        <v>0</v>
      </c>
      <c r="V479" s="93"/>
      <c r="W479" s="93"/>
      <c r="X479" s="93"/>
      <c r="Y479" s="93"/>
      <c r="Z479" s="91"/>
      <c r="AA479" s="93"/>
      <c r="AB479" s="91"/>
      <c r="AC479" s="91"/>
      <c r="AD479" s="91"/>
      <c r="AE479" s="93"/>
      <c r="AF479" s="93"/>
      <c r="AG479" s="99"/>
      <c r="AH479" s="99"/>
      <c r="AI479" s="101"/>
    </row>
    <row r="480" spans="1:35" ht="15">
      <c r="A480" s="113"/>
      <c r="B480" s="113"/>
      <c r="C480" s="113"/>
      <c r="D480" s="155"/>
      <c r="E480" s="155"/>
      <c r="F480" s="155"/>
      <c r="G480" s="155"/>
      <c r="H480" s="91" t="s">
        <v>58</v>
      </c>
      <c r="I480" s="103"/>
      <c r="J480" s="93"/>
      <c r="K480" s="93"/>
      <c r="L480" s="94" t="b">
        <v>0</v>
      </c>
      <c r="M480" s="94" t="b">
        <v>0</v>
      </c>
      <c r="N480" s="95"/>
      <c r="O480" s="95"/>
      <c r="P480" s="96">
        <f t="shared" si="73"/>
        <v>0</v>
      </c>
      <c r="Q480" s="95"/>
      <c r="R480" s="93"/>
      <c r="S480" s="95"/>
      <c r="T480" s="95"/>
      <c r="U480" s="96">
        <f t="shared" si="74"/>
        <v>0</v>
      </c>
      <c r="V480" s="93"/>
      <c r="W480" s="93"/>
      <c r="X480" s="97"/>
      <c r="Y480" s="97"/>
      <c r="Z480" s="98"/>
      <c r="AA480" s="97"/>
      <c r="AB480" s="98"/>
      <c r="AC480" s="98"/>
      <c r="AD480" s="98"/>
      <c r="AE480" s="93"/>
      <c r="AF480" s="93"/>
      <c r="AG480" s="99"/>
      <c r="AH480" s="99"/>
      <c r="AI480" s="101"/>
    </row>
    <row r="481" spans="1:35" ht="15">
      <c r="A481" s="113"/>
      <c r="B481" s="113"/>
      <c r="C481" s="113"/>
      <c r="D481" s="159" t="s">
        <v>453</v>
      </c>
      <c r="E481" s="159" t="s">
        <v>463</v>
      </c>
      <c r="F481" s="159" t="s">
        <v>464</v>
      </c>
      <c r="G481" s="165"/>
      <c r="H481" s="91" t="s">
        <v>465</v>
      </c>
      <c r="I481" s="103"/>
      <c r="J481" s="93"/>
      <c r="K481" s="93"/>
      <c r="L481" s="94" t="b">
        <v>0</v>
      </c>
      <c r="M481" s="94" t="b">
        <v>0</v>
      </c>
      <c r="N481" s="95"/>
      <c r="O481" s="95"/>
      <c r="P481" s="96">
        <f t="shared" si="73"/>
        <v>0</v>
      </c>
      <c r="Q481" s="95"/>
      <c r="R481" s="93"/>
      <c r="S481" s="95"/>
      <c r="T481" s="95"/>
      <c r="U481" s="96">
        <f t="shared" si="74"/>
        <v>0</v>
      </c>
      <c r="V481" s="93"/>
      <c r="W481" s="93"/>
      <c r="X481" s="97"/>
      <c r="Y481" s="97"/>
      <c r="Z481" s="98"/>
      <c r="AA481" s="97"/>
      <c r="AB481" s="98"/>
      <c r="AC481" s="98"/>
      <c r="AD481" s="98"/>
      <c r="AE481" s="93"/>
      <c r="AF481" s="93"/>
      <c r="AG481" s="99"/>
      <c r="AH481" s="99"/>
      <c r="AI481" s="101"/>
    </row>
    <row r="482" spans="1:35" ht="15">
      <c r="A482" s="113"/>
      <c r="B482" s="113"/>
      <c r="C482" s="113"/>
      <c r="D482" s="155"/>
      <c r="E482" s="155"/>
      <c r="F482" s="155"/>
      <c r="G482" s="155"/>
      <c r="H482" s="91" t="s">
        <v>58</v>
      </c>
      <c r="I482" s="103"/>
      <c r="J482" s="93"/>
      <c r="K482" s="93"/>
      <c r="L482" s="94" t="b">
        <v>0</v>
      </c>
      <c r="M482" s="94" t="b">
        <v>0</v>
      </c>
      <c r="N482" s="95"/>
      <c r="O482" s="95"/>
      <c r="P482" s="96">
        <f t="shared" si="73"/>
        <v>0</v>
      </c>
      <c r="Q482" s="95"/>
      <c r="R482" s="93"/>
      <c r="S482" s="95"/>
      <c r="T482" s="95"/>
      <c r="U482" s="96">
        <f t="shared" si="74"/>
        <v>0</v>
      </c>
      <c r="V482" s="93"/>
      <c r="W482" s="93"/>
      <c r="X482" s="97"/>
      <c r="Y482" s="97"/>
      <c r="Z482" s="98"/>
      <c r="AA482" s="97"/>
      <c r="AB482" s="98"/>
      <c r="AC482" s="98"/>
      <c r="AD482" s="98"/>
      <c r="AE482" s="93"/>
      <c r="AF482" s="93"/>
      <c r="AG482" s="99"/>
      <c r="AH482" s="99"/>
      <c r="AI482" s="101"/>
    </row>
    <row r="483" spans="1:35" ht="12.75">
      <c r="A483" s="114"/>
      <c r="B483" s="114"/>
      <c r="C483" s="114"/>
      <c r="D483" s="115"/>
      <c r="E483" s="115"/>
      <c r="F483" s="115"/>
      <c r="G483" s="116"/>
      <c r="H483" s="115"/>
      <c r="I483" s="117"/>
      <c r="J483" s="116"/>
      <c r="K483" s="116"/>
      <c r="L483" s="116"/>
      <c r="M483" s="116"/>
      <c r="N483" s="118"/>
      <c r="O483" s="118"/>
      <c r="P483" s="119"/>
      <c r="Q483" s="118"/>
      <c r="R483" s="116"/>
      <c r="S483" s="118"/>
      <c r="T483" s="118"/>
      <c r="U483" s="119"/>
      <c r="V483" s="116"/>
      <c r="W483" s="116"/>
      <c r="X483" s="116"/>
      <c r="Y483" s="116"/>
      <c r="Z483" s="115"/>
      <c r="AA483" s="116"/>
      <c r="AB483" s="115"/>
      <c r="AC483" s="115"/>
      <c r="AD483" s="115"/>
      <c r="AE483" s="116"/>
      <c r="AF483" s="116"/>
      <c r="AG483" s="116"/>
      <c r="AH483" s="116"/>
      <c r="AI483" s="116"/>
    </row>
    <row r="484" spans="1:35" ht="12.75">
      <c r="A484" s="161" t="s">
        <v>420</v>
      </c>
      <c r="B484" s="162" t="s">
        <v>412</v>
      </c>
      <c r="C484" s="161" t="s">
        <v>421</v>
      </c>
      <c r="D484" s="162" t="s">
        <v>453</v>
      </c>
      <c r="E484" s="160" t="s">
        <v>47</v>
      </c>
      <c r="F484" s="162" t="s">
        <v>454</v>
      </c>
      <c r="G484" s="164"/>
      <c r="H484" s="77" t="s">
        <v>49</v>
      </c>
      <c r="I484" s="108"/>
      <c r="J484" s="78"/>
      <c r="K484" s="78"/>
      <c r="L484" s="79" t="b">
        <v>0</v>
      </c>
      <c r="M484" s="79" t="b">
        <v>0</v>
      </c>
      <c r="N484" s="81"/>
      <c r="O484" s="81"/>
      <c r="P484" s="80">
        <f t="shared" ref="P484:P495" si="75">N484+O484</f>
        <v>0</v>
      </c>
      <c r="Q484" s="81"/>
      <c r="R484" s="78"/>
      <c r="S484" s="81"/>
      <c r="T484" s="81"/>
      <c r="U484" s="80">
        <f t="shared" ref="U484:U495" si="76">S484+T484</f>
        <v>0</v>
      </c>
      <c r="V484" s="78"/>
      <c r="W484" s="78"/>
      <c r="X484" s="78"/>
      <c r="Y484" s="78"/>
      <c r="Z484" s="77"/>
      <c r="AA484" s="78"/>
      <c r="AB484" s="77"/>
      <c r="AC484" s="77"/>
      <c r="AD484" s="77"/>
      <c r="AE484" s="78"/>
      <c r="AF484" s="78"/>
      <c r="AG484" s="109"/>
      <c r="AH484" s="109"/>
      <c r="AI484" s="78"/>
    </row>
    <row r="485" spans="1:35" ht="12.75">
      <c r="A485" s="155"/>
      <c r="B485" s="155"/>
      <c r="C485" s="155"/>
      <c r="D485" s="155"/>
      <c r="E485" s="155"/>
      <c r="F485" s="155"/>
      <c r="G485" s="155"/>
      <c r="H485" s="85" t="s">
        <v>58</v>
      </c>
      <c r="I485" s="112"/>
      <c r="J485" s="84"/>
      <c r="K485" s="84"/>
      <c r="L485" s="86" t="b">
        <v>0</v>
      </c>
      <c r="M485" s="86" t="b">
        <v>0</v>
      </c>
      <c r="N485" s="83"/>
      <c r="O485" s="83"/>
      <c r="P485" s="87">
        <f t="shared" si="75"/>
        <v>0</v>
      </c>
      <c r="Q485" s="83"/>
      <c r="R485" s="84"/>
      <c r="S485" s="83"/>
      <c r="T485" s="83"/>
      <c r="U485" s="87">
        <f t="shared" si="76"/>
        <v>0</v>
      </c>
      <c r="V485" s="84"/>
      <c r="W485" s="84"/>
      <c r="X485" s="84"/>
      <c r="Y485" s="84"/>
      <c r="Z485" s="85"/>
      <c r="AA485" s="84"/>
      <c r="AB485" s="85"/>
      <c r="AC485" s="85"/>
      <c r="AD485" s="85"/>
      <c r="AE485" s="84"/>
      <c r="AF485" s="84"/>
      <c r="AG485" s="110"/>
      <c r="AH485" s="110"/>
      <c r="AI485" s="84"/>
    </row>
    <row r="486" spans="1:35" ht="12.75">
      <c r="A486" s="155"/>
      <c r="B486" s="155"/>
      <c r="C486" s="155"/>
      <c r="D486" s="157" t="s">
        <v>453</v>
      </c>
      <c r="E486" s="157" t="s">
        <v>59</v>
      </c>
      <c r="F486" s="157" t="s">
        <v>454</v>
      </c>
      <c r="G486" s="158"/>
      <c r="H486" s="5" t="s">
        <v>49</v>
      </c>
      <c r="I486" s="17"/>
      <c r="J486" s="9"/>
      <c r="K486" s="9"/>
      <c r="L486" s="11" t="b">
        <v>0</v>
      </c>
      <c r="M486" s="11" t="b">
        <v>0</v>
      </c>
      <c r="N486" s="7"/>
      <c r="O486" s="7"/>
      <c r="P486" s="8">
        <f t="shared" si="75"/>
        <v>0</v>
      </c>
      <c r="Q486" s="7"/>
      <c r="R486" s="9"/>
      <c r="S486" s="7"/>
      <c r="T486" s="7"/>
      <c r="U486" s="8">
        <f t="shared" si="76"/>
        <v>0</v>
      </c>
      <c r="V486" s="9"/>
      <c r="W486" s="9"/>
      <c r="X486" s="18"/>
      <c r="Y486" s="18"/>
      <c r="Z486" s="19"/>
      <c r="AA486" s="18"/>
      <c r="AB486" s="19"/>
      <c r="AC486" s="19"/>
      <c r="AD486" s="19"/>
      <c r="AE486" s="9"/>
      <c r="AF486" s="9"/>
      <c r="AG486" s="26"/>
      <c r="AH486" s="26"/>
      <c r="AI486" s="89"/>
    </row>
    <row r="487" spans="1:35" ht="12.75">
      <c r="A487" s="155"/>
      <c r="B487" s="155"/>
      <c r="C487" s="155"/>
      <c r="D487" s="155"/>
      <c r="E487" s="155"/>
      <c r="F487" s="155"/>
      <c r="G487" s="155"/>
      <c r="H487" s="5" t="s">
        <v>58</v>
      </c>
      <c r="I487" s="22"/>
      <c r="J487" s="9"/>
      <c r="K487" s="9"/>
      <c r="L487" s="11" t="b">
        <v>0</v>
      </c>
      <c r="M487" s="11" t="b">
        <v>0</v>
      </c>
      <c r="N487" s="7"/>
      <c r="O487" s="7"/>
      <c r="P487" s="8">
        <f t="shared" si="75"/>
        <v>0</v>
      </c>
      <c r="Q487" s="7"/>
      <c r="R487" s="9"/>
      <c r="S487" s="7"/>
      <c r="T487" s="7"/>
      <c r="U487" s="8">
        <f t="shared" si="76"/>
        <v>0</v>
      </c>
      <c r="V487" s="9"/>
      <c r="W487" s="9"/>
      <c r="X487" s="18"/>
      <c r="Y487" s="18"/>
      <c r="Z487" s="19"/>
      <c r="AA487" s="18"/>
      <c r="AB487" s="19"/>
      <c r="AC487" s="19"/>
      <c r="AD487" s="19"/>
      <c r="AE487" s="9"/>
      <c r="AF487" s="9"/>
      <c r="AG487" s="26"/>
      <c r="AH487" s="26"/>
      <c r="AI487" s="9"/>
    </row>
    <row r="488" spans="1:35" ht="15">
      <c r="A488" s="113"/>
      <c r="B488" s="113"/>
      <c r="C488" s="113"/>
      <c r="D488" s="159" t="s">
        <v>455</v>
      </c>
      <c r="E488" s="159" t="s">
        <v>456</v>
      </c>
      <c r="F488" s="163" t="s">
        <v>457</v>
      </c>
      <c r="G488" s="165"/>
      <c r="H488" s="91" t="s">
        <v>458</v>
      </c>
      <c r="I488" s="92"/>
      <c r="J488" s="93"/>
      <c r="K488" s="93"/>
      <c r="L488" s="94" t="b">
        <v>0</v>
      </c>
      <c r="M488" s="94" t="b">
        <v>0</v>
      </c>
      <c r="N488" s="95"/>
      <c r="O488" s="95"/>
      <c r="P488" s="96">
        <f t="shared" si="75"/>
        <v>0</v>
      </c>
      <c r="Q488" s="95"/>
      <c r="R488" s="93"/>
      <c r="S488" s="95"/>
      <c r="T488" s="95"/>
      <c r="U488" s="96">
        <f t="shared" si="76"/>
        <v>0</v>
      </c>
      <c r="V488" s="93"/>
      <c r="W488" s="93"/>
      <c r="X488" s="97"/>
      <c r="Y488" s="97"/>
      <c r="Z488" s="98"/>
      <c r="AA488" s="97"/>
      <c r="AB488" s="98"/>
      <c r="AC488" s="98"/>
      <c r="AD488" s="98"/>
      <c r="AE488" s="93"/>
      <c r="AF488" s="93"/>
      <c r="AG488" s="99"/>
      <c r="AH488" s="99"/>
      <c r="AI488" s="93"/>
    </row>
    <row r="489" spans="1:35" ht="15">
      <c r="A489" s="113"/>
      <c r="B489" s="113"/>
      <c r="C489" s="113"/>
      <c r="D489" s="155"/>
      <c r="E489" s="155"/>
      <c r="F489" s="155"/>
      <c r="G489" s="155"/>
      <c r="H489" s="91" t="s">
        <v>58</v>
      </c>
      <c r="I489" s="92"/>
      <c r="J489" s="93"/>
      <c r="K489" s="93"/>
      <c r="L489" s="94" t="b">
        <v>0</v>
      </c>
      <c r="M489" s="94" t="b">
        <v>0</v>
      </c>
      <c r="N489" s="95"/>
      <c r="O489" s="95"/>
      <c r="P489" s="96">
        <f t="shared" si="75"/>
        <v>0</v>
      </c>
      <c r="Q489" s="95"/>
      <c r="R489" s="93"/>
      <c r="S489" s="95"/>
      <c r="T489" s="95"/>
      <c r="U489" s="96">
        <f t="shared" si="76"/>
        <v>0</v>
      </c>
      <c r="V489" s="93"/>
      <c r="W489" s="93"/>
      <c r="X489" s="97"/>
      <c r="Y489" s="97"/>
      <c r="Z489" s="98"/>
      <c r="AA489" s="97"/>
      <c r="AB489" s="98"/>
      <c r="AC489" s="98"/>
      <c r="AD489" s="98"/>
      <c r="AE489" s="93"/>
      <c r="AF489" s="93"/>
      <c r="AG489" s="99"/>
      <c r="AH489" s="99"/>
      <c r="AI489" s="100"/>
    </row>
    <row r="490" spans="1:35" ht="15">
      <c r="A490" s="113"/>
      <c r="B490" s="113"/>
      <c r="C490" s="113"/>
      <c r="D490" s="159" t="s">
        <v>455</v>
      </c>
      <c r="E490" s="166" t="s">
        <v>459</v>
      </c>
      <c r="F490" s="163" t="s">
        <v>457</v>
      </c>
      <c r="G490" s="165"/>
      <c r="H490" s="91" t="s">
        <v>458</v>
      </c>
      <c r="I490" s="92"/>
      <c r="J490" s="93"/>
      <c r="K490" s="93"/>
      <c r="L490" s="94" t="b">
        <v>0</v>
      </c>
      <c r="M490" s="94" t="b">
        <v>0</v>
      </c>
      <c r="N490" s="95"/>
      <c r="O490" s="95"/>
      <c r="P490" s="96">
        <f t="shared" si="75"/>
        <v>0</v>
      </c>
      <c r="Q490" s="95"/>
      <c r="R490" s="93"/>
      <c r="S490" s="95"/>
      <c r="T490" s="95"/>
      <c r="U490" s="96">
        <f t="shared" si="76"/>
        <v>0</v>
      </c>
      <c r="V490" s="93"/>
      <c r="W490" s="93"/>
      <c r="X490" s="93"/>
      <c r="Y490" s="93"/>
      <c r="Z490" s="91"/>
      <c r="AA490" s="93"/>
      <c r="AB490" s="91"/>
      <c r="AC490" s="91"/>
      <c r="AD490" s="91"/>
      <c r="AE490" s="93"/>
      <c r="AF490" s="93"/>
      <c r="AG490" s="99"/>
      <c r="AH490" s="99"/>
      <c r="AI490" s="101"/>
    </row>
    <row r="491" spans="1:35" ht="12.75">
      <c r="A491" s="113"/>
      <c r="B491" s="113"/>
      <c r="C491" s="113"/>
      <c r="D491" s="155"/>
      <c r="E491" s="155"/>
      <c r="F491" s="155"/>
      <c r="G491" s="155"/>
      <c r="H491" s="91" t="s">
        <v>58</v>
      </c>
      <c r="I491" s="102"/>
      <c r="J491" s="93"/>
      <c r="K491" s="93"/>
      <c r="L491" s="94" t="b">
        <v>0</v>
      </c>
      <c r="M491" s="94" t="b">
        <v>0</v>
      </c>
      <c r="N491" s="95"/>
      <c r="O491" s="95"/>
      <c r="P491" s="96">
        <f t="shared" si="75"/>
        <v>0</v>
      </c>
      <c r="Q491" s="95"/>
      <c r="R491" s="93"/>
      <c r="S491" s="95"/>
      <c r="T491" s="95"/>
      <c r="U491" s="96">
        <f t="shared" si="76"/>
        <v>0</v>
      </c>
      <c r="V491" s="93"/>
      <c r="W491" s="93"/>
      <c r="X491" s="93"/>
      <c r="Y491" s="93"/>
      <c r="Z491" s="91"/>
      <c r="AA491" s="93"/>
      <c r="AB491" s="91"/>
      <c r="AC491" s="91"/>
      <c r="AD491" s="91"/>
      <c r="AE491" s="93"/>
      <c r="AF491" s="93"/>
      <c r="AG491" s="99"/>
      <c r="AH491" s="99"/>
      <c r="AI491" s="99"/>
    </row>
    <row r="492" spans="1:35" ht="15">
      <c r="A492" s="113"/>
      <c r="B492" s="113"/>
      <c r="C492" s="113"/>
      <c r="D492" s="159" t="s">
        <v>460</v>
      </c>
      <c r="E492" s="163" t="s">
        <v>461</v>
      </c>
      <c r="F492" s="159" t="s">
        <v>462</v>
      </c>
      <c r="G492" s="165"/>
      <c r="H492" s="91" t="s">
        <v>49</v>
      </c>
      <c r="I492" s="103"/>
      <c r="J492" s="93"/>
      <c r="K492" s="93"/>
      <c r="L492" s="94" t="b">
        <v>0</v>
      </c>
      <c r="M492" s="94" t="b">
        <v>0</v>
      </c>
      <c r="N492" s="95"/>
      <c r="O492" s="95"/>
      <c r="P492" s="96">
        <f t="shared" si="75"/>
        <v>0</v>
      </c>
      <c r="Q492" s="95"/>
      <c r="R492" s="93"/>
      <c r="S492" s="95"/>
      <c r="T492" s="95"/>
      <c r="U492" s="96">
        <f t="shared" si="76"/>
        <v>0</v>
      </c>
      <c r="V492" s="93"/>
      <c r="W492" s="93"/>
      <c r="X492" s="93"/>
      <c r="Y492" s="93"/>
      <c r="Z492" s="91"/>
      <c r="AA492" s="93"/>
      <c r="AB492" s="91"/>
      <c r="AC492" s="91"/>
      <c r="AD492" s="91"/>
      <c r="AE492" s="93"/>
      <c r="AF492" s="93"/>
      <c r="AG492" s="99"/>
      <c r="AH492" s="99"/>
      <c r="AI492" s="101"/>
    </row>
    <row r="493" spans="1:35" ht="15">
      <c r="A493" s="113"/>
      <c r="B493" s="113"/>
      <c r="C493" s="113"/>
      <c r="D493" s="155"/>
      <c r="E493" s="155"/>
      <c r="F493" s="155"/>
      <c r="G493" s="155"/>
      <c r="H493" s="91" t="s">
        <v>58</v>
      </c>
      <c r="I493" s="103"/>
      <c r="J493" s="93"/>
      <c r="K493" s="93"/>
      <c r="L493" s="94" t="b">
        <v>0</v>
      </c>
      <c r="M493" s="94" t="b">
        <v>0</v>
      </c>
      <c r="N493" s="95"/>
      <c r="O493" s="95"/>
      <c r="P493" s="96">
        <f t="shared" si="75"/>
        <v>0</v>
      </c>
      <c r="Q493" s="95"/>
      <c r="R493" s="93"/>
      <c r="S493" s="95"/>
      <c r="T493" s="95"/>
      <c r="U493" s="96">
        <f t="shared" si="76"/>
        <v>0</v>
      </c>
      <c r="V493" s="93"/>
      <c r="W493" s="93"/>
      <c r="X493" s="97"/>
      <c r="Y493" s="97"/>
      <c r="Z493" s="98"/>
      <c r="AA493" s="97"/>
      <c r="AB493" s="98"/>
      <c r="AC493" s="98"/>
      <c r="AD493" s="98"/>
      <c r="AE493" s="93"/>
      <c r="AF493" s="93"/>
      <c r="AG493" s="99"/>
      <c r="AH493" s="99"/>
      <c r="AI493" s="101"/>
    </row>
    <row r="494" spans="1:35" ht="15">
      <c r="A494" s="113"/>
      <c r="B494" s="113"/>
      <c r="C494" s="113"/>
      <c r="D494" s="159" t="s">
        <v>453</v>
      </c>
      <c r="E494" s="159" t="s">
        <v>463</v>
      </c>
      <c r="F494" s="159" t="s">
        <v>464</v>
      </c>
      <c r="G494" s="165"/>
      <c r="H494" s="91" t="s">
        <v>465</v>
      </c>
      <c r="I494" s="103"/>
      <c r="J494" s="93"/>
      <c r="K494" s="93"/>
      <c r="L494" s="94" t="b">
        <v>0</v>
      </c>
      <c r="M494" s="94" t="b">
        <v>0</v>
      </c>
      <c r="N494" s="95"/>
      <c r="O494" s="95"/>
      <c r="P494" s="96">
        <f t="shared" si="75"/>
        <v>0</v>
      </c>
      <c r="Q494" s="95"/>
      <c r="R494" s="93"/>
      <c r="S494" s="95"/>
      <c r="T494" s="95"/>
      <c r="U494" s="96">
        <f t="shared" si="76"/>
        <v>0</v>
      </c>
      <c r="V494" s="93"/>
      <c r="W494" s="93"/>
      <c r="X494" s="97"/>
      <c r="Y494" s="97"/>
      <c r="Z494" s="98"/>
      <c r="AA494" s="97"/>
      <c r="AB494" s="98"/>
      <c r="AC494" s="98"/>
      <c r="AD494" s="98"/>
      <c r="AE494" s="93"/>
      <c r="AF494" s="93"/>
      <c r="AG494" s="99"/>
      <c r="AH494" s="99"/>
      <c r="AI494" s="101"/>
    </row>
    <row r="495" spans="1:35" ht="15">
      <c r="A495" s="113"/>
      <c r="B495" s="113"/>
      <c r="C495" s="113"/>
      <c r="D495" s="155"/>
      <c r="E495" s="155"/>
      <c r="F495" s="155"/>
      <c r="G495" s="155"/>
      <c r="H495" s="91" t="s">
        <v>58</v>
      </c>
      <c r="I495" s="103"/>
      <c r="J495" s="93"/>
      <c r="K495" s="93"/>
      <c r="L495" s="94" t="b">
        <v>0</v>
      </c>
      <c r="M495" s="94" t="b">
        <v>0</v>
      </c>
      <c r="N495" s="95"/>
      <c r="O495" s="95"/>
      <c r="P495" s="96">
        <f t="shared" si="75"/>
        <v>0</v>
      </c>
      <c r="Q495" s="95"/>
      <c r="R495" s="93"/>
      <c r="S495" s="95"/>
      <c r="T495" s="95"/>
      <c r="U495" s="96">
        <f t="shared" si="76"/>
        <v>0</v>
      </c>
      <c r="V495" s="93"/>
      <c r="W495" s="93"/>
      <c r="X495" s="97"/>
      <c r="Y495" s="97"/>
      <c r="Z495" s="98"/>
      <c r="AA495" s="97"/>
      <c r="AB495" s="98"/>
      <c r="AC495" s="98"/>
      <c r="AD495" s="98"/>
      <c r="AE495" s="93"/>
      <c r="AF495" s="93"/>
      <c r="AG495" s="99"/>
      <c r="AH495" s="99"/>
      <c r="AI495" s="101"/>
    </row>
    <row r="496" spans="1:35" ht="12.75">
      <c r="A496" s="123"/>
      <c r="B496" s="123"/>
      <c r="C496" s="123"/>
      <c r="D496" s="124"/>
      <c r="E496" s="124"/>
      <c r="F496" s="124"/>
      <c r="G496" s="125"/>
      <c r="H496" s="124"/>
      <c r="I496" s="136"/>
      <c r="J496" s="125"/>
      <c r="K496" s="125"/>
      <c r="L496" s="125"/>
      <c r="M496" s="125"/>
      <c r="N496" s="127"/>
      <c r="O496" s="127"/>
      <c r="P496" s="128"/>
      <c r="Q496" s="127"/>
      <c r="R496" s="125"/>
      <c r="S496" s="127"/>
      <c r="T496" s="127"/>
      <c r="U496" s="128"/>
      <c r="V496" s="125"/>
      <c r="W496" s="125"/>
      <c r="X496" s="125"/>
      <c r="Y496" s="125"/>
      <c r="Z496" s="124"/>
      <c r="AA496" s="125"/>
      <c r="AB496" s="124"/>
      <c r="AC496" s="124"/>
      <c r="AD496" s="124"/>
      <c r="AE496" s="125"/>
      <c r="AF496" s="125"/>
      <c r="AG496" s="125"/>
      <c r="AH496" s="125"/>
      <c r="AI496" s="125"/>
    </row>
    <row r="497" spans="1:35" ht="12.75">
      <c r="A497" s="167" t="s">
        <v>470</v>
      </c>
      <c r="B497" s="162" t="s">
        <v>471</v>
      </c>
      <c r="C497" s="167" t="s">
        <v>472</v>
      </c>
      <c r="D497" s="162" t="s">
        <v>453</v>
      </c>
      <c r="E497" s="160" t="s">
        <v>47</v>
      </c>
      <c r="F497" s="162" t="s">
        <v>454</v>
      </c>
      <c r="G497" s="164"/>
      <c r="H497" s="77" t="s">
        <v>49</v>
      </c>
      <c r="I497" s="108"/>
      <c r="J497" s="78"/>
      <c r="K497" s="78"/>
      <c r="L497" s="79" t="b">
        <v>0</v>
      </c>
      <c r="M497" s="79" t="b">
        <v>0</v>
      </c>
      <c r="N497" s="81"/>
      <c r="O497" s="81"/>
      <c r="P497" s="80">
        <f t="shared" ref="P497:P508" si="77">N497+O497</f>
        <v>0</v>
      </c>
      <c r="Q497" s="81"/>
      <c r="R497" s="78"/>
      <c r="S497" s="81"/>
      <c r="T497" s="81"/>
      <c r="U497" s="80">
        <f t="shared" ref="U497:U508" si="78">S497+T497</f>
        <v>0</v>
      </c>
      <c r="V497" s="78"/>
      <c r="W497" s="78"/>
      <c r="X497" s="78"/>
      <c r="Y497" s="78"/>
      <c r="Z497" s="77"/>
      <c r="AA497" s="78"/>
      <c r="AB497" s="77"/>
      <c r="AC497" s="77"/>
      <c r="AD497" s="77"/>
      <c r="AE497" s="78"/>
      <c r="AF497" s="78"/>
      <c r="AG497" s="109"/>
      <c r="AH497" s="109"/>
      <c r="AI497" s="78"/>
    </row>
    <row r="498" spans="1:35" ht="12.75">
      <c r="A498" s="155"/>
      <c r="B498" s="155"/>
      <c r="C498" s="155"/>
      <c r="D498" s="155"/>
      <c r="E498" s="155"/>
      <c r="F498" s="155"/>
      <c r="G498" s="155"/>
      <c r="H498" s="85" t="s">
        <v>58</v>
      </c>
      <c r="I498" s="112"/>
      <c r="J498" s="84"/>
      <c r="K498" s="84"/>
      <c r="L498" s="86" t="b">
        <v>0</v>
      </c>
      <c r="M498" s="86" t="b">
        <v>0</v>
      </c>
      <c r="N498" s="83"/>
      <c r="O498" s="83"/>
      <c r="P498" s="87">
        <f t="shared" si="77"/>
        <v>0</v>
      </c>
      <c r="Q498" s="83"/>
      <c r="R498" s="84"/>
      <c r="S498" s="83"/>
      <c r="T498" s="83"/>
      <c r="U498" s="87">
        <f t="shared" si="78"/>
        <v>0</v>
      </c>
      <c r="V498" s="84"/>
      <c r="W498" s="84"/>
      <c r="X498" s="84"/>
      <c r="Y498" s="84"/>
      <c r="Z498" s="85"/>
      <c r="AA498" s="84"/>
      <c r="AB498" s="85"/>
      <c r="AC498" s="85"/>
      <c r="AD498" s="85"/>
      <c r="AE498" s="84"/>
      <c r="AF498" s="84"/>
      <c r="AG498" s="110"/>
      <c r="AH498" s="110"/>
      <c r="AI498" s="84"/>
    </row>
    <row r="499" spans="1:35" ht="12.75">
      <c r="A499" s="155"/>
      <c r="B499" s="155"/>
      <c r="C499" s="155"/>
      <c r="D499" s="157" t="s">
        <v>453</v>
      </c>
      <c r="E499" s="157" t="s">
        <v>59</v>
      </c>
      <c r="F499" s="157" t="s">
        <v>454</v>
      </c>
      <c r="G499" s="158"/>
      <c r="H499" s="5" t="s">
        <v>49</v>
      </c>
      <c r="I499" s="17"/>
      <c r="J499" s="9"/>
      <c r="K499" s="9"/>
      <c r="L499" s="11" t="b">
        <v>0</v>
      </c>
      <c r="M499" s="11" t="b">
        <v>0</v>
      </c>
      <c r="N499" s="7"/>
      <c r="O499" s="7"/>
      <c r="P499" s="8">
        <f t="shared" si="77"/>
        <v>0</v>
      </c>
      <c r="Q499" s="7"/>
      <c r="R499" s="9"/>
      <c r="S499" s="7"/>
      <c r="T499" s="7"/>
      <c r="U499" s="8">
        <f t="shared" si="78"/>
        <v>0</v>
      </c>
      <c r="V499" s="9"/>
      <c r="W499" s="9"/>
      <c r="X499" s="18"/>
      <c r="Y499" s="18"/>
      <c r="Z499" s="19"/>
      <c r="AA499" s="18"/>
      <c r="AB499" s="19"/>
      <c r="AC499" s="19"/>
      <c r="AD499" s="19"/>
      <c r="AE499" s="9"/>
      <c r="AF499" s="9"/>
      <c r="AG499" s="26"/>
      <c r="AH499" s="26"/>
      <c r="AI499" s="89"/>
    </row>
    <row r="500" spans="1:35" ht="12.75">
      <c r="A500" s="155"/>
      <c r="B500" s="155"/>
      <c r="C500" s="155"/>
      <c r="D500" s="155"/>
      <c r="E500" s="155"/>
      <c r="F500" s="155"/>
      <c r="G500" s="155"/>
      <c r="H500" s="5" t="s">
        <v>58</v>
      </c>
      <c r="I500" s="22"/>
      <c r="J500" s="9"/>
      <c r="K500" s="9"/>
      <c r="L500" s="11" t="b">
        <v>0</v>
      </c>
      <c r="M500" s="11" t="b">
        <v>0</v>
      </c>
      <c r="N500" s="7"/>
      <c r="O500" s="7"/>
      <c r="P500" s="8">
        <f t="shared" si="77"/>
        <v>0</v>
      </c>
      <c r="Q500" s="7"/>
      <c r="R500" s="9"/>
      <c r="S500" s="7"/>
      <c r="T500" s="7"/>
      <c r="U500" s="8">
        <f t="shared" si="78"/>
        <v>0</v>
      </c>
      <c r="V500" s="9"/>
      <c r="W500" s="9"/>
      <c r="X500" s="18"/>
      <c r="Y500" s="18"/>
      <c r="Z500" s="19"/>
      <c r="AA500" s="18"/>
      <c r="AB500" s="19"/>
      <c r="AC500" s="19"/>
      <c r="AD500" s="19"/>
      <c r="AE500" s="9"/>
      <c r="AF500" s="9"/>
      <c r="AG500" s="26"/>
      <c r="AH500" s="26"/>
      <c r="AI500" s="9"/>
    </row>
    <row r="501" spans="1:35" ht="15">
      <c r="A501" s="113"/>
      <c r="B501" s="113"/>
      <c r="C501" s="113"/>
      <c r="D501" s="159" t="s">
        <v>455</v>
      </c>
      <c r="E501" s="159" t="s">
        <v>456</v>
      </c>
      <c r="F501" s="163" t="s">
        <v>457</v>
      </c>
      <c r="G501" s="165"/>
      <c r="H501" s="91" t="s">
        <v>458</v>
      </c>
      <c r="I501" s="92"/>
      <c r="J501" s="93"/>
      <c r="K501" s="93"/>
      <c r="L501" s="94" t="b">
        <v>0</v>
      </c>
      <c r="M501" s="94" t="b">
        <v>0</v>
      </c>
      <c r="N501" s="95"/>
      <c r="O501" s="95"/>
      <c r="P501" s="96">
        <f t="shared" si="77"/>
        <v>0</v>
      </c>
      <c r="Q501" s="95"/>
      <c r="R501" s="93"/>
      <c r="S501" s="95"/>
      <c r="T501" s="95"/>
      <c r="U501" s="96">
        <f t="shared" si="78"/>
        <v>0</v>
      </c>
      <c r="V501" s="93"/>
      <c r="W501" s="93"/>
      <c r="X501" s="97"/>
      <c r="Y501" s="97"/>
      <c r="Z501" s="98"/>
      <c r="AA501" s="97"/>
      <c r="AB501" s="98"/>
      <c r="AC501" s="98"/>
      <c r="AD501" s="98"/>
      <c r="AE501" s="93"/>
      <c r="AF501" s="93"/>
      <c r="AG501" s="99"/>
      <c r="AH501" s="99"/>
      <c r="AI501" s="93"/>
    </row>
    <row r="502" spans="1:35" ht="15">
      <c r="A502" s="113"/>
      <c r="B502" s="113"/>
      <c r="C502" s="113"/>
      <c r="D502" s="155"/>
      <c r="E502" s="155"/>
      <c r="F502" s="155"/>
      <c r="G502" s="155"/>
      <c r="H502" s="91" t="s">
        <v>58</v>
      </c>
      <c r="I502" s="92"/>
      <c r="J502" s="93"/>
      <c r="K502" s="93"/>
      <c r="L502" s="94" t="b">
        <v>0</v>
      </c>
      <c r="M502" s="94" t="b">
        <v>0</v>
      </c>
      <c r="N502" s="95"/>
      <c r="O502" s="95"/>
      <c r="P502" s="96">
        <f t="shared" si="77"/>
        <v>0</v>
      </c>
      <c r="Q502" s="95"/>
      <c r="R502" s="93"/>
      <c r="S502" s="95"/>
      <c r="T502" s="95"/>
      <c r="U502" s="96">
        <f t="shared" si="78"/>
        <v>0</v>
      </c>
      <c r="V502" s="93"/>
      <c r="W502" s="93"/>
      <c r="X502" s="97"/>
      <c r="Y502" s="97"/>
      <c r="Z502" s="98"/>
      <c r="AA502" s="97"/>
      <c r="AB502" s="98"/>
      <c r="AC502" s="98"/>
      <c r="AD502" s="98"/>
      <c r="AE502" s="93"/>
      <c r="AF502" s="93"/>
      <c r="AG502" s="99"/>
      <c r="AH502" s="99"/>
      <c r="AI502" s="100"/>
    </row>
    <row r="503" spans="1:35" ht="15">
      <c r="A503" s="113"/>
      <c r="B503" s="113"/>
      <c r="C503" s="113"/>
      <c r="D503" s="159" t="s">
        <v>455</v>
      </c>
      <c r="E503" s="166" t="s">
        <v>459</v>
      </c>
      <c r="F503" s="163" t="s">
        <v>457</v>
      </c>
      <c r="G503" s="165"/>
      <c r="H503" s="91" t="s">
        <v>458</v>
      </c>
      <c r="I503" s="92"/>
      <c r="J503" s="93"/>
      <c r="K503" s="93"/>
      <c r="L503" s="94" t="b">
        <v>0</v>
      </c>
      <c r="M503" s="94" t="b">
        <v>0</v>
      </c>
      <c r="N503" s="95"/>
      <c r="O503" s="95"/>
      <c r="P503" s="96">
        <f t="shared" si="77"/>
        <v>0</v>
      </c>
      <c r="Q503" s="95"/>
      <c r="R503" s="93"/>
      <c r="S503" s="95"/>
      <c r="T503" s="95"/>
      <c r="U503" s="96">
        <f t="shared" si="78"/>
        <v>0</v>
      </c>
      <c r="V503" s="93"/>
      <c r="W503" s="93"/>
      <c r="X503" s="93"/>
      <c r="Y503" s="93"/>
      <c r="Z503" s="91"/>
      <c r="AA503" s="93"/>
      <c r="AB503" s="91"/>
      <c r="AC503" s="91"/>
      <c r="AD503" s="91"/>
      <c r="AE503" s="93"/>
      <c r="AF503" s="93"/>
      <c r="AG503" s="99"/>
      <c r="AH503" s="99"/>
      <c r="AI503" s="101"/>
    </row>
    <row r="504" spans="1:35" ht="12.75">
      <c r="A504" s="113"/>
      <c r="B504" s="113"/>
      <c r="C504" s="113"/>
      <c r="D504" s="155"/>
      <c r="E504" s="155"/>
      <c r="F504" s="155"/>
      <c r="G504" s="155"/>
      <c r="H504" s="91" t="s">
        <v>58</v>
      </c>
      <c r="I504" s="102"/>
      <c r="J504" s="93"/>
      <c r="K504" s="93"/>
      <c r="L504" s="94" t="b">
        <v>0</v>
      </c>
      <c r="M504" s="94" t="b">
        <v>0</v>
      </c>
      <c r="N504" s="95"/>
      <c r="O504" s="95"/>
      <c r="P504" s="96">
        <f t="shared" si="77"/>
        <v>0</v>
      </c>
      <c r="Q504" s="95"/>
      <c r="R504" s="93"/>
      <c r="S504" s="95"/>
      <c r="T504" s="95"/>
      <c r="U504" s="96">
        <f t="shared" si="78"/>
        <v>0</v>
      </c>
      <c r="V504" s="93"/>
      <c r="W504" s="93"/>
      <c r="X504" s="93"/>
      <c r="Y504" s="93"/>
      <c r="Z504" s="91"/>
      <c r="AA504" s="93"/>
      <c r="AB504" s="91"/>
      <c r="AC504" s="91"/>
      <c r="AD504" s="91"/>
      <c r="AE504" s="93"/>
      <c r="AF504" s="93"/>
      <c r="AG504" s="99"/>
      <c r="AH504" s="99"/>
      <c r="AI504" s="99"/>
    </row>
    <row r="505" spans="1:35" ht="15">
      <c r="A505" s="113"/>
      <c r="B505" s="113"/>
      <c r="C505" s="113"/>
      <c r="D505" s="159" t="s">
        <v>460</v>
      </c>
      <c r="E505" s="163" t="s">
        <v>461</v>
      </c>
      <c r="F505" s="159" t="s">
        <v>462</v>
      </c>
      <c r="G505" s="165"/>
      <c r="H505" s="91" t="s">
        <v>49</v>
      </c>
      <c r="I505" s="103"/>
      <c r="J505" s="93"/>
      <c r="K505" s="93"/>
      <c r="L505" s="94" t="b">
        <v>0</v>
      </c>
      <c r="M505" s="94" t="b">
        <v>0</v>
      </c>
      <c r="N505" s="95"/>
      <c r="O505" s="95"/>
      <c r="P505" s="96">
        <f t="shared" si="77"/>
        <v>0</v>
      </c>
      <c r="Q505" s="95"/>
      <c r="R505" s="93"/>
      <c r="S505" s="95"/>
      <c r="T505" s="95"/>
      <c r="U505" s="96">
        <f t="shared" si="78"/>
        <v>0</v>
      </c>
      <c r="V505" s="93"/>
      <c r="W505" s="93"/>
      <c r="X505" s="93"/>
      <c r="Y505" s="93"/>
      <c r="Z505" s="91"/>
      <c r="AA505" s="93"/>
      <c r="AB505" s="91"/>
      <c r="AC505" s="91"/>
      <c r="AD505" s="91"/>
      <c r="AE505" s="93"/>
      <c r="AF505" s="93"/>
      <c r="AG505" s="99"/>
      <c r="AH505" s="99"/>
      <c r="AI505" s="101"/>
    </row>
    <row r="506" spans="1:35" ht="15">
      <c r="A506" s="113"/>
      <c r="B506" s="113"/>
      <c r="C506" s="113"/>
      <c r="D506" s="155"/>
      <c r="E506" s="155"/>
      <c r="F506" s="155"/>
      <c r="G506" s="155"/>
      <c r="H506" s="91" t="s">
        <v>58</v>
      </c>
      <c r="I506" s="103"/>
      <c r="J506" s="93"/>
      <c r="K506" s="93"/>
      <c r="L506" s="94" t="b">
        <v>0</v>
      </c>
      <c r="M506" s="94" t="b">
        <v>0</v>
      </c>
      <c r="N506" s="95"/>
      <c r="O506" s="95"/>
      <c r="P506" s="96">
        <f t="shared" si="77"/>
        <v>0</v>
      </c>
      <c r="Q506" s="95"/>
      <c r="R506" s="93"/>
      <c r="S506" s="95"/>
      <c r="T506" s="95"/>
      <c r="U506" s="96">
        <f t="shared" si="78"/>
        <v>0</v>
      </c>
      <c r="V506" s="93"/>
      <c r="W506" s="93"/>
      <c r="X506" s="97"/>
      <c r="Y506" s="97"/>
      <c r="Z506" s="98"/>
      <c r="AA506" s="97"/>
      <c r="AB506" s="98"/>
      <c r="AC506" s="98"/>
      <c r="AD506" s="98"/>
      <c r="AE506" s="93"/>
      <c r="AF506" s="93"/>
      <c r="AG506" s="99"/>
      <c r="AH506" s="99"/>
      <c r="AI506" s="101"/>
    </row>
    <row r="507" spans="1:35" ht="15">
      <c r="A507" s="113"/>
      <c r="B507" s="113"/>
      <c r="C507" s="113"/>
      <c r="D507" s="159" t="s">
        <v>453</v>
      </c>
      <c r="E507" s="159" t="s">
        <v>463</v>
      </c>
      <c r="F507" s="159" t="s">
        <v>464</v>
      </c>
      <c r="G507" s="165"/>
      <c r="H507" s="91" t="s">
        <v>465</v>
      </c>
      <c r="I507" s="103"/>
      <c r="J507" s="93"/>
      <c r="K507" s="93"/>
      <c r="L507" s="94" t="b">
        <v>0</v>
      </c>
      <c r="M507" s="94" t="b">
        <v>0</v>
      </c>
      <c r="N507" s="95"/>
      <c r="O507" s="95"/>
      <c r="P507" s="96">
        <f t="shared" si="77"/>
        <v>0</v>
      </c>
      <c r="Q507" s="95"/>
      <c r="R507" s="93"/>
      <c r="S507" s="95"/>
      <c r="T507" s="95"/>
      <c r="U507" s="96">
        <f t="shared" si="78"/>
        <v>0</v>
      </c>
      <c r="V507" s="93"/>
      <c r="W507" s="93"/>
      <c r="X507" s="97"/>
      <c r="Y507" s="97"/>
      <c r="Z507" s="98"/>
      <c r="AA507" s="97"/>
      <c r="AB507" s="98"/>
      <c r="AC507" s="98"/>
      <c r="AD507" s="98"/>
      <c r="AE507" s="93"/>
      <c r="AF507" s="93"/>
      <c r="AG507" s="99"/>
      <c r="AH507" s="99"/>
      <c r="AI507" s="101"/>
    </row>
    <row r="508" spans="1:35" ht="15">
      <c r="A508" s="113"/>
      <c r="B508" s="113"/>
      <c r="C508" s="113"/>
      <c r="D508" s="155"/>
      <c r="E508" s="155"/>
      <c r="F508" s="155"/>
      <c r="G508" s="155"/>
      <c r="H508" s="91" t="s">
        <v>58</v>
      </c>
      <c r="I508" s="103"/>
      <c r="J508" s="93"/>
      <c r="K508" s="93"/>
      <c r="L508" s="94" t="b">
        <v>0</v>
      </c>
      <c r="M508" s="94" t="b">
        <v>0</v>
      </c>
      <c r="N508" s="95"/>
      <c r="O508" s="95"/>
      <c r="P508" s="96">
        <f t="shared" si="77"/>
        <v>0</v>
      </c>
      <c r="Q508" s="95"/>
      <c r="R508" s="93"/>
      <c r="S508" s="95"/>
      <c r="T508" s="95"/>
      <c r="U508" s="96">
        <f t="shared" si="78"/>
        <v>0</v>
      </c>
      <c r="V508" s="93"/>
      <c r="W508" s="93"/>
      <c r="X508" s="97"/>
      <c r="Y508" s="97"/>
      <c r="Z508" s="98"/>
      <c r="AA508" s="97"/>
      <c r="AB508" s="98"/>
      <c r="AC508" s="98"/>
      <c r="AD508" s="98"/>
      <c r="AE508" s="93"/>
      <c r="AF508" s="93"/>
      <c r="AG508" s="99"/>
      <c r="AH508" s="99"/>
      <c r="AI508" s="101"/>
    </row>
    <row r="509" spans="1:35" ht="12.75">
      <c r="A509" s="123"/>
      <c r="B509" s="123"/>
      <c r="C509" s="123"/>
      <c r="D509" s="124"/>
      <c r="E509" s="124"/>
      <c r="F509" s="124"/>
      <c r="G509" s="125"/>
      <c r="H509" s="124"/>
      <c r="I509" s="136"/>
      <c r="J509" s="125"/>
      <c r="K509" s="125"/>
      <c r="L509" s="125"/>
      <c r="M509" s="125"/>
      <c r="N509" s="127"/>
      <c r="O509" s="127"/>
      <c r="P509" s="128"/>
      <c r="Q509" s="127"/>
      <c r="R509" s="125"/>
      <c r="S509" s="127"/>
      <c r="T509" s="127"/>
      <c r="U509" s="128"/>
      <c r="V509" s="125"/>
      <c r="W509" s="125"/>
      <c r="X509" s="125"/>
      <c r="Y509" s="125"/>
      <c r="Z509" s="124"/>
      <c r="AA509" s="125"/>
      <c r="AB509" s="124"/>
      <c r="AC509" s="124"/>
      <c r="AD509" s="124"/>
      <c r="AE509" s="125"/>
      <c r="AF509" s="125"/>
      <c r="AG509" s="125"/>
      <c r="AH509" s="125"/>
      <c r="AI509" s="125"/>
    </row>
    <row r="510" spans="1:35" ht="12.75">
      <c r="A510" s="167" t="s">
        <v>478</v>
      </c>
      <c r="B510" s="162" t="s">
        <v>128</v>
      </c>
      <c r="C510" s="167" t="s">
        <v>473</v>
      </c>
      <c r="D510" s="162" t="s">
        <v>453</v>
      </c>
      <c r="E510" s="160" t="s">
        <v>47</v>
      </c>
      <c r="F510" s="162" t="s">
        <v>454</v>
      </c>
      <c r="G510" s="164"/>
      <c r="H510" s="77" t="s">
        <v>49</v>
      </c>
      <c r="I510" s="108"/>
      <c r="J510" s="78"/>
      <c r="K510" s="78"/>
      <c r="L510" s="79" t="b">
        <v>0</v>
      </c>
      <c r="M510" s="79" t="b">
        <v>0</v>
      </c>
      <c r="N510" s="81"/>
      <c r="O510" s="81"/>
      <c r="P510" s="80">
        <f t="shared" ref="P510:P521" si="79">N510+O510</f>
        <v>0</v>
      </c>
      <c r="Q510" s="81"/>
      <c r="R510" s="78"/>
      <c r="S510" s="81"/>
      <c r="T510" s="81"/>
      <c r="U510" s="80">
        <f t="shared" ref="U510:U521" si="80">S510+T510</f>
        <v>0</v>
      </c>
      <c r="V510" s="78"/>
      <c r="W510" s="78"/>
      <c r="X510" s="78"/>
      <c r="Y510" s="78"/>
      <c r="Z510" s="77"/>
      <c r="AA510" s="78"/>
      <c r="AB510" s="77"/>
      <c r="AC510" s="77"/>
      <c r="AD510" s="77"/>
      <c r="AE510" s="78"/>
      <c r="AF510" s="78"/>
      <c r="AG510" s="109"/>
      <c r="AH510" s="109"/>
      <c r="AI510" s="78"/>
    </row>
    <row r="511" spans="1:35" ht="12.75">
      <c r="A511" s="155"/>
      <c r="B511" s="155"/>
      <c r="C511" s="155"/>
      <c r="D511" s="155"/>
      <c r="E511" s="155"/>
      <c r="F511" s="155"/>
      <c r="G511" s="155"/>
      <c r="H511" s="85" t="s">
        <v>58</v>
      </c>
      <c r="I511" s="112"/>
      <c r="J511" s="84"/>
      <c r="K511" s="84"/>
      <c r="L511" s="86" t="b">
        <v>0</v>
      </c>
      <c r="M511" s="86" t="b">
        <v>0</v>
      </c>
      <c r="N511" s="83"/>
      <c r="O511" s="83"/>
      <c r="P511" s="87">
        <f t="shared" si="79"/>
        <v>0</v>
      </c>
      <c r="Q511" s="83"/>
      <c r="R511" s="84"/>
      <c r="S511" s="83"/>
      <c r="T511" s="83"/>
      <c r="U511" s="87">
        <f t="shared" si="80"/>
        <v>0</v>
      </c>
      <c r="V511" s="84"/>
      <c r="W511" s="84"/>
      <c r="X511" s="84"/>
      <c r="Y511" s="84"/>
      <c r="Z511" s="85"/>
      <c r="AA511" s="84"/>
      <c r="AB511" s="85"/>
      <c r="AC511" s="85"/>
      <c r="AD511" s="85"/>
      <c r="AE511" s="84"/>
      <c r="AF511" s="84"/>
      <c r="AG511" s="110"/>
      <c r="AH511" s="110"/>
      <c r="AI511" s="84"/>
    </row>
    <row r="512" spans="1:35" ht="12.75">
      <c r="A512" s="155"/>
      <c r="B512" s="155"/>
      <c r="C512" s="155"/>
      <c r="D512" s="157" t="s">
        <v>453</v>
      </c>
      <c r="E512" s="157" t="s">
        <v>59</v>
      </c>
      <c r="F512" s="157" t="s">
        <v>454</v>
      </c>
      <c r="G512" s="158"/>
      <c r="H512" s="5" t="s">
        <v>49</v>
      </c>
      <c r="I512" s="17"/>
      <c r="J512" s="9"/>
      <c r="K512" s="9"/>
      <c r="L512" s="11" t="b">
        <v>0</v>
      </c>
      <c r="M512" s="11" t="b">
        <v>0</v>
      </c>
      <c r="N512" s="7"/>
      <c r="O512" s="7"/>
      <c r="P512" s="8">
        <f t="shared" si="79"/>
        <v>0</v>
      </c>
      <c r="Q512" s="7"/>
      <c r="R512" s="9"/>
      <c r="S512" s="7"/>
      <c r="T512" s="7"/>
      <c r="U512" s="8">
        <f t="shared" si="80"/>
        <v>0</v>
      </c>
      <c r="V512" s="9"/>
      <c r="W512" s="9"/>
      <c r="X512" s="18"/>
      <c r="Y512" s="18"/>
      <c r="Z512" s="19"/>
      <c r="AA512" s="18"/>
      <c r="AB512" s="19"/>
      <c r="AC512" s="19"/>
      <c r="AD512" s="19"/>
      <c r="AE512" s="9"/>
      <c r="AF512" s="9"/>
      <c r="AG512" s="26"/>
      <c r="AH512" s="26"/>
      <c r="AI512" s="89"/>
    </row>
    <row r="513" spans="1:35" ht="12.75">
      <c r="A513" s="155"/>
      <c r="B513" s="155"/>
      <c r="C513" s="155"/>
      <c r="D513" s="155"/>
      <c r="E513" s="155"/>
      <c r="F513" s="155"/>
      <c r="G513" s="155"/>
      <c r="H513" s="5" t="s">
        <v>58</v>
      </c>
      <c r="I513" s="22"/>
      <c r="J513" s="9"/>
      <c r="K513" s="9"/>
      <c r="L513" s="11" t="b">
        <v>0</v>
      </c>
      <c r="M513" s="11" t="b">
        <v>0</v>
      </c>
      <c r="N513" s="7"/>
      <c r="O513" s="7"/>
      <c r="P513" s="8">
        <f t="shared" si="79"/>
        <v>0</v>
      </c>
      <c r="Q513" s="7"/>
      <c r="R513" s="9"/>
      <c r="S513" s="7"/>
      <c r="T513" s="7"/>
      <c r="U513" s="8">
        <f t="shared" si="80"/>
        <v>0</v>
      </c>
      <c r="V513" s="9"/>
      <c r="W513" s="9"/>
      <c r="X513" s="18"/>
      <c r="Y513" s="18"/>
      <c r="Z513" s="19"/>
      <c r="AA513" s="18"/>
      <c r="AB513" s="19"/>
      <c r="AC513" s="19"/>
      <c r="AD513" s="19"/>
      <c r="AE513" s="9"/>
      <c r="AF513" s="9"/>
      <c r="AG513" s="26"/>
      <c r="AH513" s="26"/>
      <c r="AI513" s="9"/>
    </row>
    <row r="514" spans="1:35" ht="15">
      <c r="A514" s="113"/>
      <c r="B514" s="113"/>
      <c r="C514" s="113"/>
      <c r="D514" s="159" t="s">
        <v>455</v>
      </c>
      <c r="E514" s="159" t="s">
        <v>456</v>
      </c>
      <c r="F514" s="163" t="s">
        <v>457</v>
      </c>
      <c r="G514" s="165"/>
      <c r="H514" s="91" t="s">
        <v>458</v>
      </c>
      <c r="I514" s="92"/>
      <c r="J514" s="93"/>
      <c r="K514" s="93"/>
      <c r="L514" s="94" t="b">
        <v>0</v>
      </c>
      <c r="M514" s="94" t="b">
        <v>0</v>
      </c>
      <c r="N514" s="95"/>
      <c r="O514" s="95"/>
      <c r="P514" s="96">
        <f t="shared" si="79"/>
        <v>0</v>
      </c>
      <c r="Q514" s="95"/>
      <c r="R514" s="93"/>
      <c r="S514" s="95"/>
      <c r="T514" s="95"/>
      <c r="U514" s="96">
        <f t="shared" si="80"/>
        <v>0</v>
      </c>
      <c r="V514" s="93"/>
      <c r="W514" s="93"/>
      <c r="X514" s="97"/>
      <c r="Y514" s="97"/>
      <c r="Z514" s="98"/>
      <c r="AA514" s="97"/>
      <c r="AB514" s="98"/>
      <c r="AC514" s="98"/>
      <c r="AD514" s="98"/>
      <c r="AE514" s="93"/>
      <c r="AF514" s="93"/>
      <c r="AG514" s="99"/>
      <c r="AH514" s="99"/>
      <c r="AI514" s="93"/>
    </row>
    <row r="515" spans="1:35" ht="15">
      <c r="A515" s="113"/>
      <c r="B515" s="113"/>
      <c r="C515" s="113"/>
      <c r="D515" s="155"/>
      <c r="E515" s="155"/>
      <c r="F515" s="155"/>
      <c r="G515" s="155"/>
      <c r="H515" s="91" t="s">
        <v>58</v>
      </c>
      <c r="I515" s="92"/>
      <c r="J515" s="93"/>
      <c r="K515" s="93"/>
      <c r="L515" s="94" t="b">
        <v>0</v>
      </c>
      <c r="M515" s="94" t="b">
        <v>0</v>
      </c>
      <c r="N515" s="95"/>
      <c r="O515" s="95"/>
      <c r="P515" s="96">
        <f t="shared" si="79"/>
        <v>0</v>
      </c>
      <c r="Q515" s="95"/>
      <c r="R515" s="93"/>
      <c r="S515" s="95"/>
      <c r="T515" s="95"/>
      <c r="U515" s="96">
        <f t="shared" si="80"/>
        <v>0</v>
      </c>
      <c r="V515" s="93"/>
      <c r="W515" s="93"/>
      <c r="X515" s="97"/>
      <c r="Y515" s="97"/>
      <c r="Z515" s="98"/>
      <c r="AA515" s="97"/>
      <c r="AB515" s="98"/>
      <c r="AC515" s="98"/>
      <c r="AD515" s="98"/>
      <c r="AE515" s="93"/>
      <c r="AF515" s="93"/>
      <c r="AG515" s="99"/>
      <c r="AH515" s="99"/>
      <c r="AI515" s="100"/>
    </row>
    <row r="516" spans="1:35" ht="15">
      <c r="A516" s="113"/>
      <c r="B516" s="113"/>
      <c r="C516" s="113"/>
      <c r="D516" s="159" t="s">
        <v>455</v>
      </c>
      <c r="E516" s="166" t="s">
        <v>459</v>
      </c>
      <c r="F516" s="163" t="s">
        <v>457</v>
      </c>
      <c r="G516" s="165"/>
      <c r="H516" s="91" t="s">
        <v>458</v>
      </c>
      <c r="I516" s="92"/>
      <c r="J516" s="93"/>
      <c r="K516" s="93"/>
      <c r="L516" s="94" t="b">
        <v>0</v>
      </c>
      <c r="M516" s="94" t="b">
        <v>0</v>
      </c>
      <c r="N516" s="95"/>
      <c r="O516" s="95"/>
      <c r="P516" s="96">
        <f t="shared" si="79"/>
        <v>0</v>
      </c>
      <c r="Q516" s="95"/>
      <c r="R516" s="93"/>
      <c r="S516" s="95"/>
      <c r="T516" s="95"/>
      <c r="U516" s="96">
        <f t="shared" si="80"/>
        <v>0</v>
      </c>
      <c r="V516" s="93"/>
      <c r="W516" s="93"/>
      <c r="X516" s="93"/>
      <c r="Y516" s="93"/>
      <c r="Z516" s="91"/>
      <c r="AA516" s="93"/>
      <c r="AB516" s="91"/>
      <c r="AC516" s="91"/>
      <c r="AD516" s="91"/>
      <c r="AE516" s="93"/>
      <c r="AF516" s="93"/>
      <c r="AG516" s="99"/>
      <c r="AH516" s="99"/>
      <c r="AI516" s="101"/>
    </row>
    <row r="517" spans="1:35" ht="12.75">
      <c r="A517" s="113"/>
      <c r="B517" s="113"/>
      <c r="C517" s="113"/>
      <c r="D517" s="155"/>
      <c r="E517" s="155"/>
      <c r="F517" s="155"/>
      <c r="G517" s="155"/>
      <c r="H517" s="91" t="s">
        <v>58</v>
      </c>
      <c r="I517" s="102"/>
      <c r="J517" s="93"/>
      <c r="K517" s="93"/>
      <c r="L517" s="94" t="b">
        <v>0</v>
      </c>
      <c r="M517" s="94" t="b">
        <v>0</v>
      </c>
      <c r="N517" s="95"/>
      <c r="O517" s="95"/>
      <c r="P517" s="96">
        <f t="shared" si="79"/>
        <v>0</v>
      </c>
      <c r="Q517" s="95"/>
      <c r="R517" s="93"/>
      <c r="S517" s="95"/>
      <c r="T517" s="95"/>
      <c r="U517" s="96">
        <f t="shared" si="80"/>
        <v>0</v>
      </c>
      <c r="V517" s="93"/>
      <c r="W517" s="93"/>
      <c r="X517" s="93"/>
      <c r="Y517" s="93"/>
      <c r="Z517" s="91"/>
      <c r="AA517" s="93"/>
      <c r="AB517" s="91"/>
      <c r="AC517" s="91"/>
      <c r="AD517" s="91"/>
      <c r="AE517" s="93"/>
      <c r="AF517" s="93"/>
      <c r="AG517" s="99"/>
      <c r="AH517" s="99"/>
      <c r="AI517" s="99"/>
    </row>
    <row r="518" spans="1:35" ht="15">
      <c r="A518" s="113"/>
      <c r="B518" s="113"/>
      <c r="C518" s="113"/>
      <c r="D518" s="159" t="s">
        <v>460</v>
      </c>
      <c r="E518" s="163" t="s">
        <v>461</v>
      </c>
      <c r="F518" s="159" t="s">
        <v>462</v>
      </c>
      <c r="G518" s="165"/>
      <c r="H518" s="91" t="s">
        <v>49</v>
      </c>
      <c r="I518" s="103"/>
      <c r="J518" s="93"/>
      <c r="K518" s="93"/>
      <c r="L518" s="94" t="b">
        <v>0</v>
      </c>
      <c r="M518" s="94" t="b">
        <v>0</v>
      </c>
      <c r="N518" s="95"/>
      <c r="O518" s="95"/>
      <c r="P518" s="96">
        <f t="shared" si="79"/>
        <v>0</v>
      </c>
      <c r="Q518" s="95"/>
      <c r="R518" s="93"/>
      <c r="S518" s="95"/>
      <c r="T518" s="95"/>
      <c r="U518" s="96">
        <f t="shared" si="80"/>
        <v>0</v>
      </c>
      <c r="V518" s="93"/>
      <c r="W518" s="93"/>
      <c r="X518" s="93"/>
      <c r="Y518" s="93"/>
      <c r="Z518" s="91"/>
      <c r="AA518" s="93"/>
      <c r="AB518" s="91"/>
      <c r="AC518" s="91"/>
      <c r="AD518" s="91"/>
      <c r="AE518" s="93"/>
      <c r="AF518" s="93"/>
      <c r="AG518" s="99"/>
      <c r="AH518" s="99"/>
      <c r="AI518" s="101"/>
    </row>
    <row r="519" spans="1:35" ht="15">
      <c r="A519" s="113"/>
      <c r="B519" s="113"/>
      <c r="C519" s="113"/>
      <c r="D519" s="155"/>
      <c r="E519" s="155"/>
      <c r="F519" s="155"/>
      <c r="G519" s="155"/>
      <c r="H519" s="91" t="s">
        <v>58</v>
      </c>
      <c r="I519" s="103"/>
      <c r="J519" s="93"/>
      <c r="K519" s="93"/>
      <c r="L519" s="94" t="b">
        <v>0</v>
      </c>
      <c r="M519" s="94" t="b">
        <v>0</v>
      </c>
      <c r="N519" s="95"/>
      <c r="O519" s="95"/>
      <c r="P519" s="96">
        <f t="shared" si="79"/>
        <v>0</v>
      </c>
      <c r="Q519" s="95"/>
      <c r="R519" s="93"/>
      <c r="S519" s="95"/>
      <c r="T519" s="95"/>
      <c r="U519" s="96">
        <f t="shared" si="80"/>
        <v>0</v>
      </c>
      <c r="V519" s="93"/>
      <c r="W519" s="93"/>
      <c r="X519" s="97"/>
      <c r="Y519" s="97"/>
      <c r="Z519" s="98"/>
      <c r="AA519" s="97"/>
      <c r="AB519" s="98"/>
      <c r="AC519" s="98"/>
      <c r="AD519" s="98"/>
      <c r="AE519" s="93"/>
      <c r="AF519" s="93"/>
      <c r="AG519" s="99"/>
      <c r="AH519" s="99"/>
      <c r="AI519" s="101"/>
    </row>
    <row r="520" spans="1:35" ht="15">
      <c r="A520" s="113"/>
      <c r="B520" s="113"/>
      <c r="C520" s="113"/>
      <c r="D520" s="159" t="s">
        <v>453</v>
      </c>
      <c r="E520" s="159" t="s">
        <v>463</v>
      </c>
      <c r="F520" s="159" t="s">
        <v>464</v>
      </c>
      <c r="G520" s="165"/>
      <c r="H520" s="91" t="s">
        <v>465</v>
      </c>
      <c r="I520" s="103"/>
      <c r="J520" s="93"/>
      <c r="K520" s="93"/>
      <c r="L520" s="94" t="b">
        <v>0</v>
      </c>
      <c r="M520" s="94" t="b">
        <v>0</v>
      </c>
      <c r="N520" s="95"/>
      <c r="O520" s="95"/>
      <c r="P520" s="96">
        <f t="shared" si="79"/>
        <v>0</v>
      </c>
      <c r="Q520" s="95"/>
      <c r="R520" s="93"/>
      <c r="S520" s="95"/>
      <c r="T520" s="95"/>
      <c r="U520" s="96">
        <f t="shared" si="80"/>
        <v>0</v>
      </c>
      <c r="V520" s="93"/>
      <c r="W520" s="93"/>
      <c r="X520" s="97"/>
      <c r="Y520" s="97"/>
      <c r="Z520" s="98"/>
      <c r="AA520" s="97"/>
      <c r="AB520" s="98"/>
      <c r="AC520" s="98"/>
      <c r="AD520" s="98"/>
      <c r="AE520" s="93"/>
      <c r="AF520" s="93"/>
      <c r="AG520" s="99"/>
      <c r="AH520" s="99"/>
      <c r="AI520" s="101"/>
    </row>
    <row r="521" spans="1:35" ht="15">
      <c r="A521" s="113"/>
      <c r="B521" s="113"/>
      <c r="C521" s="113"/>
      <c r="D521" s="155"/>
      <c r="E521" s="155"/>
      <c r="F521" s="155"/>
      <c r="G521" s="155"/>
      <c r="H521" s="91" t="s">
        <v>58</v>
      </c>
      <c r="I521" s="103"/>
      <c r="J521" s="93"/>
      <c r="K521" s="93"/>
      <c r="L521" s="94" t="b">
        <v>0</v>
      </c>
      <c r="M521" s="94" t="b">
        <v>0</v>
      </c>
      <c r="N521" s="95"/>
      <c r="O521" s="95"/>
      <c r="P521" s="96">
        <f t="shared" si="79"/>
        <v>0</v>
      </c>
      <c r="Q521" s="95"/>
      <c r="R521" s="93"/>
      <c r="S521" s="95"/>
      <c r="T521" s="95"/>
      <c r="U521" s="96">
        <f t="shared" si="80"/>
        <v>0</v>
      </c>
      <c r="V521" s="93"/>
      <c r="W521" s="93"/>
      <c r="X521" s="97"/>
      <c r="Y521" s="97"/>
      <c r="Z521" s="98"/>
      <c r="AA521" s="97"/>
      <c r="AB521" s="98"/>
      <c r="AC521" s="98"/>
      <c r="AD521" s="98"/>
      <c r="AE521" s="93"/>
      <c r="AF521" s="93"/>
      <c r="AG521" s="99"/>
      <c r="AH521" s="99"/>
      <c r="AI521" s="101"/>
    </row>
    <row r="522" spans="1:35" ht="12.75">
      <c r="A522" s="123"/>
      <c r="B522" s="123"/>
      <c r="C522" s="123"/>
      <c r="D522" s="124"/>
      <c r="E522" s="124"/>
      <c r="F522" s="124"/>
      <c r="G522" s="125"/>
      <c r="H522" s="124"/>
      <c r="I522" s="136"/>
      <c r="J522" s="125"/>
      <c r="K522" s="125"/>
      <c r="L522" s="125"/>
      <c r="M522" s="125"/>
      <c r="N522" s="127"/>
      <c r="O522" s="127"/>
      <c r="P522" s="128"/>
      <c r="Q522" s="127"/>
      <c r="R522" s="125"/>
      <c r="S522" s="127"/>
      <c r="T522" s="127"/>
      <c r="U522" s="128"/>
      <c r="V522" s="125"/>
      <c r="W522" s="125"/>
      <c r="X522" s="125"/>
      <c r="Y522" s="125"/>
      <c r="Z522" s="124"/>
      <c r="AA522" s="125"/>
      <c r="AB522" s="124"/>
      <c r="AC522" s="124"/>
      <c r="AD522" s="124"/>
      <c r="AE522" s="125"/>
      <c r="AF522" s="125"/>
      <c r="AG522" s="125"/>
      <c r="AH522" s="125"/>
      <c r="AI522" s="125"/>
    </row>
    <row r="523" spans="1:35" ht="12.75">
      <c r="A523" s="168" t="s">
        <v>474</v>
      </c>
      <c r="B523" s="162" t="s">
        <v>45</v>
      </c>
      <c r="C523" s="167" t="s">
        <v>46</v>
      </c>
      <c r="D523" s="162" t="s">
        <v>453</v>
      </c>
      <c r="E523" s="160" t="s">
        <v>47</v>
      </c>
      <c r="F523" s="162" t="s">
        <v>454</v>
      </c>
      <c r="G523" s="164"/>
      <c r="H523" s="77" t="s">
        <v>49</v>
      </c>
      <c r="I523" s="108"/>
      <c r="J523" s="78"/>
      <c r="K523" s="78"/>
      <c r="L523" s="79" t="b">
        <v>0</v>
      </c>
      <c r="M523" s="79" t="b">
        <v>0</v>
      </c>
      <c r="N523" s="81"/>
      <c r="O523" s="81"/>
      <c r="P523" s="80">
        <f t="shared" ref="P523:P534" si="81">N523+O523</f>
        <v>0</v>
      </c>
      <c r="Q523" s="81"/>
      <c r="R523" s="78"/>
      <c r="S523" s="81"/>
      <c r="T523" s="81"/>
      <c r="U523" s="80">
        <f t="shared" ref="U523:U534" si="82">S523+T523</f>
        <v>0</v>
      </c>
      <c r="V523" s="78"/>
      <c r="W523" s="78"/>
      <c r="X523" s="78"/>
      <c r="Y523" s="78"/>
      <c r="Z523" s="77"/>
      <c r="AA523" s="78"/>
      <c r="AB523" s="77"/>
      <c r="AC523" s="77"/>
      <c r="AD523" s="77"/>
      <c r="AE523" s="78"/>
      <c r="AF523" s="78"/>
      <c r="AG523" s="109"/>
      <c r="AH523" s="109"/>
      <c r="AI523" s="78"/>
    </row>
    <row r="524" spans="1:35" ht="12.75">
      <c r="A524" s="155"/>
      <c r="B524" s="155"/>
      <c r="C524" s="155"/>
      <c r="D524" s="155"/>
      <c r="E524" s="155"/>
      <c r="F524" s="155"/>
      <c r="G524" s="155"/>
      <c r="H524" s="85" t="s">
        <v>58</v>
      </c>
      <c r="I524" s="112"/>
      <c r="J524" s="84"/>
      <c r="K524" s="84"/>
      <c r="L524" s="86" t="b">
        <v>0</v>
      </c>
      <c r="M524" s="86" t="b">
        <v>0</v>
      </c>
      <c r="N524" s="83"/>
      <c r="O524" s="83"/>
      <c r="P524" s="87">
        <f t="shared" si="81"/>
        <v>0</v>
      </c>
      <c r="Q524" s="83"/>
      <c r="R524" s="84"/>
      <c r="S524" s="83"/>
      <c r="T524" s="83"/>
      <c r="U524" s="87">
        <f t="shared" si="82"/>
        <v>0</v>
      </c>
      <c r="V524" s="84"/>
      <c r="W524" s="84"/>
      <c r="X524" s="84"/>
      <c r="Y524" s="84"/>
      <c r="Z524" s="85"/>
      <c r="AA524" s="84"/>
      <c r="AB524" s="85"/>
      <c r="AC524" s="85"/>
      <c r="AD524" s="85"/>
      <c r="AE524" s="84"/>
      <c r="AF524" s="84"/>
      <c r="AG524" s="110"/>
      <c r="AH524" s="110"/>
      <c r="AI524" s="84"/>
    </row>
    <row r="525" spans="1:35" ht="12.75">
      <c r="A525" s="155"/>
      <c r="B525" s="155"/>
      <c r="C525" s="155"/>
      <c r="D525" s="157" t="s">
        <v>453</v>
      </c>
      <c r="E525" s="157" t="s">
        <v>59</v>
      </c>
      <c r="F525" s="157" t="s">
        <v>454</v>
      </c>
      <c r="G525" s="158"/>
      <c r="H525" s="5" t="s">
        <v>49</v>
      </c>
      <c r="I525" s="17"/>
      <c r="J525" s="9"/>
      <c r="K525" s="9"/>
      <c r="L525" s="11" t="b">
        <v>0</v>
      </c>
      <c r="M525" s="11" t="b">
        <v>0</v>
      </c>
      <c r="N525" s="7"/>
      <c r="O525" s="7"/>
      <c r="P525" s="8">
        <f t="shared" si="81"/>
        <v>0</v>
      </c>
      <c r="Q525" s="7"/>
      <c r="R525" s="9"/>
      <c r="S525" s="7"/>
      <c r="T525" s="7"/>
      <c r="U525" s="8">
        <f t="shared" si="82"/>
        <v>0</v>
      </c>
      <c r="V525" s="9"/>
      <c r="W525" s="9"/>
      <c r="X525" s="18"/>
      <c r="Y525" s="18"/>
      <c r="Z525" s="19"/>
      <c r="AA525" s="18"/>
      <c r="AB525" s="19"/>
      <c r="AC525" s="19"/>
      <c r="AD525" s="19"/>
      <c r="AE525" s="9"/>
      <c r="AF525" s="9"/>
      <c r="AG525" s="26"/>
      <c r="AH525" s="26"/>
      <c r="AI525" s="89"/>
    </row>
    <row r="526" spans="1:35" ht="12.75">
      <c r="A526" s="155"/>
      <c r="B526" s="155"/>
      <c r="C526" s="155"/>
      <c r="D526" s="155"/>
      <c r="E526" s="155"/>
      <c r="F526" s="155"/>
      <c r="G526" s="155"/>
      <c r="H526" s="5" t="s">
        <v>58</v>
      </c>
      <c r="I526" s="22"/>
      <c r="J526" s="9"/>
      <c r="K526" s="9"/>
      <c r="L526" s="11" t="b">
        <v>0</v>
      </c>
      <c r="M526" s="11" t="b">
        <v>0</v>
      </c>
      <c r="N526" s="7"/>
      <c r="O526" s="7"/>
      <c r="P526" s="8">
        <f t="shared" si="81"/>
        <v>0</v>
      </c>
      <c r="Q526" s="7"/>
      <c r="R526" s="9"/>
      <c r="S526" s="7"/>
      <c r="T526" s="7"/>
      <c r="U526" s="8">
        <f t="shared" si="82"/>
        <v>0</v>
      </c>
      <c r="V526" s="9"/>
      <c r="W526" s="9"/>
      <c r="X526" s="18"/>
      <c r="Y526" s="18"/>
      <c r="Z526" s="19"/>
      <c r="AA526" s="18"/>
      <c r="AB526" s="19"/>
      <c r="AC526" s="19"/>
      <c r="AD526" s="19"/>
      <c r="AE526" s="9"/>
      <c r="AF526" s="9"/>
      <c r="AG526" s="26"/>
      <c r="AH526" s="26"/>
      <c r="AI526" s="9"/>
    </row>
    <row r="527" spans="1:35" ht="15">
      <c r="A527" s="137"/>
      <c r="B527" s="113"/>
      <c r="C527" s="113"/>
      <c r="D527" s="159" t="s">
        <v>455</v>
      </c>
      <c r="E527" s="159" t="s">
        <v>456</v>
      </c>
      <c r="F527" s="163" t="s">
        <v>457</v>
      </c>
      <c r="G527" s="165"/>
      <c r="H527" s="91" t="s">
        <v>458</v>
      </c>
      <c r="I527" s="92"/>
      <c r="J527" s="93"/>
      <c r="K527" s="93"/>
      <c r="L527" s="94" t="b">
        <v>0</v>
      </c>
      <c r="M527" s="94" t="b">
        <v>0</v>
      </c>
      <c r="N527" s="95"/>
      <c r="O527" s="95"/>
      <c r="P527" s="96">
        <f t="shared" si="81"/>
        <v>0</v>
      </c>
      <c r="Q527" s="95"/>
      <c r="R527" s="93"/>
      <c r="S527" s="95"/>
      <c r="T527" s="95"/>
      <c r="U527" s="96">
        <f t="shared" si="82"/>
        <v>0</v>
      </c>
      <c r="V527" s="93"/>
      <c r="W527" s="93"/>
      <c r="X527" s="97"/>
      <c r="Y527" s="97"/>
      <c r="Z527" s="98"/>
      <c r="AA527" s="97"/>
      <c r="AB527" s="98"/>
      <c r="AC527" s="98"/>
      <c r="AD527" s="98"/>
      <c r="AE527" s="93"/>
      <c r="AF527" s="93"/>
      <c r="AG527" s="99"/>
      <c r="AH527" s="99"/>
      <c r="AI527" s="93"/>
    </row>
    <row r="528" spans="1:35" ht="15">
      <c r="A528" s="137"/>
      <c r="B528" s="113"/>
      <c r="C528" s="113"/>
      <c r="D528" s="155"/>
      <c r="E528" s="155"/>
      <c r="F528" s="155"/>
      <c r="G528" s="155"/>
      <c r="H528" s="91" t="s">
        <v>58</v>
      </c>
      <c r="I528" s="92"/>
      <c r="J528" s="93"/>
      <c r="K528" s="93"/>
      <c r="L528" s="94" t="b">
        <v>0</v>
      </c>
      <c r="M528" s="94" t="b">
        <v>0</v>
      </c>
      <c r="N528" s="95"/>
      <c r="O528" s="95"/>
      <c r="P528" s="96">
        <f t="shared" si="81"/>
        <v>0</v>
      </c>
      <c r="Q528" s="95"/>
      <c r="R528" s="93"/>
      <c r="S528" s="95"/>
      <c r="T528" s="95"/>
      <c r="U528" s="96">
        <f t="shared" si="82"/>
        <v>0</v>
      </c>
      <c r="V528" s="93"/>
      <c r="W528" s="93"/>
      <c r="X528" s="97"/>
      <c r="Y528" s="97"/>
      <c r="Z528" s="98"/>
      <c r="AA528" s="97"/>
      <c r="AB528" s="98"/>
      <c r="AC528" s="98"/>
      <c r="AD528" s="98"/>
      <c r="AE528" s="93"/>
      <c r="AF528" s="93"/>
      <c r="AG528" s="99"/>
      <c r="AH528" s="99"/>
      <c r="AI528" s="100"/>
    </row>
    <row r="529" spans="1:35" ht="15">
      <c r="A529" s="137"/>
      <c r="B529" s="113"/>
      <c r="C529" s="113"/>
      <c r="D529" s="159" t="s">
        <v>455</v>
      </c>
      <c r="E529" s="166" t="s">
        <v>459</v>
      </c>
      <c r="F529" s="163" t="s">
        <v>457</v>
      </c>
      <c r="G529" s="165"/>
      <c r="H529" s="91" t="s">
        <v>458</v>
      </c>
      <c r="I529" s="92"/>
      <c r="J529" s="93"/>
      <c r="K529" s="93"/>
      <c r="L529" s="94" t="b">
        <v>0</v>
      </c>
      <c r="M529" s="94" t="b">
        <v>0</v>
      </c>
      <c r="N529" s="95"/>
      <c r="O529" s="95"/>
      <c r="P529" s="96">
        <f t="shared" si="81"/>
        <v>0</v>
      </c>
      <c r="Q529" s="95"/>
      <c r="R529" s="93"/>
      <c r="S529" s="95"/>
      <c r="T529" s="95"/>
      <c r="U529" s="96">
        <f t="shared" si="82"/>
        <v>0</v>
      </c>
      <c r="V529" s="93"/>
      <c r="W529" s="93"/>
      <c r="X529" s="93"/>
      <c r="Y529" s="93"/>
      <c r="Z529" s="91"/>
      <c r="AA529" s="93"/>
      <c r="AB529" s="91"/>
      <c r="AC529" s="91"/>
      <c r="AD529" s="91"/>
      <c r="AE529" s="93"/>
      <c r="AF529" s="93"/>
      <c r="AG529" s="99"/>
      <c r="AH529" s="99"/>
      <c r="AI529" s="101"/>
    </row>
    <row r="530" spans="1:35" ht="12.75">
      <c r="A530" s="137"/>
      <c r="B530" s="113"/>
      <c r="C530" s="113"/>
      <c r="D530" s="155"/>
      <c r="E530" s="155"/>
      <c r="F530" s="155"/>
      <c r="G530" s="155"/>
      <c r="H530" s="91" t="s">
        <v>58</v>
      </c>
      <c r="I530" s="102"/>
      <c r="J530" s="93"/>
      <c r="K530" s="93"/>
      <c r="L530" s="94" t="b">
        <v>0</v>
      </c>
      <c r="M530" s="94" t="b">
        <v>0</v>
      </c>
      <c r="N530" s="95"/>
      <c r="O530" s="95"/>
      <c r="P530" s="96">
        <f t="shared" si="81"/>
        <v>0</v>
      </c>
      <c r="Q530" s="95"/>
      <c r="R530" s="93"/>
      <c r="S530" s="95"/>
      <c r="T530" s="95"/>
      <c r="U530" s="96">
        <f t="shared" si="82"/>
        <v>0</v>
      </c>
      <c r="V530" s="93"/>
      <c r="W530" s="93"/>
      <c r="X530" s="93"/>
      <c r="Y530" s="93"/>
      <c r="Z530" s="91"/>
      <c r="AA530" s="93"/>
      <c r="AB530" s="91"/>
      <c r="AC530" s="91"/>
      <c r="AD530" s="91"/>
      <c r="AE530" s="93"/>
      <c r="AF530" s="93"/>
      <c r="AG530" s="99"/>
      <c r="AH530" s="99"/>
      <c r="AI530" s="99"/>
    </row>
    <row r="531" spans="1:35" ht="15">
      <c r="A531" s="137"/>
      <c r="B531" s="113"/>
      <c r="C531" s="113"/>
      <c r="D531" s="159" t="s">
        <v>460</v>
      </c>
      <c r="E531" s="163" t="s">
        <v>461</v>
      </c>
      <c r="F531" s="159" t="s">
        <v>462</v>
      </c>
      <c r="G531" s="165"/>
      <c r="H531" s="91" t="s">
        <v>49</v>
      </c>
      <c r="I531" s="103"/>
      <c r="J531" s="93"/>
      <c r="K531" s="93"/>
      <c r="L531" s="94" t="b">
        <v>0</v>
      </c>
      <c r="M531" s="94" t="b">
        <v>0</v>
      </c>
      <c r="N531" s="95"/>
      <c r="O531" s="95"/>
      <c r="P531" s="96">
        <f t="shared" si="81"/>
        <v>0</v>
      </c>
      <c r="Q531" s="95"/>
      <c r="R531" s="93"/>
      <c r="S531" s="95"/>
      <c r="T531" s="95"/>
      <c r="U531" s="96">
        <f t="shared" si="82"/>
        <v>0</v>
      </c>
      <c r="V531" s="93"/>
      <c r="W531" s="93"/>
      <c r="X531" s="93"/>
      <c r="Y531" s="93"/>
      <c r="Z531" s="91"/>
      <c r="AA531" s="93"/>
      <c r="AB531" s="91"/>
      <c r="AC531" s="91"/>
      <c r="AD531" s="91"/>
      <c r="AE531" s="93"/>
      <c r="AF531" s="93"/>
      <c r="AG531" s="99"/>
      <c r="AH531" s="99"/>
      <c r="AI531" s="101"/>
    </row>
    <row r="532" spans="1:35" ht="15">
      <c r="A532" s="137"/>
      <c r="B532" s="113"/>
      <c r="C532" s="113"/>
      <c r="D532" s="155"/>
      <c r="E532" s="155"/>
      <c r="F532" s="155"/>
      <c r="G532" s="155"/>
      <c r="H532" s="91" t="s">
        <v>58</v>
      </c>
      <c r="I532" s="103"/>
      <c r="J532" s="93"/>
      <c r="K532" s="93"/>
      <c r="L532" s="94" t="b">
        <v>0</v>
      </c>
      <c r="M532" s="94" t="b">
        <v>0</v>
      </c>
      <c r="N532" s="95"/>
      <c r="O532" s="95"/>
      <c r="P532" s="96">
        <f t="shared" si="81"/>
        <v>0</v>
      </c>
      <c r="Q532" s="95"/>
      <c r="R532" s="93"/>
      <c r="S532" s="95"/>
      <c r="T532" s="95"/>
      <c r="U532" s="96">
        <f t="shared" si="82"/>
        <v>0</v>
      </c>
      <c r="V532" s="93"/>
      <c r="W532" s="93"/>
      <c r="X532" s="97"/>
      <c r="Y532" s="97"/>
      <c r="Z532" s="98"/>
      <c r="AA532" s="97"/>
      <c r="AB532" s="98"/>
      <c r="AC532" s="98"/>
      <c r="AD532" s="98"/>
      <c r="AE532" s="93"/>
      <c r="AF532" s="93"/>
      <c r="AG532" s="99"/>
      <c r="AH532" s="99"/>
      <c r="AI532" s="101"/>
    </row>
    <row r="533" spans="1:35" ht="15">
      <c r="A533" s="137"/>
      <c r="B533" s="113"/>
      <c r="C533" s="113"/>
      <c r="D533" s="159" t="s">
        <v>453</v>
      </c>
      <c r="E533" s="159" t="s">
        <v>463</v>
      </c>
      <c r="F533" s="159" t="s">
        <v>464</v>
      </c>
      <c r="G533" s="165"/>
      <c r="H533" s="91" t="s">
        <v>465</v>
      </c>
      <c r="I533" s="103"/>
      <c r="J533" s="93"/>
      <c r="K533" s="93"/>
      <c r="L533" s="94" t="b">
        <v>0</v>
      </c>
      <c r="M533" s="94" t="b">
        <v>0</v>
      </c>
      <c r="N533" s="95"/>
      <c r="O533" s="95"/>
      <c r="P533" s="96">
        <f t="shared" si="81"/>
        <v>0</v>
      </c>
      <c r="Q533" s="95"/>
      <c r="R533" s="93"/>
      <c r="S533" s="95"/>
      <c r="T533" s="95"/>
      <c r="U533" s="96">
        <f t="shared" si="82"/>
        <v>0</v>
      </c>
      <c r="V533" s="93"/>
      <c r="W533" s="93"/>
      <c r="X533" s="97"/>
      <c r="Y533" s="97"/>
      <c r="Z533" s="98"/>
      <c r="AA533" s="97"/>
      <c r="AB533" s="98"/>
      <c r="AC533" s="98"/>
      <c r="AD533" s="98"/>
      <c r="AE533" s="93"/>
      <c r="AF533" s="93"/>
      <c r="AG533" s="99"/>
      <c r="AH533" s="99"/>
      <c r="AI533" s="101"/>
    </row>
    <row r="534" spans="1:35" ht="15">
      <c r="A534" s="137"/>
      <c r="B534" s="113"/>
      <c r="C534" s="113"/>
      <c r="D534" s="155"/>
      <c r="E534" s="155"/>
      <c r="F534" s="155"/>
      <c r="G534" s="155"/>
      <c r="H534" s="91" t="s">
        <v>58</v>
      </c>
      <c r="I534" s="103"/>
      <c r="J534" s="93"/>
      <c r="K534" s="93"/>
      <c r="L534" s="94" t="b">
        <v>0</v>
      </c>
      <c r="M534" s="94" t="b">
        <v>0</v>
      </c>
      <c r="N534" s="95"/>
      <c r="O534" s="95"/>
      <c r="P534" s="96">
        <f t="shared" si="81"/>
        <v>0</v>
      </c>
      <c r="Q534" s="95"/>
      <c r="R534" s="93"/>
      <c r="S534" s="95"/>
      <c r="T534" s="95"/>
      <c r="U534" s="96">
        <f t="shared" si="82"/>
        <v>0</v>
      </c>
      <c r="V534" s="93"/>
      <c r="W534" s="93"/>
      <c r="X534" s="97"/>
      <c r="Y534" s="97"/>
      <c r="Z534" s="98"/>
      <c r="AA534" s="97"/>
      <c r="AB534" s="98"/>
      <c r="AC534" s="98"/>
      <c r="AD534" s="98"/>
      <c r="AE534" s="93"/>
      <c r="AF534" s="93"/>
      <c r="AG534" s="99"/>
      <c r="AH534" s="99"/>
      <c r="AI534" s="101"/>
    </row>
    <row r="535" spans="1:35" ht="12.75">
      <c r="A535" s="123"/>
      <c r="B535" s="123"/>
      <c r="C535" s="123"/>
      <c r="D535" s="124"/>
      <c r="E535" s="124"/>
      <c r="F535" s="124"/>
      <c r="G535" s="125"/>
      <c r="H535" s="124"/>
      <c r="I535" s="136"/>
      <c r="J535" s="125"/>
      <c r="K535" s="125"/>
      <c r="L535" s="125"/>
      <c r="M535" s="125"/>
      <c r="N535" s="127"/>
      <c r="O535" s="127"/>
      <c r="P535" s="128"/>
      <c r="Q535" s="127"/>
      <c r="R535" s="125"/>
      <c r="S535" s="127"/>
      <c r="T535" s="127"/>
      <c r="U535" s="128"/>
      <c r="V535" s="125"/>
      <c r="W535" s="125"/>
      <c r="X535" s="125"/>
      <c r="Y535" s="125"/>
      <c r="Z535" s="124"/>
      <c r="AA535" s="125"/>
      <c r="AB535" s="124"/>
      <c r="AC535" s="124"/>
      <c r="AD535" s="124"/>
      <c r="AE535" s="125"/>
      <c r="AF535" s="125"/>
      <c r="AG535" s="125"/>
      <c r="AH535" s="125"/>
      <c r="AI535" s="125"/>
    </row>
    <row r="536" spans="1:35" ht="12.75">
      <c r="A536" s="169" t="s">
        <v>433</v>
      </c>
      <c r="B536" s="162" t="s">
        <v>353</v>
      </c>
      <c r="C536" s="170" t="s">
        <v>354</v>
      </c>
      <c r="D536" s="162" t="s">
        <v>453</v>
      </c>
      <c r="E536" s="160" t="s">
        <v>47</v>
      </c>
      <c r="F536" s="162" t="s">
        <v>454</v>
      </c>
      <c r="G536" s="164"/>
      <c r="H536" s="77" t="s">
        <v>49</v>
      </c>
      <c r="I536" s="108"/>
      <c r="J536" s="78"/>
      <c r="K536" s="78"/>
      <c r="L536" s="79" t="b">
        <v>0</v>
      </c>
      <c r="M536" s="79" t="b">
        <v>0</v>
      </c>
      <c r="N536" s="81"/>
      <c r="O536" s="81"/>
      <c r="P536" s="80">
        <f t="shared" ref="P536:P547" si="83">N536+O536</f>
        <v>0</v>
      </c>
      <c r="Q536" s="81"/>
      <c r="R536" s="78"/>
      <c r="S536" s="81"/>
      <c r="T536" s="81"/>
      <c r="U536" s="80">
        <f t="shared" ref="U536:U547" si="84">S536+T536</f>
        <v>0</v>
      </c>
      <c r="V536" s="78"/>
      <c r="W536" s="78"/>
      <c r="X536" s="78"/>
      <c r="Y536" s="78"/>
      <c r="Z536" s="77"/>
      <c r="AA536" s="78"/>
      <c r="AB536" s="77"/>
      <c r="AC536" s="77"/>
      <c r="AD536" s="77"/>
      <c r="AE536" s="78"/>
      <c r="AF536" s="78"/>
      <c r="AG536" s="109"/>
      <c r="AH536" s="109"/>
      <c r="AI536" s="78"/>
    </row>
    <row r="537" spans="1:35" ht="12.75">
      <c r="A537" s="155"/>
      <c r="B537" s="155"/>
      <c r="C537" s="155"/>
      <c r="D537" s="155"/>
      <c r="E537" s="155"/>
      <c r="F537" s="155"/>
      <c r="G537" s="155"/>
      <c r="H537" s="85" t="s">
        <v>58</v>
      </c>
      <c r="I537" s="112"/>
      <c r="J537" s="84"/>
      <c r="K537" s="84"/>
      <c r="L537" s="86" t="b">
        <v>0</v>
      </c>
      <c r="M537" s="86" t="b">
        <v>0</v>
      </c>
      <c r="N537" s="83"/>
      <c r="O537" s="83"/>
      <c r="P537" s="87">
        <f t="shared" si="83"/>
        <v>0</v>
      </c>
      <c r="Q537" s="83"/>
      <c r="R537" s="84"/>
      <c r="S537" s="83"/>
      <c r="T537" s="83"/>
      <c r="U537" s="87">
        <f t="shared" si="84"/>
        <v>0</v>
      </c>
      <c r="V537" s="84"/>
      <c r="W537" s="84"/>
      <c r="X537" s="84"/>
      <c r="Y537" s="84"/>
      <c r="Z537" s="85"/>
      <c r="AA537" s="84"/>
      <c r="AB537" s="85"/>
      <c r="AC537" s="85"/>
      <c r="AD537" s="85"/>
      <c r="AE537" s="84"/>
      <c r="AF537" s="84"/>
      <c r="AG537" s="110"/>
      <c r="AH537" s="110"/>
      <c r="AI537" s="84"/>
    </row>
    <row r="538" spans="1:35" ht="12.75">
      <c r="A538" s="155"/>
      <c r="B538" s="155"/>
      <c r="C538" s="155"/>
      <c r="D538" s="157" t="s">
        <v>453</v>
      </c>
      <c r="E538" s="157" t="s">
        <v>59</v>
      </c>
      <c r="F538" s="157" t="s">
        <v>454</v>
      </c>
      <c r="G538" s="158"/>
      <c r="H538" s="5" t="s">
        <v>49</v>
      </c>
      <c r="I538" s="17"/>
      <c r="J538" s="9"/>
      <c r="K538" s="9"/>
      <c r="L538" s="11" t="b">
        <v>0</v>
      </c>
      <c r="M538" s="11" t="b">
        <v>0</v>
      </c>
      <c r="N538" s="7"/>
      <c r="O538" s="7"/>
      <c r="P538" s="8">
        <f t="shared" si="83"/>
        <v>0</v>
      </c>
      <c r="Q538" s="7"/>
      <c r="R538" s="9"/>
      <c r="S538" s="7"/>
      <c r="T538" s="7"/>
      <c r="U538" s="8">
        <f t="shared" si="84"/>
        <v>0</v>
      </c>
      <c r="V538" s="9"/>
      <c r="W538" s="9"/>
      <c r="X538" s="18"/>
      <c r="Y538" s="18"/>
      <c r="Z538" s="19"/>
      <c r="AA538" s="18"/>
      <c r="AB538" s="19"/>
      <c r="AC538" s="19"/>
      <c r="AD538" s="19"/>
      <c r="AE538" s="9"/>
      <c r="AF538" s="9"/>
      <c r="AG538" s="26"/>
      <c r="AH538" s="26"/>
      <c r="AI538" s="89"/>
    </row>
    <row r="539" spans="1:35" ht="12.75">
      <c r="A539" s="155"/>
      <c r="B539" s="155"/>
      <c r="C539" s="155"/>
      <c r="D539" s="155"/>
      <c r="E539" s="155"/>
      <c r="F539" s="155"/>
      <c r="G539" s="155"/>
      <c r="H539" s="5" t="s">
        <v>58</v>
      </c>
      <c r="I539" s="22"/>
      <c r="J539" s="9"/>
      <c r="K539" s="9"/>
      <c r="L539" s="11" t="b">
        <v>0</v>
      </c>
      <c r="M539" s="11" t="b">
        <v>0</v>
      </c>
      <c r="N539" s="7"/>
      <c r="O539" s="7"/>
      <c r="P539" s="8">
        <f t="shared" si="83"/>
        <v>0</v>
      </c>
      <c r="Q539" s="7"/>
      <c r="R539" s="9"/>
      <c r="S539" s="7"/>
      <c r="T539" s="7"/>
      <c r="U539" s="8">
        <f t="shared" si="84"/>
        <v>0</v>
      </c>
      <c r="V539" s="9"/>
      <c r="W539" s="9"/>
      <c r="X539" s="18"/>
      <c r="Y539" s="18"/>
      <c r="Z539" s="19"/>
      <c r="AA539" s="18"/>
      <c r="AB539" s="19"/>
      <c r="AC539" s="19"/>
      <c r="AD539" s="19"/>
      <c r="AE539" s="9"/>
      <c r="AF539" s="9"/>
      <c r="AG539" s="26"/>
      <c r="AH539" s="26"/>
      <c r="AI539" s="9"/>
    </row>
    <row r="540" spans="1:35" ht="15">
      <c r="A540" s="137"/>
      <c r="B540" s="113"/>
      <c r="C540" s="113"/>
      <c r="D540" s="159" t="s">
        <v>455</v>
      </c>
      <c r="E540" s="159" t="s">
        <v>456</v>
      </c>
      <c r="F540" s="163" t="s">
        <v>457</v>
      </c>
      <c r="G540" s="165"/>
      <c r="H540" s="91" t="s">
        <v>458</v>
      </c>
      <c r="I540" s="92"/>
      <c r="J540" s="93"/>
      <c r="K540" s="93"/>
      <c r="L540" s="94" t="b">
        <v>0</v>
      </c>
      <c r="M540" s="94" t="b">
        <v>0</v>
      </c>
      <c r="N540" s="95"/>
      <c r="O540" s="95"/>
      <c r="P540" s="96">
        <f t="shared" si="83"/>
        <v>0</v>
      </c>
      <c r="Q540" s="95"/>
      <c r="R540" s="93"/>
      <c r="S540" s="95"/>
      <c r="T540" s="95"/>
      <c r="U540" s="96">
        <f t="shared" si="84"/>
        <v>0</v>
      </c>
      <c r="V540" s="93"/>
      <c r="W540" s="93"/>
      <c r="X540" s="97"/>
      <c r="Y540" s="97"/>
      <c r="Z540" s="98"/>
      <c r="AA540" s="97"/>
      <c r="AB540" s="98"/>
      <c r="AC540" s="98"/>
      <c r="AD540" s="98"/>
      <c r="AE540" s="93"/>
      <c r="AF540" s="93"/>
      <c r="AG540" s="99"/>
      <c r="AH540" s="99"/>
      <c r="AI540" s="93"/>
    </row>
    <row r="541" spans="1:35" ht="15">
      <c r="A541" s="137"/>
      <c r="B541" s="113"/>
      <c r="C541" s="113"/>
      <c r="D541" s="155"/>
      <c r="E541" s="155"/>
      <c r="F541" s="155"/>
      <c r="G541" s="155"/>
      <c r="H541" s="91" t="s">
        <v>58</v>
      </c>
      <c r="I541" s="92"/>
      <c r="J541" s="93"/>
      <c r="K541" s="93"/>
      <c r="L541" s="94" t="b">
        <v>0</v>
      </c>
      <c r="M541" s="94" t="b">
        <v>0</v>
      </c>
      <c r="N541" s="95"/>
      <c r="O541" s="95"/>
      <c r="P541" s="96">
        <f t="shared" si="83"/>
        <v>0</v>
      </c>
      <c r="Q541" s="95"/>
      <c r="R541" s="93"/>
      <c r="S541" s="95"/>
      <c r="T541" s="95"/>
      <c r="U541" s="96">
        <f t="shared" si="84"/>
        <v>0</v>
      </c>
      <c r="V541" s="93"/>
      <c r="W541" s="93"/>
      <c r="X541" s="97"/>
      <c r="Y541" s="97"/>
      <c r="Z541" s="98"/>
      <c r="AA541" s="97"/>
      <c r="AB541" s="98"/>
      <c r="AC541" s="98"/>
      <c r="AD541" s="98"/>
      <c r="AE541" s="93"/>
      <c r="AF541" s="93"/>
      <c r="AG541" s="99"/>
      <c r="AH541" s="99"/>
      <c r="AI541" s="100"/>
    </row>
    <row r="542" spans="1:35" ht="15">
      <c r="A542" s="137"/>
      <c r="B542" s="113"/>
      <c r="C542" s="113"/>
      <c r="D542" s="159" t="s">
        <v>455</v>
      </c>
      <c r="E542" s="166" t="s">
        <v>459</v>
      </c>
      <c r="F542" s="163" t="s">
        <v>457</v>
      </c>
      <c r="G542" s="165"/>
      <c r="H542" s="91" t="s">
        <v>458</v>
      </c>
      <c r="I542" s="92"/>
      <c r="J542" s="93"/>
      <c r="K542" s="93"/>
      <c r="L542" s="94" t="b">
        <v>0</v>
      </c>
      <c r="M542" s="94" t="b">
        <v>0</v>
      </c>
      <c r="N542" s="95"/>
      <c r="O542" s="95"/>
      <c r="P542" s="96">
        <f t="shared" si="83"/>
        <v>0</v>
      </c>
      <c r="Q542" s="95"/>
      <c r="R542" s="93"/>
      <c r="S542" s="95"/>
      <c r="T542" s="95"/>
      <c r="U542" s="96">
        <f t="shared" si="84"/>
        <v>0</v>
      </c>
      <c r="V542" s="93"/>
      <c r="W542" s="93"/>
      <c r="X542" s="93"/>
      <c r="Y542" s="93"/>
      <c r="Z542" s="91"/>
      <c r="AA542" s="93"/>
      <c r="AB542" s="91"/>
      <c r="AC542" s="91"/>
      <c r="AD542" s="91"/>
      <c r="AE542" s="93"/>
      <c r="AF542" s="93"/>
      <c r="AG542" s="99"/>
      <c r="AH542" s="99"/>
      <c r="AI542" s="101"/>
    </row>
    <row r="543" spans="1:35" ht="12.75">
      <c r="A543" s="137"/>
      <c r="B543" s="113"/>
      <c r="C543" s="113"/>
      <c r="D543" s="155"/>
      <c r="E543" s="155"/>
      <c r="F543" s="155"/>
      <c r="G543" s="155"/>
      <c r="H543" s="91" t="s">
        <v>58</v>
      </c>
      <c r="I543" s="102"/>
      <c r="J543" s="93"/>
      <c r="K543" s="93"/>
      <c r="L543" s="94" t="b">
        <v>0</v>
      </c>
      <c r="M543" s="94" t="b">
        <v>0</v>
      </c>
      <c r="N543" s="95"/>
      <c r="O543" s="95"/>
      <c r="P543" s="96">
        <f t="shared" si="83"/>
        <v>0</v>
      </c>
      <c r="Q543" s="95"/>
      <c r="R543" s="93"/>
      <c r="S543" s="95"/>
      <c r="T543" s="95"/>
      <c r="U543" s="96">
        <f t="shared" si="84"/>
        <v>0</v>
      </c>
      <c r="V543" s="93"/>
      <c r="W543" s="93"/>
      <c r="X543" s="93"/>
      <c r="Y543" s="93"/>
      <c r="Z543" s="91"/>
      <c r="AA543" s="93"/>
      <c r="AB543" s="91"/>
      <c r="AC543" s="91"/>
      <c r="AD543" s="91"/>
      <c r="AE543" s="93"/>
      <c r="AF543" s="93"/>
      <c r="AG543" s="99"/>
      <c r="AH543" s="99"/>
      <c r="AI543" s="99"/>
    </row>
    <row r="544" spans="1:35" ht="15">
      <c r="A544" s="137"/>
      <c r="B544" s="113"/>
      <c r="C544" s="113"/>
      <c r="D544" s="159" t="s">
        <v>460</v>
      </c>
      <c r="E544" s="163" t="s">
        <v>461</v>
      </c>
      <c r="F544" s="159" t="s">
        <v>462</v>
      </c>
      <c r="G544" s="165"/>
      <c r="H544" s="91" t="s">
        <v>49</v>
      </c>
      <c r="I544" s="103"/>
      <c r="J544" s="93"/>
      <c r="K544" s="93"/>
      <c r="L544" s="94" t="b">
        <v>0</v>
      </c>
      <c r="M544" s="94" t="b">
        <v>0</v>
      </c>
      <c r="N544" s="95"/>
      <c r="O544" s="95"/>
      <c r="P544" s="96">
        <f t="shared" si="83"/>
        <v>0</v>
      </c>
      <c r="Q544" s="95"/>
      <c r="R544" s="93"/>
      <c r="S544" s="95"/>
      <c r="T544" s="95"/>
      <c r="U544" s="96">
        <f t="shared" si="84"/>
        <v>0</v>
      </c>
      <c r="V544" s="93"/>
      <c r="W544" s="93"/>
      <c r="X544" s="93"/>
      <c r="Y544" s="93"/>
      <c r="Z544" s="91"/>
      <c r="AA544" s="93"/>
      <c r="AB544" s="91"/>
      <c r="AC544" s="91"/>
      <c r="AD544" s="91"/>
      <c r="AE544" s="93"/>
      <c r="AF544" s="93"/>
      <c r="AG544" s="99"/>
      <c r="AH544" s="99"/>
      <c r="AI544" s="101"/>
    </row>
    <row r="545" spans="1:35" ht="15">
      <c r="A545" s="137"/>
      <c r="B545" s="113"/>
      <c r="C545" s="113"/>
      <c r="D545" s="155"/>
      <c r="E545" s="155"/>
      <c r="F545" s="155"/>
      <c r="G545" s="155"/>
      <c r="H545" s="91" t="s">
        <v>58</v>
      </c>
      <c r="I545" s="103"/>
      <c r="J545" s="93"/>
      <c r="K545" s="93"/>
      <c r="L545" s="94" t="b">
        <v>0</v>
      </c>
      <c r="M545" s="94" t="b">
        <v>0</v>
      </c>
      <c r="N545" s="95"/>
      <c r="O545" s="95"/>
      <c r="P545" s="96">
        <f t="shared" si="83"/>
        <v>0</v>
      </c>
      <c r="Q545" s="95"/>
      <c r="R545" s="93"/>
      <c r="S545" s="95"/>
      <c r="T545" s="95"/>
      <c r="U545" s="96">
        <f t="shared" si="84"/>
        <v>0</v>
      </c>
      <c r="V545" s="93"/>
      <c r="W545" s="93"/>
      <c r="X545" s="97"/>
      <c r="Y545" s="97"/>
      <c r="Z545" s="98"/>
      <c r="AA545" s="97"/>
      <c r="AB545" s="98"/>
      <c r="AC545" s="98"/>
      <c r="AD545" s="98"/>
      <c r="AE545" s="93"/>
      <c r="AF545" s="93"/>
      <c r="AG545" s="99"/>
      <c r="AH545" s="99"/>
      <c r="AI545" s="101"/>
    </row>
    <row r="546" spans="1:35" ht="15">
      <c r="A546" s="137"/>
      <c r="B546" s="113"/>
      <c r="C546" s="113"/>
      <c r="D546" s="159" t="s">
        <v>453</v>
      </c>
      <c r="E546" s="159" t="s">
        <v>463</v>
      </c>
      <c r="F546" s="159" t="s">
        <v>464</v>
      </c>
      <c r="G546" s="165"/>
      <c r="H546" s="91" t="s">
        <v>465</v>
      </c>
      <c r="I546" s="103"/>
      <c r="J546" s="93"/>
      <c r="K546" s="93"/>
      <c r="L546" s="94" t="b">
        <v>0</v>
      </c>
      <c r="M546" s="94" t="b">
        <v>0</v>
      </c>
      <c r="N546" s="95"/>
      <c r="O546" s="95"/>
      <c r="P546" s="96">
        <f t="shared" si="83"/>
        <v>0</v>
      </c>
      <c r="Q546" s="95"/>
      <c r="R546" s="93"/>
      <c r="S546" s="95"/>
      <c r="T546" s="95"/>
      <c r="U546" s="96">
        <f t="shared" si="84"/>
        <v>0</v>
      </c>
      <c r="V546" s="93"/>
      <c r="W546" s="93"/>
      <c r="X546" s="97"/>
      <c r="Y546" s="97"/>
      <c r="Z546" s="98"/>
      <c r="AA546" s="97"/>
      <c r="AB546" s="98"/>
      <c r="AC546" s="98"/>
      <c r="AD546" s="98"/>
      <c r="AE546" s="93"/>
      <c r="AF546" s="93"/>
      <c r="AG546" s="99"/>
      <c r="AH546" s="99"/>
      <c r="AI546" s="101"/>
    </row>
    <row r="547" spans="1:35" ht="15">
      <c r="A547" s="137"/>
      <c r="B547" s="113"/>
      <c r="C547" s="113"/>
      <c r="D547" s="155"/>
      <c r="E547" s="155"/>
      <c r="F547" s="155"/>
      <c r="G547" s="155"/>
      <c r="H547" s="91" t="s">
        <v>58</v>
      </c>
      <c r="I547" s="103"/>
      <c r="J547" s="93"/>
      <c r="K547" s="93"/>
      <c r="L547" s="94" t="b">
        <v>0</v>
      </c>
      <c r="M547" s="94" t="b">
        <v>0</v>
      </c>
      <c r="N547" s="95"/>
      <c r="O547" s="95"/>
      <c r="P547" s="96">
        <f t="shared" si="83"/>
        <v>0</v>
      </c>
      <c r="Q547" s="95"/>
      <c r="R547" s="93"/>
      <c r="S547" s="95"/>
      <c r="T547" s="95"/>
      <c r="U547" s="96">
        <f t="shared" si="84"/>
        <v>0</v>
      </c>
      <c r="V547" s="93"/>
      <c r="W547" s="93"/>
      <c r="X547" s="97"/>
      <c r="Y547" s="97"/>
      <c r="Z547" s="98"/>
      <c r="AA547" s="97"/>
      <c r="AB547" s="98"/>
      <c r="AC547" s="98"/>
      <c r="AD547" s="98"/>
      <c r="AE547" s="93"/>
      <c r="AF547" s="93"/>
      <c r="AG547" s="99"/>
      <c r="AH547" s="99"/>
      <c r="AI547" s="101"/>
    </row>
    <row r="548" spans="1:35" ht="12.75">
      <c r="A548" s="123"/>
      <c r="B548" s="123"/>
      <c r="C548" s="123"/>
      <c r="D548" s="124"/>
      <c r="E548" s="124"/>
      <c r="F548" s="124"/>
      <c r="G548" s="125"/>
      <c r="H548" s="124"/>
      <c r="I548" s="136"/>
      <c r="J548" s="125"/>
      <c r="K548" s="125"/>
      <c r="L548" s="125"/>
      <c r="M548" s="125"/>
      <c r="N548" s="127"/>
      <c r="O548" s="127"/>
      <c r="P548" s="128"/>
      <c r="Q548" s="127"/>
      <c r="R548" s="125"/>
      <c r="S548" s="127"/>
      <c r="T548" s="127"/>
      <c r="U548" s="128"/>
      <c r="V548" s="125"/>
      <c r="W548" s="125"/>
      <c r="X548" s="125"/>
      <c r="Y548" s="125"/>
      <c r="Z548" s="124"/>
      <c r="AA548" s="125"/>
      <c r="AB548" s="124"/>
      <c r="AC548" s="124"/>
      <c r="AD548" s="124"/>
      <c r="AE548" s="125"/>
      <c r="AF548" s="125"/>
      <c r="AG548" s="125"/>
      <c r="AH548" s="125"/>
      <c r="AI548" s="125"/>
    </row>
    <row r="549" spans="1:35" ht="12.75">
      <c r="A549" s="167" t="s">
        <v>442</v>
      </c>
      <c r="B549" s="162" t="s">
        <v>128</v>
      </c>
      <c r="C549" s="167" t="s">
        <v>129</v>
      </c>
      <c r="D549" s="162" t="s">
        <v>453</v>
      </c>
      <c r="E549" s="160" t="s">
        <v>47</v>
      </c>
      <c r="F549" s="162" t="s">
        <v>454</v>
      </c>
      <c r="G549" s="164"/>
      <c r="H549" s="77" t="s">
        <v>49</v>
      </c>
      <c r="I549" s="108"/>
      <c r="J549" s="78"/>
      <c r="K549" s="78"/>
      <c r="L549" s="79" t="b">
        <v>0</v>
      </c>
      <c r="M549" s="79" t="b">
        <v>0</v>
      </c>
      <c r="N549" s="81"/>
      <c r="O549" s="81"/>
      <c r="P549" s="80">
        <f t="shared" ref="P549:P560" si="85">N549+O549</f>
        <v>0</v>
      </c>
      <c r="Q549" s="81"/>
      <c r="R549" s="78"/>
      <c r="S549" s="81"/>
      <c r="T549" s="81"/>
      <c r="U549" s="80">
        <f t="shared" ref="U549:U560" si="86">S549+T549</f>
        <v>0</v>
      </c>
      <c r="V549" s="78"/>
      <c r="W549" s="78"/>
      <c r="X549" s="78"/>
      <c r="Y549" s="78"/>
      <c r="Z549" s="77"/>
      <c r="AA549" s="78"/>
      <c r="AB549" s="77"/>
      <c r="AC549" s="77"/>
      <c r="AD549" s="77"/>
      <c r="AE549" s="78"/>
      <c r="AF549" s="78"/>
      <c r="AG549" s="109"/>
      <c r="AH549" s="109"/>
      <c r="AI549" s="78"/>
    </row>
    <row r="550" spans="1:35" ht="12.75">
      <c r="A550" s="155"/>
      <c r="B550" s="155"/>
      <c r="C550" s="155"/>
      <c r="D550" s="155"/>
      <c r="E550" s="155"/>
      <c r="F550" s="155"/>
      <c r="G550" s="155"/>
      <c r="H550" s="85" t="s">
        <v>58</v>
      </c>
      <c r="I550" s="112"/>
      <c r="J550" s="84"/>
      <c r="K550" s="84"/>
      <c r="L550" s="86" t="b">
        <v>0</v>
      </c>
      <c r="M550" s="86" t="b">
        <v>0</v>
      </c>
      <c r="N550" s="83"/>
      <c r="O550" s="83"/>
      <c r="P550" s="87">
        <f t="shared" si="85"/>
        <v>0</v>
      </c>
      <c r="Q550" s="83"/>
      <c r="R550" s="84"/>
      <c r="S550" s="83"/>
      <c r="T550" s="83"/>
      <c r="U550" s="87">
        <f t="shared" si="86"/>
        <v>0</v>
      </c>
      <c r="V550" s="84"/>
      <c r="W550" s="84"/>
      <c r="X550" s="84"/>
      <c r="Y550" s="84"/>
      <c r="Z550" s="85"/>
      <c r="AA550" s="84"/>
      <c r="AB550" s="85"/>
      <c r="AC550" s="85"/>
      <c r="AD550" s="85"/>
      <c r="AE550" s="84"/>
      <c r="AF550" s="84"/>
      <c r="AG550" s="110"/>
      <c r="AH550" s="110"/>
      <c r="AI550" s="84"/>
    </row>
    <row r="551" spans="1:35" ht="12.75">
      <c r="A551" s="155"/>
      <c r="B551" s="155"/>
      <c r="C551" s="155"/>
      <c r="D551" s="157" t="s">
        <v>453</v>
      </c>
      <c r="E551" s="157" t="s">
        <v>59</v>
      </c>
      <c r="F551" s="157" t="s">
        <v>454</v>
      </c>
      <c r="G551" s="158"/>
      <c r="H551" s="5" t="s">
        <v>49</v>
      </c>
      <c r="I551" s="17"/>
      <c r="J551" s="9"/>
      <c r="K551" s="9"/>
      <c r="L551" s="11" t="b">
        <v>0</v>
      </c>
      <c r="M551" s="11" t="b">
        <v>0</v>
      </c>
      <c r="N551" s="7"/>
      <c r="O551" s="7"/>
      <c r="P551" s="8">
        <f t="shared" si="85"/>
        <v>0</v>
      </c>
      <c r="Q551" s="7"/>
      <c r="R551" s="9"/>
      <c r="S551" s="7"/>
      <c r="T551" s="7"/>
      <c r="U551" s="8">
        <f t="shared" si="86"/>
        <v>0</v>
      </c>
      <c r="V551" s="9"/>
      <c r="W551" s="9"/>
      <c r="X551" s="18"/>
      <c r="Y551" s="18"/>
      <c r="Z551" s="19"/>
      <c r="AA551" s="18"/>
      <c r="AB551" s="19"/>
      <c r="AC551" s="19"/>
      <c r="AD551" s="19"/>
      <c r="AE551" s="9"/>
      <c r="AF551" s="9"/>
      <c r="AG551" s="26"/>
      <c r="AH551" s="26"/>
      <c r="AI551" s="89"/>
    </row>
    <row r="552" spans="1:35" ht="12.75">
      <c r="A552" s="155"/>
      <c r="B552" s="155"/>
      <c r="C552" s="155"/>
      <c r="D552" s="155"/>
      <c r="E552" s="155"/>
      <c r="F552" s="155"/>
      <c r="G552" s="155"/>
      <c r="H552" s="5" t="s">
        <v>58</v>
      </c>
      <c r="I552" s="22"/>
      <c r="J552" s="9"/>
      <c r="K552" s="9"/>
      <c r="L552" s="11" t="b">
        <v>0</v>
      </c>
      <c r="M552" s="11" t="b">
        <v>0</v>
      </c>
      <c r="N552" s="7"/>
      <c r="O552" s="7"/>
      <c r="P552" s="8">
        <f t="shared" si="85"/>
        <v>0</v>
      </c>
      <c r="Q552" s="7"/>
      <c r="R552" s="9"/>
      <c r="S552" s="7"/>
      <c r="T552" s="7"/>
      <c r="U552" s="8">
        <f t="shared" si="86"/>
        <v>0</v>
      </c>
      <c r="V552" s="9"/>
      <c r="W552" s="9"/>
      <c r="X552" s="18"/>
      <c r="Y552" s="18"/>
      <c r="Z552" s="19"/>
      <c r="AA552" s="18"/>
      <c r="AB552" s="19"/>
      <c r="AC552" s="19"/>
      <c r="AD552" s="19"/>
      <c r="AE552" s="9"/>
      <c r="AF552" s="9"/>
      <c r="AG552" s="26"/>
      <c r="AH552" s="26"/>
      <c r="AI552" s="9"/>
    </row>
    <row r="553" spans="1:35" ht="15">
      <c r="A553" s="113"/>
      <c r="B553" s="113"/>
      <c r="C553" s="113"/>
      <c r="D553" s="159" t="s">
        <v>455</v>
      </c>
      <c r="E553" s="159" t="s">
        <v>456</v>
      </c>
      <c r="F553" s="163" t="s">
        <v>457</v>
      </c>
      <c r="G553" s="165"/>
      <c r="H553" s="91" t="s">
        <v>458</v>
      </c>
      <c r="I553" s="92"/>
      <c r="J553" s="93"/>
      <c r="K553" s="93"/>
      <c r="L553" s="94" t="b">
        <v>0</v>
      </c>
      <c r="M553" s="94" t="b">
        <v>0</v>
      </c>
      <c r="N553" s="95"/>
      <c r="O553" s="95"/>
      <c r="P553" s="96">
        <f t="shared" si="85"/>
        <v>0</v>
      </c>
      <c r="Q553" s="95"/>
      <c r="R553" s="93"/>
      <c r="S553" s="95"/>
      <c r="T553" s="95"/>
      <c r="U553" s="96">
        <f t="shared" si="86"/>
        <v>0</v>
      </c>
      <c r="V553" s="93"/>
      <c r="W553" s="93"/>
      <c r="X553" s="97"/>
      <c r="Y553" s="97"/>
      <c r="Z553" s="98"/>
      <c r="AA553" s="97"/>
      <c r="AB553" s="98"/>
      <c r="AC553" s="98"/>
      <c r="AD553" s="98"/>
      <c r="AE553" s="93"/>
      <c r="AF553" s="93"/>
      <c r="AG553" s="99"/>
      <c r="AH553" s="99"/>
      <c r="AI553" s="93"/>
    </row>
    <row r="554" spans="1:35" ht="15">
      <c r="A554" s="113"/>
      <c r="B554" s="113"/>
      <c r="C554" s="113"/>
      <c r="D554" s="155"/>
      <c r="E554" s="155"/>
      <c r="F554" s="155"/>
      <c r="G554" s="155"/>
      <c r="H554" s="91" t="s">
        <v>58</v>
      </c>
      <c r="I554" s="92"/>
      <c r="J554" s="93"/>
      <c r="K554" s="93"/>
      <c r="L554" s="94" t="b">
        <v>0</v>
      </c>
      <c r="M554" s="94" t="b">
        <v>0</v>
      </c>
      <c r="N554" s="95"/>
      <c r="O554" s="95"/>
      <c r="P554" s="96">
        <f t="shared" si="85"/>
        <v>0</v>
      </c>
      <c r="Q554" s="95"/>
      <c r="R554" s="93"/>
      <c r="S554" s="95"/>
      <c r="T554" s="95"/>
      <c r="U554" s="96">
        <f t="shared" si="86"/>
        <v>0</v>
      </c>
      <c r="V554" s="93"/>
      <c r="W554" s="93"/>
      <c r="X554" s="97"/>
      <c r="Y554" s="97"/>
      <c r="Z554" s="98"/>
      <c r="AA554" s="97"/>
      <c r="AB554" s="98"/>
      <c r="AC554" s="98"/>
      <c r="AD554" s="98"/>
      <c r="AE554" s="93"/>
      <c r="AF554" s="93"/>
      <c r="AG554" s="99"/>
      <c r="AH554" s="99"/>
      <c r="AI554" s="100"/>
    </row>
    <row r="555" spans="1:35" ht="15">
      <c r="A555" s="113"/>
      <c r="B555" s="113"/>
      <c r="C555" s="113"/>
      <c r="D555" s="159" t="s">
        <v>455</v>
      </c>
      <c r="E555" s="166" t="s">
        <v>459</v>
      </c>
      <c r="F555" s="163" t="s">
        <v>457</v>
      </c>
      <c r="G555" s="165"/>
      <c r="H555" s="91" t="s">
        <v>458</v>
      </c>
      <c r="I555" s="92"/>
      <c r="J555" s="93"/>
      <c r="K555" s="93"/>
      <c r="L555" s="94" t="b">
        <v>0</v>
      </c>
      <c r="M555" s="94" t="b">
        <v>0</v>
      </c>
      <c r="N555" s="95"/>
      <c r="O555" s="95"/>
      <c r="P555" s="96">
        <f t="shared" si="85"/>
        <v>0</v>
      </c>
      <c r="Q555" s="95"/>
      <c r="R555" s="93"/>
      <c r="S555" s="95"/>
      <c r="T555" s="95"/>
      <c r="U555" s="96">
        <f t="shared" si="86"/>
        <v>0</v>
      </c>
      <c r="V555" s="93"/>
      <c r="W555" s="93"/>
      <c r="X555" s="93"/>
      <c r="Y555" s="93"/>
      <c r="Z555" s="91"/>
      <c r="AA555" s="93"/>
      <c r="AB555" s="91"/>
      <c r="AC555" s="91"/>
      <c r="AD555" s="91"/>
      <c r="AE555" s="93"/>
      <c r="AF555" s="93"/>
      <c r="AG555" s="99"/>
      <c r="AH555" s="99"/>
      <c r="AI555" s="101"/>
    </row>
    <row r="556" spans="1:35" ht="12.75">
      <c r="A556" s="113"/>
      <c r="B556" s="113"/>
      <c r="C556" s="113"/>
      <c r="D556" s="155"/>
      <c r="E556" s="155"/>
      <c r="F556" s="155"/>
      <c r="G556" s="155"/>
      <c r="H556" s="91" t="s">
        <v>58</v>
      </c>
      <c r="I556" s="102"/>
      <c r="J556" s="93"/>
      <c r="K556" s="93"/>
      <c r="L556" s="94" t="b">
        <v>0</v>
      </c>
      <c r="M556" s="94" t="b">
        <v>0</v>
      </c>
      <c r="N556" s="95"/>
      <c r="O556" s="95"/>
      <c r="P556" s="96">
        <f t="shared" si="85"/>
        <v>0</v>
      </c>
      <c r="Q556" s="95"/>
      <c r="R556" s="93"/>
      <c r="S556" s="95"/>
      <c r="T556" s="95"/>
      <c r="U556" s="96">
        <f t="shared" si="86"/>
        <v>0</v>
      </c>
      <c r="V556" s="93"/>
      <c r="W556" s="93"/>
      <c r="X556" s="93"/>
      <c r="Y556" s="93"/>
      <c r="Z556" s="91"/>
      <c r="AA556" s="93"/>
      <c r="AB556" s="91"/>
      <c r="AC556" s="91"/>
      <c r="AD556" s="91"/>
      <c r="AE556" s="93"/>
      <c r="AF556" s="93"/>
      <c r="AG556" s="99"/>
      <c r="AH556" s="99"/>
      <c r="AI556" s="99"/>
    </row>
    <row r="557" spans="1:35" ht="15">
      <c r="A557" s="113"/>
      <c r="B557" s="113"/>
      <c r="C557" s="113"/>
      <c r="D557" s="159" t="s">
        <v>460</v>
      </c>
      <c r="E557" s="163" t="s">
        <v>461</v>
      </c>
      <c r="F557" s="159" t="s">
        <v>462</v>
      </c>
      <c r="G557" s="165"/>
      <c r="H557" s="91" t="s">
        <v>49</v>
      </c>
      <c r="I557" s="103"/>
      <c r="J557" s="93"/>
      <c r="K557" s="93"/>
      <c r="L557" s="94" t="b">
        <v>0</v>
      </c>
      <c r="M557" s="94" t="b">
        <v>0</v>
      </c>
      <c r="N557" s="95"/>
      <c r="O557" s="95"/>
      <c r="P557" s="96">
        <f t="shared" si="85"/>
        <v>0</v>
      </c>
      <c r="Q557" s="95"/>
      <c r="R557" s="93"/>
      <c r="S557" s="95"/>
      <c r="T557" s="95"/>
      <c r="U557" s="96">
        <f t="shared" si="86"/>
        <v>0</v>
      </c>
      <c r="V557" s="93"/>
      <c r="W557" s="93"/>
      <c r="X557" s="93"/>
      <c r="Y557" s="93"/>
      <c r="Z557" s="91"/>
      <c r="AA557" s="93"/>
      <c r="AB557" s="91"/>
      <c r="AC557" s="91"/>
      <c r="AD557" s="91"/>
      <c r="AE557" s="93"/>
      <c r="AF557" s="93"/>
      <c r="AG557" s="99"/>
      <c r="AH557" s="99"/>
      <c r="AI557" s="101"/>
    </row>
    <row r="558" spans="1:35" ht="15">
      <c r="A558" s="113"/>
      <c r="B558" s="113"/>
      <c r="C558" s="113"/>
      <c r="D558" s="155"/>
      <c r="E558" s="155"/>
      <c r="F558" s="155"/>
      <c r="G558" s="155"/>
      <c r="H558" s="91" t="s">
        <v>58</v>
      </c>
      <c r="I558" s="103"/>
      <c r="J558" s="93"/>
      <c r="K558" s="93"/>
      <c r="L558" s="94" t="b">
        <v>0</v>
      </c>
      <c r="M558" s="94" t="b">
        <v>0</v>
      </c>
      <c r="N558" s="95"/>
      <c r="O558" s="95"/>
      <c r="P558" s="96">
        <f t="shared" si="85"/>
        <v>0</v>
      </c>
      <c r="Q558" s="95"/>
      <c r="R558" s="93"/>
      <c r="S558" s="95"/>
      <c r="T558" s="95"/>
      <c r="U558" s="96">
        <f t="shared" si="86"/>
        <v>0</v>
      </c>
      <c r="V558" s="93"/>
      <c r="W558" s="93"/>
      <c r="X558" s="97"/>
      <c r="Y558" s="97"/>
      <c r="Z558" s="98"/>
      <c r="AA558" s="97"/>
      <c r="AB558" s="98"/>
      <c r="AC558" s="98"/>
      <c r="AD558" s="98"/>
      <c r="AE558" s="93"/>
      <c r="AF558" s="93"/>
      <c r="AG558" s="99"/>
      <c r="AH558" s="99"/>
      <c r="AI558" s="101"/>
    </row>
    <row r="559" spans="1:35" ht="15">
      <c r="A559" s="113"/>
      <c r="B559" s="113"/>
      <c r="C559" s="113"/>
      <c r="D559" s="159" t="s">
        <v>453</v>
      </c>
      <c r="E559" s="159" t="s">
        <v>463</v>
      </c>
      <c r="F559" s="159" t="s">
        <v>464</v>
      </c>
      <c r="G559" s="165"/>
      <c r="H559" s="91" t="s">
        <v>465</v>
      </c>
      <c r="I559" s="103"/>
      <c r="J559" s="93"/>
      <c r="K559" s="93"/>
      <c r="L559" s="94" t="b">
        <v>0</v>
      </c>
      <c r="M559" s="94" t="b">
        <v>0</v>
      </c>
      <c r="N559" s="95"/>
      <c r="O559" s="95"/>
      <c r="P559" s="96">
        <f t="shared" si="85"/>
        <v>0</v>
      </c>
      <c r="Q559" s="95"/>
      <c r="R559" s="93"/>
      <c r="S559" s="95"/>
      <c r="T559" s="95"/>
      <c r="U559" s="96">
        <f t="shared" si="86"/>
        <v>0</v>
      </c>
      <c r="V559" s="93"/>
      <c r="W559" s="93"/>
      <c r="X559" s="97"/>
      <c r="Y559" s="97"/>
      <c r="Z559" s="98"/>
      <c r="AA559" s="97"/>
      <c r="AB559" s="98"/>
      <c r="AC559" s="98"/>
      <c r="AD559" s="98"/>
      <c r="AE559" s="93"/>
      <c r="AF559" s="93"/>
      <c r="AG559" s="99"/>
      <c r="AH559" s="99"/>
      <c r="AI559" s="101"/>
    </row>
    <row r="560" spans="1:35" ht="15">
      <c r="A560" s="113"/>
      <c r="B560" s="113"/>
      <c r="C560" s="113"/>
      <c r="D560" s="155"/>
      <c r="E560" s="155"/>
      <c r="F560" s="155"/>
      <c r="G560" s="155"/>
      <c r="H560" s="91" t="s">
        <v>58</v>
      </c>
      <c r="I560" s="103"/>
      <c r="J560" s="93"/>
      <c r="K560" s="93"/>
      <c r="L560" s="94" t="b">
        <v>0</v>
      </c>
      <c r="M560" s="94" t="b">
        <v>0</v>
      </c>
      <c r="N560" s="95"/>
      <c r="O560" s="95"/>
      <c r="P560" s="96">
        <f t="shared" si="85"/>
        <v>0</v>
      </c>
      <c r="Q560" s="95"/>
      <c r="R560" s="93"/>
      <c r="S560" s="95"/>
      <c r="T560" s="95"/>
      <c r="U560" s="96">
        <f t="shared" si="86"/>
        <v>0</v>
      </c>
      <c r="V560" s="93"/>
      <c r="W560" s="93"/>
      <c r="X560" s="97"/>
      <c r="Y560" s="97"/>
      <c r="Z560" s="98"/>
      <c r="AA560" s="97"/>
      <c r="AB560" s="98"/>
      <c r="AC560" s="98"/>
      <c r="AD560" s="98"/>
      <c r="AE560" s="93"/>
      <c r="AF560" s="93"/>
      <c r="AG560" s="99"/>
      <c r="AH560" s="99"/>
      <c r="AI560" s="101"/>
    </row>
  </sheetData>
  <mergeCells count="1162">
    <mergeCell ref="A392:A395"/>
    <mergeCell ref="D392:D393"/>
    <mergeCell ref="D413:D414"/>
    <mergeCell ref="D415:D416"/>
    <mergeCell ref="F415:F416"/>
    <mergeCell ref="G415:G416"/>
    <mergeCell ref="D407:D408"/>
    <mergeCell ref="E407:E408"/>
    <mergeCell ref="D409:D410"/>
    <mergeCell ref="E409:E410"/>
    <mergeCell ref="D411:D412"/>
    <mergeCell ref="E411:E412"/>
    <mergeCell ref="E413:E414"/>
    <mergeCell ref="E415:E416"/>
    <mergeCell ref="F468:F469"/>
    <mergeCell ref="F471:F472"/>
    <mergeCell ref="F452:F453"/>
    <mergeCell ref="F454:F455"/>
    <mergeCell ref="F458:F459"/>
    <mergeCell ref="F460:F461"/>
    <mergeCell ref="F462:F463"/>
    <mergeCell ref="F464:F465"/>
    <mergeCell ref="F466:F467"/>
    <mergeCell ref="A379:A382"/>
    <mergeCell ref="B379:B382"/>
    <mergeCell ref="C379:C382"/>
    <mergeCell ref="E379:E380"/>
    <mergeCell ref="F379:F380"/>
    <mergeCell ref="G379:G380"/>
    <mergeCell ref="G381:G382"/>
    <mergeCell ref="E385:E386"/>
    <mergeCell ref="E387:E388"/>
    <mergeCell ref="F387:F388"/>
    <mergeCell ref="G387:G388"/>
    <mergeCell ref="E389:E390"/>
    <mergeCell ref="F389:F390"/>
    <mergeCell ref="G389:G390"/>
    <mergeCell ref="E381:E382"/>
    <mergeCell ref="F381:F382"/>
    <mergeCell ref="E383:E384"/>
    <mergeCell ref="F383:F384"/>
    <mergeCell ref="G383:G384"/>
    <mergeCell ref="F385:F386"/>
    <mergeCell ref="G385:G386"/>
    <mergeCell ref="D379:D380"/>
    <mergeCell ref="D381:D382"/>
    <mergeCell ref="D383:D384"/>
    <mergeCell ref="D385:D386"/>
    <mergeCell ref="D387:D388"/>
    <mergeCell ref="D389:D390"/>
    <mergeCell ref="E372:E373"/>
    <mergeCell ref="F372:F373"/>
    <mergeCell ref="G372:G373"/>
    <mergeCell ref="D366:D367"/>
    <mergeCell ref="D368:D369"/>
    <mergeCell ref="F368:F369"/>
    <mergeCell ref="D370:D371"/>
    <mergeCell ref="E370:E371"/>
    <mergeCell ref="F370:F371"/>
    <mergeCell ref="D372:D373"/>
    <mergeCell ref="D374:D375"/>
    <mergeCell ref="E374:E375"/>
    <mergeCell ref="F374:F375"/>
    <mergeCell ref="G374:G375"/>
    <mergeCell ref="E376:E377"/>
    <mergeCell ref="F376:F377"/>
    <mergeCell ref="G376:G377"/>
    <mergeCell ref="D376:D377"/>
    <mergeCell ref="D348:D349"/>
    <mergeCell ref="D350:D351"/>
    <mergeCell ref="A353:A356"/>
    <mergeCell ref="B353:B356"/>
    <mergeCell ref="C353:C356"/>
    <mergeCell ref="D353:D354"/>
    <mergeCell ref="D355:D356"/>
    <mergeCell ref="D357:D358"/>
    <mergeCell ref="D359:D360"/>
    <mergeCell ref="D361:D362"/>
    <mergeCell ref="D363:D364"/>
    <mergeCell ref="A366:A369"/>
    <mergeCell ref="B366:B369"/>
    <mergeCell ref="C366:C369"/>
    <mergeCell ref="G366:G367"/>
    <mergeCell ref="G368:G369"/>
    <mergeCell ref="G370:G371"/>
    <mergeCell ref="G350:G351"/>
    <mergeCell ref="G353:G354"/>
    <mergeCell ref="G355:G356"/>
    <mergeCell ref="G357:G358"/>
    <mergeCell ref="G359:G360"/>
    <mergeCell ref="G361:G362"/>
    <mergeCell ref="G363:G364"/>
    <mergeCell ref="D542:D543"/>
    <mergeCell ref="E542:E543"/>
    <mergeCell ref="D544:D545"/>
    <mergeCell ref="E544:E545"/>
    <mergeCell ref="D342:D343"/>
    <mergeCell ref="E342:E343"/>
    <mergeCell ref="D344:D345"/>
    <mergeCell ref="E344:E345"/>
    <mergeCell ref="D346:D347"/>
    <mergeCell ref="E346:E347"/>
    <mergeCell ref="E348:E349"/>
    <mergeCell ref="F342:F343"/>
    <mergeCell ref="G342:G343"/>
    <mergeCell ref="F344:F345"/>
    <mergeCell ref="G344:G345"/>
    <mergeCell ref="F346:F347"/>
    <mergeCell ref="G346:G347"/>
    <mergeCell ref="G348:G349"/>
    <mergeCell ref="F363:F364"/>
    <mergeCell ref="F366:F367"/>
    <mergeCell ref="F348:F349"/>
    <mergeCell ref="F350:F351"/>
    <mergeCell ref="F353:F354"/>
    <mergeCell ref="F355:F356"/>
    <mergeCell ref="F357:F358"/>
    <mergeCell ref="F359:F360"/>
    <mergeCell ref="F361:F362"/>
    <mergeCell ref="E366:E367"/>
    <mergeCell ref="E368:E369"/>
    <mergeCell ref="E350:E351"/>
    <mergeCell ref="E353:E354"/>
    <mergeCell ref="E355:E356"/>
    <mergeCell ref="B536:B539"/>
    <mergeCell ref="C536:C539"/>
    <mergeCell ref="E536:E537"/>
    <mergeCell ref="F536:F537"/>
    <mergeCell ref="G536:G537"/>
    <mergeCell ref="D538:D539"/>
    <mergeCell ref="E538:E539"/>
    <mergeCell ref="D523:D524"/>
    <mergeCell ref="D525:D526"/>
    <mergeCell ref="D527:D528"/>
    <mergeCell ref="D529:D530"/>
    <mergeCell ref="D531:D532"/>
    <mergeCell ref="D533:D534"/>
    <mergeCell ref="A536:A539"/>
    <mergeCell ref="D536:D537"/>
    <mergeCell ref="D540:D541"/>
    <mergeCell ref="E540:E541"/>
    <mergeCell ref="G557:G558"/>
    <mergeCell ref="G559:G560"/>
    <mergeCell ref="F518:F519"/>
    <mergeCell ref="A523:A526"/>
    <mergeCell ref="B523:B526"/>
    <mergeCell ref="C523:C526"/>
    <mergeCell ref="E523:E524"/>
    <mergeCell ref="F523:F524"/>
    <mergeCell ref="G523:G524"/>
    <mergeCell ref="G525:G526"/>
    <mergeCell ref="E529:E530"/>
    <mergeCell ref="E531:E532"/>
    <mergeCell ref="F531:F532"/>
    <mergeCell ref="G531:G532"/>
    <mergeCell ref="E533:E534"/>
    <mergeCell ref="F533:F534"/>
    <mergeCell ref="G533:G534"/>
    <mergeCell ref="E525:E526"/>
    <mergeCell ref="F525:F526"/>
    <mergeCell ref="E527:E528"/>
    <mergeCell ref="F527:F528"/>
    <mergeCell ref="G527:G528"/>
    <mergeCell ref="F529:F530"/>
    <mergeCell ref="G529:G530"/>
    <mergeCell ref="F538:F539"/>
    <mergeCell ref="G538:G539"/>
    <mergeCell ref="F540:F541"/>
    <mergeCell ref="G540:G541"/>
    <mergeCell ref="F542:F543"/>
    <mergeCell ref="G542:G543"/>
    <mergeCell ref="F544:F545"/>
    <mergeCell ref="G544:G545"/>
    <mergeCell ref="F516:F517"/>
    <mergeCell ref="G516:G517"/>
    <mergeCell ref="G518:G519"/>
    <mergeCell ref="D549:D550"/>
    <mergeCell ref="E549:E550"/>
    <mergeCell ref="F549:F550"/>
    <mergeCell ref="G549:G550"/>
    <mergeCell ref="D546:D547"/>
    <mergeCell ref="E546:E547"/>
    <mergeCell ref="F546:F547"/>
    <mergeCell ref="G546:G547"/>
    <mergeCell ref="A549:A552"/>
    <mergeCell ref="B549:B552"/>
    <mergeCell ref="C549:C552"/>
    <mergeCell ref="D557:D558"/>
    <mergeCell ref="D559:D560"/>
    <mergeCell ref="D551:D552"/>
    <mergeCell ref="E551:E552"/>
    <mergeCell ref="D553:D554"/>
    <mergeCell ref="E553:E554"/>
    <mergeCell ref="D555:D556"/>
    <mergeCell ref="E555:E556"/>
    <mergeCell ref="E557:E558"/>
    <mergeCell ref="E559:E560"/>
    <mergeCell ref="F557:F558"/>
    <mergeCell ref="F559:F560"/>
    <mergeCell ref="F551:F552"/>
    <mergeCell ref="G551:G552"/>
    <mergeCell ref="F553:F554"/>
    <mergeCell ref="G553:G554"/>
    <mergeCell ref="F555:F556"/>
    <mergeCell ref="G555:G556"/>
    <mergeCell ref="E505:E506"/>
    <mergeCell ref="F505:F506"/>
    <mergeCell ref="G505:G506"/>
    <mergeCell ref="D507:D508"/>
    <mergeCell ref="E507:E508"/>
    <mergeCell ref="F510:F511"/>
    <mergeCell ref="G510:G511"/>
    <mergeCell ref="F507:F508"/>
    <mergeCell ref="G507:G508"/>
    <mergeCell ref="A510:A513"/>
    <mergeCell ref="B510:B513"/>
    <mergeCell ref="C510:C513"/>
    <mergeCell ref="D510:D511"/>
    <mergeCell ref="E510:E511"/>
    <mergeCell ref="F512:F513"/>
    <mergeCell ref="G512:G513"/>
    <mergeCell ref="F514:F515"/>
    <mergeCell ref="G514:G515"/>
    <mergeCell ref="A497:A500"/>
    <mergeCell ref="D497:D498"/>
    <mergeCell ref="D518:D519"/>
    <mergeCell ref="D520:D521"/>
    <mergeCell ref="F520:F521"/>
    <mergeCell ref="G520:G521"/>
    <mergeCell ref="D512:D513"/>
    <mergeCell ref="E512:E513"/>
    <mergeCell ref="D514:D515"/>
    <mergeCell ref="E514:E515"/>
    <mergeCell ref="D516:D517"/>
    <mergeCell ref="E516:E517"/>
    <mergeCell ref="E518:E519"/>
    <mergeCell ref="E520:E521"/>
    <mergeCell ref="F499:F500"/>
    <mergeCell ref="G499:G500"/>
    <mergeCell ref="B497:B500"/>
    <mergeCell ref="C497:C500"/>
    <mergeCell ref="E497:E498"/>
    <mergeCell ref="F497:F498"/>
    <mergeCell ref="G497:G498"/>
    <mergeCell ref="D499:D500"/>
    <mergeCell ref="E499:E500"/>
    <mergeCell ref="D501:D502"/>
    <mergeCell ref="E501:E502"/>
    <mergeCell ref="F501:F502"/>
    <mergeCell ref="G501:G502"/>
    <mergeCell ref="E503:E504"/>
    <mergeCell ref="F503:F504"/>
    <mergeCell ref="G503:G504"/>
    <mergeCell ref="D503:D504"/>
    <mergeCell ref="D505:D506"/>
    <mergeCell ref="A484:A487"/>
    <mergeCell ref="B484:B487"/>
    <mergeCell ref="C484:C487"/>
    <mergeCell ref="E484:E485"/>
    <mergeCell ref="F484:F485"/>
    <mergeCell ref="G484:G485"/>
    <mergeCell ref="G486:G487"/>
    <mergeCell ref="E490:E491"/>
    <mergeCell ref="E492:E493"/>
    <mergeCell ref="F492:F493"/>
    <mergeCell ref="G492:G493"/>
    <mergeCell ref="E494:E495"/>
    <mergeCell ref="F494:F495"/>
    <mergeCell ref="G494:G495"/>
    <mergeCell ref="E486:E487"/>
    <mergeCell ref="F486:F487"/>
    <mergeCell ref="E488:E489"/>
    <mergeCell ref="F488:F489"/>
    <mergeCell ref="G488:G489"/>
    <mergeCell ref="F490:F491"/>
    <mergeCell ref="G490:G491"/>
    <mergeCell ref="D484:D485"/>
    <mergeCell ref="D486:D487"/>
    <mergeCell ref="D488:D489"/>
    <mergeCell ref="D490:D491"/>
    <mergeCell ref="D492:D493"/>
    <mergeCell ref="D494:D495"/>
    <mergeCell ref="E477:E478"/>
    <mergeCell ref="F477:F478"/>
    <mergeCell ref="G477:G478"/>
    <mergeCell ref="D471:D472"/>
    <mergeCell ref="D473:D474"/>
    <mergeCell ref="F473:F474"/>
    <mergeCell ref="D475:D476"/>
    <mergeCell ref="E475:E476"/>
    <mergeCell ref="F475:F476"/>
    <mergeCell ref="D477:D478"/>
    <mergeCell ref="D479:D480"/>
    <mergeCell ref="E479:E480"/>
    <mergeCell ref="F479:F480"/>
    <mergeCell ref="G479:G480"/>
    <mergeCell ref="E481:E482"/>
    <mergeCell ref="F481:F482"/>
    <mergeCell ref="G481:G482"/>
    <mergeCell ref="D481:D482"/>
    <mergeCell ref="A458:A461"/>
    <mergeCell ref="B458:B461"/>
    <mergeCell ref="C458:C461"/>
    <mergeCell ref="D458:D459"/>
    <mergeCell ref="D460:D461"/>
    <mergeCell ref="D462:D463"/>
    <mergeCell ref="D464:D465"/>
    <mergeCell ref="D466:D467"/>
    <mergeCell ref="D468:D469"/>
    <mergeCell ref="A471:A474"/>
    <mergeCell ref="B471:B474"/>
    <mergeCell ref="C471:C474"/>
    <mergeCell ref="G471:G472"/>
    <mergeCell ref="G473:G474"/>
    <mergeCell ref="G475:G476"/>
    <mergeCell ref="G454:G455"/>
    <mergeCell ref="G458:G459"/>
    <mergeCell ref="G460:G461"/>
    <mergeCell ref="G462:G463"/>
    <mergeCell ref="G464:G465"/>
    <mergeCell ref="G466:G467"/>
    <mergeCell ref="G468:G469"/>
    <mergeCell ref="E471:E472"/>
    <mergeCell ref="E473:E474"/>
    <mergeCell ref="E454:E455"/>
    <mergeCell ref="E458:E459"/>
    <mergeCell ref="E460:E461"/>
    <mergeCell ref="E462:E463"/>
    <mergeCell ref="E464:E465"/>
    <mergeCell ref="E466:E467"/>
    <mergeCell ref="E468:E469"/>
    <mergeCell ref="D444:D445"/>
    <mergeCell ref="E444:E445"/>
    <mergeCell ref="F444:F445"/>
    <mergeCell ref="G444:G445"/>
    <mergeCell ref="D441:D442"/>
    <mergeCell ref="E441:E442"/>
    <mergeCell ref="F441:F442"/>
    <mergeCell ref="G441:G442"/>
    <mergeCell ref="D452:D453"/>
    <mergeCell ref="D454:D455"/>
    <mergeCell ref="A431:A434"/>
    <mergeCell ref="D431:D432"/>
    <mergeCell ref="D435:D436"/>
    <mergeCell ref="E435:E436"/>
    <mergeCell ref="D437:D438"/>
    <mergeCell ref="E437:E438"/>
    <mergeCell ref="D439:D440"/>
    <mergeCell ref="E439:E440"/>
    <mergeCell ref="D446:D447"/>
    <mergeCell ref="E446:E447"/>
    <mergeCell ref="D448:D449"/>
    <mergeCell ref="E448:E449"/>
    <mergeCell ref="D450:D451"/>
    <mergeCell ref="E450:E451"/>
    <mergeCell ref="E452:E453"/>
    <mergeCell ref="F446:F447"/>
    <mergeCell ref="G446:G447"/>
    <mergeCell ref="F448:F449"/>
    <mergeCell ref="G448:G449"/>
    <mergeCell ref="F450:F451"/>
    <mergeCell ref="G450:G451"/>
    <mergeCell ref="G452:G453"/>
    <mergeCell ref="A444:A447"/>
    <mergeCell ref="B444:B447"/>
    <mergeCell ref="C444:C447"/>
    <mergeCell ref="F437:F438"/>
    <mergeCell ref="G437:G438"/>
    <mergeCell ref="F439:F440"/>
    <mergeCell ref="G439:G440"/>
    <mergeCell ref="B431:B434"/>
    <mergeCell ref="C431:C434"/>
    <mergeCell ref="E431:E432"/>
    <mergeCell ref="F431:F432"/>
    <mergeCell ref="G431:G432"/>
    <mergeCell ref="D433:D434"/>
    <mergeCell ref="E433:E434"/>
    <mergeCell ref="D418:D419"/>
    <mergeCell ref="D420:D421"/>
    <mergeCell ref="D422:D423"/>
    <mergeCell ref="D424:D425"/>
    <mergeCell ref="D426:D427"/>
    <mergeCell ref="D428:D429"/>
    <mergeCell ref="E424:E425"/>
    <mergeCell ref="E426:E427"/>
    <mergeCell ref="F426:F427"/>
    <mergeCell ref="G426:G427"/>
    <mergeCell ref="E428:E429"/>
    <mergeCell ref="F428:F429"/>
    <mergeCell ref="G428:G429"/>
    <mergeCell ref="E420:E421"/>
    <mergeCell ref="F420:F421"/>
    <mergeCell ref="E422:E423"/>
    <mergeCell ref="F422:F423"/>
    <mergeCell ref="G422:G423"/>
    <mergeCell ref="F424:F425"/>
    <mergeCell ref="G424:G425"/>
    <mergeCell ref="F433:F434"/>
    <mergeCell ref="G433:G434"/>
    <mergeCell ref="F435:F436"/>
    <mergeCell ref="G435:G436"/>
    <mergeCell ref="A405:A408"/>
    <mergeCell ref="B405:B408"/>
    <mergeCell ref="C405:C408"/>
    <mergeCell ref="D405:D406"/>
    <mergeCell ref="E405:E406"/>
    <mergeCell ref="F407:F408"/>
    <mergeCell ref="G407:G408"/>
    <mergeCell ref="F409:F410"/>
    <mergeCell ref="G409:G410"/>
    <mergeCell ref="F411:F412"/>
    <mergeCell ref="G411:G412"/>
    <mergeCell ref="G413:G414"/>
    <mergeCell ref="F413:F414"/>
    <mergeCell ref="A418:A421"/>
    <mergeCell ref="B418:B421"/>
    <mergeCell ref="C418:C421"/>
    <mergeCell ref="E418:E419"/>
    <mergeCell ref="F418:F419"/>
    <mergeCell ref="G418:G419"/>
    <mergeCell ref="G420:G421"/>
    <mergeCell ref="D396:D397"/>
    <mergeCell ref="E396:E397"/>
    <mergeCell ref="F396:F397"/>
    <mergeCell ref="G396:G397"/>
    <mergeCell ref="E398:E399"/>
    <mergeCell ref="F398:F399"/>
    <mergeCell ref="G398:G399"/>
    <mergeCell ref="D398:D399"/>
    <mergeCell ref="D400:D401"/>
    <mergeCell ref="E400:E401"/>
    <mergeCell ref="F400:F401"/>
    <mergeCell ref="G400:G401"/>
    <mergeCell ref="D402:D403"/>
    <mergeCell ref="E402:E403"/>
    <mergeCell ref="F405:F406"/>
    <mergeCell ref="G405:G406"/>
    <mergeCell ref="F402:F403"/>
    <mergeCell ref="G402:G403"/>
    <mergeCell ref="A327:A330"/>
    <mergeCell ref="D327:D328"/>
    <mergeCell ref="D331:D332"/>
    <mergeCell ref="E331:E332"/>
    <mergeCell ref="D333:D334"/>
    <mergeCell ref="E333:E334"/>
    <mergeCell ref="D335:D336"/>
    <mergeCell ref="E335:E336"/>
    <mergeCell ref="F394:F395"/>
    <mergeCell ref="G394:G395"/>
    <mergeCell ref="B392:B395"/>
    <mergeCell ref="C392:C395"/>
    <mergeCell ref="E392:E393"/>
    <mergeCell ref="F392:F393"/>
    <mergeCell ref="G392:G393"/>
    <mergeCell ref="D394:D395"/>
    <mergeCell ref="E394:E395"/>
    <mergeCell ref="E357:E358"/>
    <mergeCell ref="E359:E360"/>
    <mergeCell ref="E361:E362"/>
    <mergeCell ref="E363:E364"/>
    <mergeCell ref="D340:D341"/>
    <mergeCell ref="E340:E341"/>
    <mergeCell ref="F340:F341"/>
    <mergeCell ref="G340:G341"/>
    <mergeCell ref="D337:D338"/>
    <mergeCell ref="E337:E338"/>
    <mergeCell ref="F337:F338"/>
    <mergeCell ref="G337:G338"/>
    <mergeCell ref="A340:A343"/>
    <mergeCell ref="B340:B343"/>
    <mergeCell ref="C340:C343"/>
    <mergeCell ref="F329:F330"/>
    <mergeCell ref="G329:G330"/>
    <mergeCell ref="F331:F332"/>
    <mergeCell ref="G331:G332"/>
    <mergeCell ref="F333:F334"/>
    <mergeCell ref="G333:G334"/>
    <mergeCell ref="F335:F336"/>
    <mergeCell ref="G335:G336"/>
    <mergeCell ref="B327:B330"/>
    <mergeCell ref="C327:C330"/>
    <mergeCell ref="E327:E328"/>
    <mergeCell ref="F327:F328"/>
    <mergeCell ref="G327:G328"/>
    <mergeCell ref="D329:D330"/>
    <mergeCell ref="E329:E330"/>
    <mergeCell ref="D314:D315"/>
    <mergeCell ref="D316:D317"/>
    <mergeCell ref="D318:D319"/>
    <mergeCell ref="D320:D321"/>
    <mergeCell ref="D322:D323"/>
    <mergeCell ref="D324:D325"/>
    <mergeCell ref="G309:G310"/>
    <mergeCell ref="F309:F310"/>
    <mergeCell ref="A314:A317"/>
    <mergeCell ref="B314:B317"/>
    <mergeCell ref="C314:C317"/>
    <mergeCell ref="E314:E315"/>
    <mergeCell ref="F314:F315"/>
    <mergeCell ref="G314:G315"/>
    <mergeCell ref="G316:G317"/>
    <mergeCell ref="E320:E321"/>
    <mergeCell ref="E322:E323"/>
    <mergeCell ref="F322:F323"/>
    <mergeCell ref="G322:G323"/>
    <mergeCell ref="E324:E325"/>
    <mergeCell ref="F324:F325"/>
    <mergeCell ref="G324:G325"/>
    <mergeCell ref="E316:E317"/>
    <mergeCell ref="F316:F317"/>
    <mergeCell ref="E318:E319"/>
    <mergeCell ref="F318:F319"/>
    <mergeCell ref="G318:G319"/>
    <mergeCell ref="F320:F321"/>
    <mergeCell ref="G320:G321"/>
    <mergeCell ref="G296:G297"/>
    <mergeCell ref="D298:D299"/>
    <mergeCell ref="E298:E299"/>
    <mergeCell ref="F301:F302"/>
    <mergeCell ref="G301:G302"/>
    <mergeCell ref="F298:F299"/>
    <mergeCell ref="G298:G299"/>
    <mergeCell ref="A301:A304"/>
    <mergeCell ref="B301:B304"/>
    <mergeCell ref="C301:C304"/>
    <mergeCell ref="D301:D302"/>
    <mergeCell ref="E301:E302"/>
    <mergeCell ref="F303:F304"/>
    <mergeCell ref="G303:G304"/>
    <mergeCell ref="F305:F306"/>
    <mergeCell ref="G305:G306"/>
    <mergeCell ref="F307:F308"/>
    <mergeCell ref="G307:G308"/>
    <mergeCell ref="D309:D310"/>
    <mergeCell ref="D311:D312"/>
    <mergeCell ref="F311:F312"/>
    <mergeCell ref="G311:G312"/>
    <mergeCell ref="D303:D304"/>
    <mergeCell ref="E303:E304"/>
    <mergeCell ref="D305:D306"/>
    <mergeCell ref="E305:E306"/>
    <mergeCell ref="D307:D308"/>
    <mergeCell ref="E307:E308"/>
    <mergeCell ref="E309:E310"/>
    <mergeCell ref="E311:E312"/>
    <mergeCell ref="F290:F291"/>
    <mergeCell ref="G290:G291"/>
    <mergeCell ref="B288:B291"/>
    <mergeCell ref="C288:C291"/>
    <mergeCell ref="E288:E289"/>
    <mergeCell ref="F288:F289"/>
    <mergeCell ref="G288:G289"/>
    <mergeCell ref="D290:D291"/>
    <mergeCell ref="E290:E291"/>
    <mergeCell ref="D292:D293"/>
    <mergeCell ref="E292:E293"/>
    <mergeCell ref="F292:F293"/>
    <mergeCell ref="G292:G293"/>
    <mergeCell ref="E294:E295"/>
    <mergeCell ref="F294:F295"/>
    <mergeCell ref="G294:G295"/>
    <mergeCell ref="D294:D295"/>
    <mergeCell ref="D296:D297"/>
    <mergeCell ref="E296:E297"/>
    <mergeCell ref="F296:F297"/>
    <mergeCell ref="E285:E286"/>
    <mergeCell ref="F285:F286"/>
    <mergeCell ref="G285:G286"/>
    <mergeCell ref="E277:E278"/>
    <mergeCell ref="F277:F278"/>
    <mergeCell ref="E279:E280"/>
    <mergeCell ref="F279:F280"/>
    <mergeCell ref="G279:G280"/>
    <mergeCell ref="F281:F282"/>
    <mergeCell ref="G281:G282"/>
    <mergeCell ref="D275:D276"/>
    <mergeCell ref="D277:D278"/>
    <mergeCell ref="D279:D280"/>
    <mergeCell ref="D281:D282"/>
    <mergeCell ref="D283:D284"/>
    <mergeCell ref="D285:D286"/>
    <mergeCell ref="A288:A291"/>
    <mergeCell ref="D288:D289"/>
    <mergeCell ref="D270:D271"/>
    <mergeCell ref="E270:E271"/>
    <mergeCell ref="F270:F271"/>
    <mergeCell ref="G270:G271"/>
    <mergeCell ref="E272:E273"/>
    <mergeCell ref="F272:F273"/>
    <mergeCell ref="G272:G273"/>
    <mergeCell ref="D272:D273"/>
    <mergeCell ref="A275:A278"/>
    <mergeCell ref="B275:B278"/>
    <mergeCell ref="C275:C278"/>
    <mergeCell ref="E275:E276"/>
    <mergeCell ref="F275:F276"/>
    <mergeCell ref="G275:G276"/>
    <mergeCell ref="G277:G278"/>
    <mergeCell ref="E281:E282"/>
    <mergeCell ref="E283:E284"/>
    <mergeCell ref="F283:F284"/>
    <mergeCell ref="G283:G284"/>
    <mergeCell ref="A262:A265"/>
    <mergeCell ref="B262:B265"/>
    <mergeCell ref="C262:C265"/>
    <mergeCell ref="G262:G263"/>
    <mergeCell ref="G264:G265"/>
    <mergeCell ref="G266:G267"/>
    <mergeCell ref="G246:G247"/>
    <mergeCell ref="G249:G250"/>
    <mergeCell ref="G251:G252"/>
    <mergeCell ref="G253:G254"/>
    <mergeCell ref="G255:G256"/>
    <mergeCell ref="G257:G258"/>
    <mergeCell ref="G259:G260"/>
    <mergeCell ref="E268:E269"/>
    <mergeCell ref="F268:F269"/>
    <mergeCell ref="G268:G269"/>
    <mergeCell ref="D262:D263"/>
    <mergeCell ref="D264:D265"/>
    <mergeCell ref="F264:F265"/>
    <mergeCell ref="D266:D267"/>
    <mergeCell ref="E266:E267"/>
    <mergeCell ref="F266:F267"/>
    <mergeCell ref="D268:D269"/>
    <mergeCell ref="D233:D234"/>
    <mergeCell ref="E233:E234"/>
    <mergeCell ref="F233:F234"/>
    <mergeCell ref="G233:G234"/>
    <mergeCell ref="A236:A239"/>
    <mergeCell ref="B236:B239"/>
    <mergeCell ref="C236:C239"/>
    <mergeCell ref="D244:D245"/>
    <mergeCell ref="D246:D247"/>
    <mergeCell ref="A249:A252"/>
    <mergeCell ref="B249:B252"/>
    <mergeCell ref="C249:C252"/>
    <mergeCell ref="D249:D250"/>
    <mergeCell ref="D251:D252"/>
    <mergeCell ref="D253:D254"/>
    <mergeCell ref="D255:D256"/>
    <mergeCell ref="D257:D258"/>
    <mergeCell ref="G238:G239"/>
    <mergeCell ref="F240:F241"/>
    <mergeCell ref="G240:G241"/>
    <mergeCell ref="F242:F243"/>
    <mergeCell ref="G242:G243"/>
    <mergeCell ref="G244:G245"/>
    <mergeCell ref="E262:E263"/>
    <mergeCell ref="E264:E265"/>
    <mergeCell ref="E246:E247"/>
    <mergeCell ref="E249:E250"/>
    <mergeCell ref="E251:E252"/>
    <mergeCell ref="E253:E254"/>
    <mergeCell ref="E255:E256"/>
    <mergeCell ref="E257:E258"/>
    <mergeCell ref="E259:E260"/>
    <mergeCell ref="D236:D237"/>
    <mergeCell ref="E236:E237"/>
    <mergeCell ref="F236:F237"/>
    <mergeCell ref="G236:G237"/>
    <mergeCell ref="D259:D260"/>
    <mergeCell ref="F259:F260"/>
    <mergeCell ref="F262:F263"/>
    <mergeCell ref="F244:F245"/>
    <mergeCell ref="F246:F247"/>
    <mergeCell ref="F249:F250"/>
    <mergeCell ref="F251:F252"/>
    <mergeCell ref="F253:F254"/>
    <mergeCell ref="F255:F256"/>
    <mergeCell ref="F257:F258"/>
    <mergeCell ref="D238:D239"/>
    <mergeCell ref="E238:E239"/>
    <mergeCell ref="D240:D241"/>
    <mergeCell ref="E240:E241"/>
    <mergeCell ref="D242:D243"/>
    <mergeCell ref="E242:E243"/>
    <mergeCell ref="E244:E245"/>
    <mergeCell ref="F238:F239"/>
    <mergeCell ref="E181:E182"/>
    <mergeCell ref="F181:F182"/>
    <mergeCell ref="G181:G182"/>
    <mergeCell ref="E173:E174"/>
    <mergeCell ref="F173:F174"/>
    <mergeCell ref="E175:E176"/>
    <mergeCell ref="F175:F176"/>
    <mergeCell ref="G175:G176"/>
    <mergeCell ref="F177:F178"/>
    <mergeCell ref="G177:G178"/>
    <mergeCell ref="D171:D172"/>
    <mergeCell ref="D173:D174"/>
    <mergeCell ref="D175:D176"/>
    <mergeCell ref="D177:D178"/>
    <mergeCell ref="D179:D180"/>
    <mergeCell ref="D181:D182"/>
    <mergeCell ref="A184:A187"/>
    <mergeCell ref="D184:D185"/>
    <mergeCell ref="D166:D167"/>
    <mergeCell ref="E166:E167"/>
    <mergeCell ref="F166:F167"/>
    <mergeCell ref="G166:G167"/>
    <mergeCell ref="E168:E169"/>
    <mergeCell ref="F168:F169"/>
    <mergeCell ref="G168:G169"/>
    <mergeCell ref="D168:D169"/>
    <mergeCell ref="A171:A174"/>
    <mergeCell ref="B171:B174"/>
    <mergeCell ref="C171:C174"/>
    <mergeCell ref="E171:E172"/>
    <mergeCell ref="F171:F172"/>
    <mergeCell ref="G171:G172"/>
    <mergeCell ref="G173:G174"/>
    <mergeCell ref="E177:E178"/>
    <mergeCell ref="E179:E180"/>
    <mergeCell ref="F179:F180"/>
    <mergeCell ref="G179:G180"/>
    <mergeCell ref="G162:G163"/>
    <mergeCell ref="G142:G143"/>
    <mergeCell ref="G145:G146"/>
    <mergeCell ref="G147:G148"/>
    <mergeCell ref="G149:G150"/>
    <mergeCell ref="G151:G152"/>
    <mergeCell ref="G153:G154"/>
    <mergeCell ref="G155:G156"/>
    <mergeCell ref="E164:E165"/>
    <mergeCell ref="F164:F165"/>
    <mergeCell ref="G164:G165"/>
    <mergeCell ref="D158:D159"/>
    <mergeCell ref="D160:D161"/>
    <mergeCell ref="F160:F161"/>
    <mergeCell ref="D162:D163"/>
    <mergeCell ref="E162:E163"/>
    <mergeCell ref="F162:F163"/>
    <mergeCell ref="D164:D165"/>
    <mergeCell ref="G129:G130"/>
    <mergeCell ref="A132:A135"/>
    <mergeCell ref="B132:B135"/>
    <mergeCell ref="C132:C135"/>
    <mergeCell ref="D140:D141"/>
    <mergeCell ref="D142:D143"/>
    <mergeCell ref="A145:A148"/>
    <mergeCell ref="B145:B148"/>
    <mergeCell ref="C145:C148"/>
    <mergeCell ref="D145:D146"/>
    <mergeCell ref="D147:D148"/>
    <mergeCell ref="D149:D150"/>
    <mergeCell ref="D151:D152"/>
    <mergeCell ref="D153:D154"/>
    <mergeCell ref="D155:D156"/>
    <mergeCell ref="A158:A161"/>
    <mergeCell ref="B158:B161"/>
    <mergeCell ref="C158:C161"/>
    <mergeCell ref="G158:G159"/>
    <mergeCell ref="G160:G161"/>
    <mergeCell ref="A223:A226"/>
    <mergeCell ref="D223:D224"/>
    <mergeCell ref="D227:D228"/>
    <mergeCell ref="E227:E228"/>
    <mergeCell ref="D229:D230"/>
    <mergeCell ref="E229:E230"/>
    <mergeCell ref="D231:D232"/>
    <mergeCell ref="E231:E232"/>
    <mergeCell ref="D134:D135"/>
    <mergeCell ref="E134:E135"/>
    <mergeCell ref="D136:D137"/>
    <mergeCell ref="E136:E137"/>
    <mergeCell ref="D138:D139"/>
    <mergeCell ref="E138:E139"/>
    <mergeCell ref="E140:E141"/>
    <mergeCell ref="F134:F135"/>
    <mergeCell ref="G134:G135"/>
    <mergeCell ref="F136:F137"/>
    <mergeCell ref="G136:G137"/>
    <mergeCell ref="F138:F139"/>
    <mergeCell ref="G138:G139"/>
    <mergeCell ref="G140:G141"/>
    <mergeCell ref="F155:F156"/>
    <mergeCell ref="F158:F159"/>
    <mergeCell ref="F140:F141"/>
    <mergeCell ref="F142:F143"/>
    <mergeCell ref="F145:F146"/>
    <mergeCell ref="F147:F148"/>
    <mergeCell ref="F149:F150"/>
    <mergeCell ref="F151:F152"/>
    <mergeCell ref="F153:F154"/>
    <mergeCell ref="E158:E159"/>
    <mergeCell ref="F229:F230"/>
    <mergeCell ref="G229:G230"/>
    <mergeCell ref="F231:F232"/>
    <mergeCell ref="G231:G232"/>
    <mergeCell ref="B223:B226"/>
    <mergeCell ref="C223:C226"/>
    <mergeCell ref="E223:E224"/>
    <mergeCell ref="F223:F224"/>
    <mergeCell ref="G223:G224"/>
    <mergeCell ref="D225:D226"/>
    <mergeCell ref="E225:E226"/>
    <mergeCell ref="D210:D211"/>
    <mergeCell ref="D212:D213"/>
    <mergeCell ref="D214:D215"/>
    <mergeCell ref="D216:D217"/>
    <mergeCell ref="D218:D219"/>
    <mergeCell ref="D220:D221"/>
    <mergeCell ref="E216:E217"/>
    <mergeCell ref="E218:E219"/>
    <mergeCell ref="F218:F219"/>
    <mergeCell ref="G218:G219"/>
    <mergeCell ref="E220:E221"/>
    <mergeCell ref="F220:F221"/>
    <mergeCell ref="G220:G221"/>
    <mergeCell ref="E212:E213"/>
    <mergeCell ref="F212:F213"/>
    <mergeCell ref="E214:E215"/>
    <mergeCell ref="F214:F215"/>
    <mergeCell ref="G214:G215"/>
    <mergeCell ref="F216:F217"/>
    <mergeCell ref="G216:G217"/>
    <mergeCell ref="F225:F226"/>
    <mergeCell ref="G225:G226"/>
    <mergeCell ref="F227:F228"/>
    <mergeCell ref="G227:G228"/>
    <mergeCell ref="A197:A200"/>
    <mergeCell ref="B197:B200"/>
    <mergeCell ref="C197:C200"/>
    <mergeCell ref="D197:D198"/>
    <mergeCell ref="E197:E198"/>
    <mergeCell ref="F199:F200"/>
    <mergeCell ref="G199:G200"/>
    <mergeCell ref="F201:F202"/>
    <mergeCell ref="G201:G202"/>
    <mergeCell ref="F203:F204"/>
    <mergeCell ref="G203:G204"/>
    <mergeCell ref="G205:G206"/>
    <mergeCell ref="F205:F206"/>
    <mergeCell ref="A210:A213"/>
    <mergeCell ref="B210:B213"/>
    <mergeCell ref="C210:C213"/>
    <mergeCell ref="E210:E211"/>
    <mergeCell ref="F210:F211"/>
    <mergeCell ref="G210:G211"/>
    <mergeCell ref="G212:G213"/>
    <mergeCell ref="D205:D206"/>
    <mergeCell ref="D207:D208"/>
    <mergeCell ref="F207:F208"/>
    <mergeCell ref="G207:G208"/>
    <mergeCell ref="D199:D200"/>
    <mergeCell ref="E199:E200"/>
    <mergeCell ref="D201:D202"/>
    <mergeCell ref="E201:E202"/>
    <mergeCell ref="D203:D204"/>
    <mergeCell ref="E203:E204"/>
    <mergeCell ref="E205:E206"/>
    <mergeCell ref="E207:E208"/>
    <mergeCell ref="D188:D189"/>
    <mergeCell ref="E188:E189"/>
    <mergeCell ref="F188:F189"/>
    <mergeCell ref="G188:G189"/>
    <mergeCell ref="E190:E191"/>
    <mergeCell ref="F190:F191"/>
    <mergeCell ref="G190:G191"/>
    <mergeCell ref="D190:D191"/>
    <mergeCell ref="D192:D193"/>
    <mergeCell ref="E192:E193"/>
    <mergeCell ref="F192:F193"/>
    <mergeCell ref="G192:G193"/>
    <mergeCell ref="D194:D195"/>
    <mergeCell ref="E194:E195"/>
    <mergeCell ref="F197:F198"/>
    <mergeCell ref="G197:G198"/>
    <mergeCell ref="F194:F195"/>
    <mergeCell ref="G194:G195"/>
    <mergeCell ref="A119:A122"/>
    <mergeCell ref="D119:D120"/>
    <mergeCell ref="D123:D124"/>
    <mergeCell ref="E123:E124"/>
    <mergeCell ref="D125:D126"/>
    <mergeCell ref="E125:E126"/>
    <mergeCell ref="D127:D128"/>
    <mergeCell ref="E127:E128"/>
    <mergeCell ref="F186:F187"/>
    <mergeCell ref="G186:G187"/>
    <mergeCell ref="B184:B187"/>
    <mergeCell ref="C184:C187"/>
    <mergeCell ref="E184:E185"/>
    <mergeCell ref="F184:F185"/>
    <mergeCell ref="G184:G185"/>
    <mergeCell ref="D186:D187"/>
    <mergeCell ref="E186:E187"/>
    <mergeCell ref="E160:E161"/>
    <mergeCell ref="E142:E143"/>
    <mergeCell ref="E145:E146"/>
    <mergeCell ref="E147:E148"/>
    <mergeCell ref="E149:E150"/>
    <mergeCell ref="E151:E152"/>
    <mergeCell ref="E153:E154"/>
    <mergeCell ref="E155:E156"/>
    <mergeCell ref="D132:D133"/>
    <mergeCell ref="E132:E133"/>
    <mergeCell ref="F132:F133"/>
    <mergeCell ref="G132:G133"/>
    <mergeCell ref="D129:D130"/>
    <mergeCell ref="E129:E130"/>
    <mergeCell ref="F129:F130"/>
    <mergeCell ref="F125:F126"/>
    <mergeCell ref="G125:G126"/>
    <mergeCell ref="F127:F128"/>
    <mergeCell ref="G127:G128"/>
    <mergeCell ref="B119:B122"/>
    <mergeCell ref="C119:C122"/>
    <mergeCell ref="E119:E120"/>
    <mergeCell ref="F119:F120"/>
    <mergeCell ref="G119:G120"/>
    <mergeCell ref="D121:D122"/>
    <mergeCell ref="E121:E122"/>
    <mergeCell ref="D106:D107"/>
    <mergeCell ref="D108:D109"/>
    <mergeCell ref="D110:D111"/>
    <mergeCell ref="D112:D113"/>
    <mergeCell ref="D114:D115"/>
    <mergeCell ref="D116:D117"/>
    <mergeCell ref="E112:E113"/>
    <mergeCell ref="E114:E115"/>
    <mergeCell ref="F114:F115"/>
    <mergeCell ref="G114:G115"/>
    <mergeCell ref="E116:E117"/>
    <mergeCell ref="F116:F117"/>
    <mergeCell ref="G116:G117"/>
    <mergeCell ref="E108:E109"/>
    <mergeCell ref="F108:F109"/>
    <mergeCell ref="E110:E111"/>
    <mergeCell ref="F110:F111"/>
    <mergeCell ref="G110:G111"/>
    <mergeCell ref="F112:F113"/>
    <mergeCell ref="G112:G113"/>
    <mergeCell ref="F121:F122"/>
    <mergeCell ref="G121:G122"/>
    <mergeCell ref="F123:F124"/>
    <mergeCell ref="G123:G124"/>
    <mergeCell ref="D103:D104"/>
    <mergeCell ref="F103:F104"/>
    <mergeCell ref="G103:G104"/>
    <mergeCell ref="D95:D96"/>
    <mergeCell ref="E95:E96"/>
    <mergeCell ref="D97:D98"/>
    <mergeCell ref="E97:E98"/>
    <mergeCell ref="D99:D100"/>
    <mergeCell ref="E99:E100"/>
    <mergeCell ref="E101:E102"/>
    <mergeCell ref="E103:E104"/>
    <mergeCell ref="F101:F102"/>
    <mergeCell ref="A106:A109"/>
    <mergeCell ref="B106:B109"/>
    <mergeCell ref="C106:C109"/>
    <mergeCell ref="E106:E107"/>
    <mergeCell ref="F106:F107"/>
    <mergeCell ref="G106:G107"/>
    <mergeCell ref="G108:G109"/>
    <mergeCell ref="D47:D48"/>
    <mergeCell ref="D49:D50"/>
    <mergeCell ref="D51:D52"/>
    <mergeCell ref="A54:A57"/>
    <mergeCell ref="B54:B57"/>
    <mergeCell ref="C54:C57"/>
    <mergeCell ref="G54:G55"/>
    <mergeCell ref="G56:G57"/>
    <mergeCell ref="G58:G59"/>
    <mergeCell ref="G38:G39"/>
    <mergeCell ref="G41:G42"/>
    <mergeCell ref="G43:G44"/>
    <mergeCell ref="G45:G46"/>
    <mergeCell ref="G47:G48"/>
    <mergeCell ref="G49:G50"/>
    <mergeCell ref="G51:G52"/>
    <mergeCell ref="D101:D102"/>
    <mergeCell ref="D28:D29"/>
    <mergeCell ref="E28:E29"/>
    <mergeCell ref="F28:F29"/>
    <mergeCell ref="G28:G29"/>
    <mergeCell ref="D25:D26"/>
    <mergeCell ref="E25:E26"/>
    <mergeCell ref="F25:F26"/>
    <mergeCell ref="G25:G26"/>
    <mergeCell ref="A28:A31"/>
    <mergeCell ref="B28:B31"/>
    <mergeCell ref="C28:C31"/>
    <mergeCell ref="D36:D37"/>
    <mergeCell ref="D38:D39"/>
    <mergeCell ref="A41:A44"/>
    <mergeCell ref="B41:B44"/>
    <mergeCell ref="C41:C44"/>
    <mergeCell ref="D41:D42"/>
    <mergeCell ref="D43:D44"/>
    <mergeCell ref="D30:D31"/>
    <mergeCell ref="E30:E31"/>
    <mergeCell ref="D32:D33"/>
    <mergeCell ref="E32:E33"/>
    <mergeCell ref="D34:D35"/>
    <mergeCell ref="E34:E35"/>
    <mergeCell ref="E36:E37"/>
    <mergeCell ref="F30:F31"/>
    <mergeCell ref="G30:G31"/>
    <mergeCell ref="F32:F33"/>
    <mergeCell ref="G32:G33"/>
    <mergeCell ref="F34:F35"/>
    <mergeCell ref="G34:G35"/>
    <mergeCell ref="G36:G37"/>
    <mergeCell ref="F51:F52"/>
    <mergeCell ref="F54:F55"/>
    <mergeCell ref="F36:F37"/>
    <mergeCell ref="F38:F39"/>
    <mergeCell ref="F41:F42"/>
    <mergeCell ref="F43:F44"/>
    <mergeCell ref="F45:F46"/>
    <mergeCell ref="F47:F48"/>
    <mergeCell ref="F49:F50"/>
    <mergeCell ref="E54:E55"/>
    <mergeCell ref="E38:E39"/>
    <mergeCell ref="E41:E42"/>
    <mergeCell ref="E43:E44"/>
    <mergeCell ref="E45:E46"/>
    <mergeCell ref="E47:E48"/>
    <mergeCell ref="E49:E50"/>
    <mergeCell ref="E51:E52"/>
    <mergeCell ref="D45:D46"/>
    <mergeCell ref="G21:G22"/>
    <mergeCell ref="F23:F24"/>
    <mergeCell ref="G23:G24"/>
    <mergeCell ref="B15:B18"/>
    <mergeCell ref="C15:C18"/>
    <mergeCell ref="E15:E16"/>
    <mergeCell ref="F15:F16"/>
    <mergeCell ref="G15:G16"/>
    <mergeCell ref="D17:D18"/>
    <mergeCell ref="E17:E18"/>
    <mergeCell ref="D2:D3"/>
    <mergeCell ref="D4:D5"/>
    <mergeCell ref="D6:D7"/>
    <mergeCell ref="D8:D9"/>
    <mergeCell ref="D10:D11"/>
    <mergeCell ref="D12:D13"/>
    <mergeCell ref="A15:A18"/>
    <mergeCell ref="D15:D16"/>
    <mergeCell ref="D19:D20"/>
    <mergeCell ref="E19:E20"/>
    <mergeCell ref="D21:D22"/>
    <mergeCell ref="E21:E22"/>
    <mergeCell ref="D23:D24"/>
    <mergeCell ref="E23:E24"/>
    <mergeCell ref="F97:F98"/>
    <mergeCell ref="G97:G98"/>
    <mergeCell ref="F99:F100"/>
    <mergeCell ref="G99:G100"/>
    <mergeCell ref="G101:G102"/>
    <mergeCell ref="J1:K1"/>
    <mergeCell ref="A2:A5"/>
    <mergeCell ref="B2:B5"/>
    <mergeCell ref="C2:C5"/>
    <mergeCell ref="E2:E3"/>
    <mergeCell ref="F2:F3"/>
    <mergeCell ref="G2:G3"/>
    <mergeCell ref="G4:G5"/>
    <mergeCell ref="E8:E9"/>
    <mergeCell ref="E10:E11"/>
    <mergeCell ref="F10:F11"/>
    <mergeCell ref="G10:G11"/>
    <mergeCell ref="E12:E13"/>
    <mergeCell ref="F12:F13"/>
    <mergeCell ref="G12:G13"/>
    <mergeCell ref="E4:E5"/>
    <mergeCell ref="F4:F5"/>
    <mergeCell ref="E6:E7"/>
    <mergeCell ref="F6:F7"/>
    <mergeCell ref="G6:G7"/>
    <mergeCell ref="F8:F9"/>
    <mergeCell ref="G8:G9"/>
    <mergeCell ref="F17:F18"/>
    <mergeCell ref="G17:G18"/>
    <mergeCell ref="F19:F20"/>
    <mergeCell ref="G19:G20"/>
    <mergeCell ref="F21:F22"/>
    <mergeCell ref="D88:D89"/>
    <mergeCell ref="E88:E89"/>
    <mergeCell ref="F88:F89"/>
    <mergeCell ref="G88:G89"/>
    <mergeCell ref="D90:D91"/>
    <mergeCell ref="E90:E91"/>
    <mergeCell ref="F93:F94"/>
    <mergeCell ref="G93:G94"/>
    <mergeCell ref="F90:F91"/>
    <mergeCell ref="G90:G91"/>
    <mergeCell ref="A93:A96"/>
    <mergeCell ref="B93:B96"/>
    <mergeCell ref="C93:C96"/>
    <mergeCell ref="D93:D94"/>
    <mergeCell ref="E93:E94"/>
    <mergeCell ref="F95:F96"/>
    <mergeCell ref="G95:G96"/>
    <mergeCell ref="A80:A83"/>
    <mergeCell ref="D80:D81"/>
    <mergeCell ref="F82:F83"/>
    <mergeCell ref="G82:G83"/>
    <mergeCell ref="B80:B83"/>
    <mergeCell ref="C80:C83"/>
    <mergeCell ref="E80:E81"/>
    <mergeCell ref="F80:F81"/>
    <mergeCell ref="G80:G81"/>
    <mergeCell ref="D82:D83"/>
    <mergeCell ref="E82:E83"/>
    <mergeCell ref="D84:D85"/>
    <mergeCell ref="E84:E85"/>
    <mergeCell ref="F84:F85"/>
    <mergeCell ref="G84:G85"/>
    <mergeCell ref="E86:E87"/>
    <mergeCell ref="F86:F87"/>
    <mergeCell ref="G86:G87"/>
    <mergeCell ref="D86:D87"/>
    <mergeCell ref="A67:A70"/>
    <mergeCell ref="B67:B70"/>
    <mergeCell ref="C67:C70"/>
    <mergeCell ref="E67:E68"/>
    <mergeCell ref="F67:F68"/>
    <mergeCell ref="G67:G68"/>
    <mergeCell ref="G69:G70"/>
    <mergeCell ref="E73:E74"/>
    <mergeCell ref="E75:E76"/>
    <mergeCell ref="F75:F76"/>
    <mergeCell ref="G75:G76"/>
    <mergeCell ref="E77:E78"/>
    <mergeCell ref="F77:F78"/>
    <mergeCell ref="G77:G78"/>
    <mergeCell ref="E69:E70"/>
    <mergeCell ref="F69:F70"/>
    <mergeCell ref="E71:E72"/>
    <mergeCell ref="F71:F72"/>
    <mergeCell ref="G71:G72"/>
    <mergeCell ref="F73:F74"/>
    <mergeCell ref="G73:G74"/>
    <mergeCell ref="D67:D68"/>
    <mergeCell ref="D69:D70"/>
    <mergeCell ref="D71:D72"/>
    <mergeCell ref="D73:D74"/>
    <mergeCell ref="D75:D76"/>
    <mergeCell ref="D77:D78"/>
    <mergeCell ref="E60:E61"/>
    <mergeCell ref="F60:F61"/>
    <mergeCell ref="G60:G61"/>
    <mergeCell ref="D54:D55"/>
    <mergeCell ref="D56:D57"/>
    <mergeCell ref="F56:F57"/>
    <mergeCell ref="D58:D59"/>
    <mergeCell ref="E58:E59"/>
    <mergeCell ref="F58:F59"/>
    <mergeCell ref="D60:D61"/>
    <mergeCell ref="D62:D63"/>
    <mergeCell ref="E62:E63"/>
    <mergeCell ref="F62:F63"/>
    <mergeCell ref="G62:G63"/>
    <mergeCell ref="E64:E65"/>
    <mergeCell ref="F64:F65"/>
    <mergeCell ref="G64:G65"/>
    <mergeCell ref="D64:D65"/>
    <mergeCell ref="E56:E5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I5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75" customHeight="1"/>
  <cols>
    <col min="1" max="1" width="20.140625" customWidth="1"/>
    <col min="2" max="2" width="6.85546875" customWidth="1"/>
    <col min="3" max="3" width="11.7109375" customWidth="1"/>
    <col min="4" max="4" width="8.7109375" customWidth="1"/>
    <col min="5" max="5" width="18.42578125" customWidth="1"/>
    <col min="6" max="6" width="16.28515625" customWidth="1"/>
    <col min="7" max="7" width="28.85546875" customWidth="1"/>
    <col min="8" max="8" width="6.85546875" customWidth="1"/>
    <col min="10" max="13" width="10.7109375" customWidth="1"/>
    <col min="14" max="14" width="12.140625" customWidth="1"/>
    <col min="15" max="15" width="10.7109375" customWidth="1"/>
    <col min="16" max="16" width="10.85546875" customWidth="1"/>
    <col min="17" max="17" width="9.85546875" customWidth="1"/>
    <col min="18" max="18" width="9.42578125" customWidth="1"/>
    <col min="19" max="19" width="14.140625" customWidth="1"/>
    <col min="21" max="21" width="11.140625" customWidth="1"/>
    <col min="22" max="22" width="9.5703125" customWidth="1"/>
    <col min="23" max="23" width="14.5703125" customWidth="1"/>
    <col min="24" max="24" width="12.85546875" customWidth="1"/>
    <col min="27" max="27" width="19.28515625" customWidth="1"/>
    <col min="28" max="28" width="11.5703125" customWidth="1"/>
    <col min="29" max="29" width="13.85546875" customWidth="1"/>
    <col min="30" max="30" width="12.7109375" customWidth="1"/>
  </cols>
  <sheetData>
    <row r="1" spans="1:35" ht="12.75">
      <c r="A1" s="138" t="s">
        <v>0</v>
      </c>
      <c r="B1" s="138" t="s">
        <v>3</v>
      </c>
      <c r="C1" s="138" t="s">
        <v>4</v>
      </c>
      <c r="D1" s="139" t="s">
        <v>444</v>
      </c>
      <c r="E1" s="139" t="s">
        <v>5</v>
      </c>
      <c r="F1" s="139" t="s">
        <v>445</v>
      </c>
      <c r="G1" s="140" t="s">
        <v>6</v>
      </c>
      <c r="H1" s="139" t="s">
        <v>7</v>
      </c>
      <c r="I1" s="141" t="s">
        <v>8</v>
      </c>
      <c r="J1" s="179" t="s">
        <v>446</v>
      </c>
      <c r="K1" s="155"/>
      <c r="L1" s="140" t="s">
        <v>447</v>
      </c>
      <c r="M1" s="140" t="s">
        <v>448</v>
      </c>
      <c r="N1" s="142" t="s">
        <v>9</v>
      </c>
      <c r="O1" s="142" t="s">
        <v>10</v>
      </c>
      <c r="P1" s="143" t="s">
        <v>11</v>
      </c>
      <c r="Q1" s="144" t="s">
        <v>449</v>
      </c>
      <c r="R1" s="145" t="s">
        <v>450</v>
      </c>
      <c r="S1" s="142" t="s">
        <v>12</v>
      </c>
      <c r="T1" s="142" t="s">
        <v>13</v>
      </c>
      <c r="U1" s="143" t="s">
        <v>14</v>
      </c>
      <c r="V1" s="140" t="s">
        <v>15</v>
      </c>
      <c r="W1" s="140" t="s">
        <v>16</v>
      </c>
      <c r="X1" s="140" t="s">
        <v>17</v>
      </c>
      <c r="Y1" s="140" t="s">
        <v>18</v>
      </c>
      <c r="Z1" s="139" t="s">
        <v>19</v>
      </c>
      <c r="AA1" s="140" t="s">
        <v>20</v>
      </c>
      <c r="AB1" s="139" t="s">
        <v>21</v>
      </c>
      <c r="AC1" s="145" t="s">
        <v>451</v>
      </c>
      <c r="AD1" s="146" t="s">
        <v>452</v>
      </c>
      <c r="AE1" s="140" t="s">
        <v>22</v>
      </c>
      <c r="AF1" s="140" t="s">
        <v>23</v>
      </c>
      <c r="AG1" s="140" t="s">
        <v>24</v>
      </c>
      <c r="AH1" s="140" t="s">
        <v>25</v>
      </c>
      <c r="AI1" s="140" t="s">
        <v>26</v>
      </c>
    </row>
    <row r="2" spans="1:35" ht="12.75">
      <c r="A2" s="162" t="s">
        <v>44</v>
      </c>
      <c r="B2" s="162" t="s">
        <v>45</v>
      </c>
      <c r="C2" s="162" t="s">
        <v>46</v>
      </c>
      <c r="D2" s="162" t="s">
        <v>453</v>
      </c>
      <c r="E2" s="160" t="s">
        <v>47</v>
      </c>
      <c r="F2" s="162" t="s">
        <v>454</v>
      </c>
      <c r="G2" s="164"/>
      <c r="H2" s="77" t="s">
        <v>49</v>
      </c>
      <c r="I2" s="108"/>
      <c r="J2" s="78"/>
      <c r="K2" s="78"/>
      <c r="L2" s="79" t="b">
        <v>0</v>
      </c>
      <c r="M2" s="79" t="b">
        <v>0</v>
      </c>
      <c r="N2" s="81"/>
      <c r="O2" s="81"/>
      <c r="P2" s="80">
        <f t="shared" ref="P2:P13" si="0">N2+O2</f>
        <v>0</v>
      </c>
      <c r="Q2" s="81"/>
      <c r="R2" s="78"/>
      <c r="S2" s="81"/>
      <c r="T2" s="81"/>
      <c r="U2" s="80">
        <f t="shared" ref="U2:U13" si="1">S2+T2</f>
        <v>0</v>
      </c>
      <c r="V2" s="78"/>
      <c r="W2" s="78"/>
      <c r="X2" s="78"/>
      <c r="Y2" s="78"/>
      <c r="Z2" s="77"/>
      <c r="AA2" s="78"/>
      <c r="AB2" s="77"/>
      <c r="AC2" s="77"/>
      <c r="AD2" s="77"/>
      <c r="AE2" s="78"/>
      <c r="AF2" s="78"/>
      <c r="AG2" s="109"/>
      <c r="AH2" s="109"/>
      <c r="AI2" s="78"/>
    </row>
    <row r="3" spans="1:35" ht="12.75">
      <c r="A3" s="155"/>
      <c r="B3" s="155"/>
      <c r="C3" s="155"/>
      <c r="D3" s="155"/>
      <c r="E3" s="155"/>
      <c r="F3" s="155"/>
      <c r="G3" s="155"/>
      <c r="H3" s="85" t="s">
        <v>58</v>
      </c>
      <c r="I3" s="112"/>
      <c r="J3" s="84"/>
      <c r="K3" s="84"/>
      <c r="L3" s="86" t="b">
        <v>0</v>
      </c>
      <c r="M3" s="86" t="b">
        <v>0</v>
      </c>
      <c r="N3" s="83"/>
      <c r="O3" s="83"/>
      <c r="P3" s="87">
        <f t="shared" si="0"/>
        <v>0</v>
      </c>
      <c r="Q3" s="83"/>
      <c r="R3" s="84"/>
      <c r="S3" s="83"/>
      <c r="T3" s="83"/>
      <c r="U3" s="87">
        <f t="shared" si="1"/>
        <v>0</v>
      </c>
      <c r="V3" s="84"/>
      <c r="W3" s="84"/>
      <c r="X3" s="84"/>
      <c r="Y3" s="84"/>
      <c r="Z3" s="85"/>
      <c r="AA3" s="84"/>
      <c r="AB3" s="85"/>
      <c r="AC3" s="85"/>
      <c r="AD3" s="85"/>
      <c r="AE3" s="84"/>
      <c r="AF3" s="84"/>
      <c r="AG3" s="110"/>
      <c r="AH3" s="110"/>
      <c r="AI3" s="84"/>
    </row>
    <row r="4" spans="1:35" ht="12.75">
      <c r="A4" s="155"/>
      <c r="B4" s="155"/>
      <c r="C4" s="155"/>
      <c r="D4" s="157" t="s">
        <v>453</v>
      </c>
      <c r="E4" s="157" t="s">
        <v>59</v>
      </c>
      <c r="F4" s="157" t="s">
        <v>454</v>
      </c>
      <c r="G4" s="158"/>
      <c r="H4" s="5" t="s">
        <v>49</v>
      </c>
      <c r="I4" s="17"/>
      <c r="J4" s="9"/>
      <c r="K4" s="9"/>
      <c r="L4" s="11" t="b">
        <v>0</v>
      </c>
      <c r="M4" s="11" t="b">
        <v>0</v>
      </c>
      <c r="N4" s="7"/>
      <c r="O4" s="7"/>
      <c r="P4" s="8">
        <f t="shared" si="0"/>
        <v>0</v>
      </c>
      <c r="Q4" s="7"/>
      <c r="R4" s="9"/>
      <c r="S4" s="7"/>
      <c r="T4" s="7"/>
      <c r="U4" s="8">
        <f t="shared" si="1"/>
        <v>0</v>
      </c>
      <c r="V4" s="9"/>
      <c r="W4" s="9"/>
      <c r="X4" s="18"/>
      <c r="Y4" s="18"/>
      <c r="Z4" s="19"/>
      <c r="AA4" s="18"/>
      <c r="AB4" s="19"/>
      <c r="AC4" s="19"/>
      <c r="AD4" s="19"/>
      <c r="AE4" s="9"/>
      <c r="AF4" s="9"/>
      <c r="AG4" s="26"/>
      <c r="AH4" s="26"/>
      <c r="AI4" s="89"/>
    </row>
    <row r="5" spans="1:35" ht="12.75">
      <c r="A5" s="155"/>
      <c r="B5" s="155"/>
      <c r="C5" s="155"/>
      <c r="D5" s="155"/>
      <c r="E5" s="155"/>
      <c r="F5" s="155"/>
      <c r="G5" s="155"/>
      <c r="H5" s="5" t="s">
        <v>58</v>
      </c>
      <c r="I5" s="22"/>
      <c r="J5" s="9"/>
      <c r="K5" s="9"/>
      <c r="L5" s="11" t="b">
        <v>0</v>
      </c>
      <c r="M5" s="11" t="b">
        <v>0</v>
      </c>
      <c r="N5" s="7"/>
      <c r="O5" s="7"/>
      <c r="P5" s="8">
        <f t="shared" si="0"/>
        <v>0</v>
      </c>
      <c r="Q5" s="7"/>
      <c r="R5" s="9"/>
      <c r="S5" s="7"/>
      <c r="T5" s="7"/>
      <c r="U5" s="8">
        <f t="shared" si="1"/>
        <v>0</v>
      </c>
      <c r="V5" s="9"/>
      <c r="W5" s="9"/>
      <c r="X5" s="18"/>
      <c r="Y5" s="18"/>
      <c r="Z5" s="19"/>
      <c r="AA5" s="18"/>
      <c r="AB5" s="19"/>
      <c r="AC5" s="19"/>
      <c r="AD5" s="19"/>
      <c r="AE5" s="9"/>
      <c r="AF5" s="9"/>
      <c r="AG5" s="26"/>
      <c r="AH5" s="26"/>
      <c r="AI5" s="9"/>
    </row>
    <row r="6" spans="1:35" ht="15">
      <c r="A6" s="155"/>
      <c r="B6" s="155"/>
      <c r="C6" s="155"/>
      <c r="D6" s="176" t="s">
        <v>455</v>
      </c>
      <c r="E6" s="176" t="s">
        <v>456</v>
      </c>
      <c r="F6" s="177" t="s">
        <v>457</v>
      </c>
      <c r="G6" s="178"/>
      <c r="H6" s="85" t="s">
        <v>458</v>
      </c>
      <c r="I6" s="147"/>
      <c r="J6" s="84"/>
      <c r="K6" s="84"/>
      <c r="L6" s="86" t="b">
        <v>0</v>
      </c>
      <c r="M6" s="86" t="b">
        <v>0</v>
      </c>
      <c r="N6" s="83"/>
      <c r="O6" s="83"/>
      <c r="P6" s="87">
        <f t="shared" si="0"/>
        <v>0</v>
      </c>
      <c r="Q6" s="83"/>
      <c r="R6" s="84"/>
      <c r="S6" s="83"/>
      <c r="T6" s="83"/>
      <c r="U6" s="87">
        <f t="shared" si="1"/>
        <v>0</v>
      </c>
      <c r="V6" s="84"/>
      <c r="W6" s="84"/>
      <c r="X6" s="133"/>
      <c r="Y6" s="133"/>
      <c r="Z6" s="121"/>
      <c r="AA6" s="133"/>
      <c r="AB6" s="121"/>
      <c r="AC6" s="121"/>
      <c r="AD6" s="121"/>
      <c r="AE6" s="84"/>
      <c r="AF6" s="84"/>
      <c r="AG6" s="122"/>
      <c r="AH6" s="122"/>
      <c r="AI6" s="84"/>
    </row>
    <row r="7" spans="1:35" ht="15">
      <c r="A7" s="155"/>
      <c r="B7" s="155"/>
      <c r="C7" s="155"/>
      <c r="D7" s="155"/>
      <c r="E7" s="155"/>
      <c r="F7" s="155"/>
      <c r="G7" s="155"/>
      <c r="H7" s="85" t="s">
        <v>58</v>
      </c>
      <c r="I7" s="147"/>
      <c r="J7" s="84"/>
      <c r="K7" s="84"/>
      <c r="L7" s="86" t="b">
        <v>0</v>
      </c>
      <c r="M7" s="86" t="b">
        <v>0</v>
      </c>
      <c r="N7" s="83"/>
      <c r="O7" s="83"/>
      <c r="P7" s="87">
        <f t="shared" si="0"/>
        <v>0</v>
      </c>
      <c r="Q7" s="83"/>
      <c r="R7" s="84"/>
      <c r="S7" s="83"/>
      <c r="T7" s="83"/>
      <c r="U7" s="87">
        <f t="shared" si="1"/>
        <v>0</v>
      </c>
      <c r="V7" s="84"/>
      <c r="W7" s="84"/>
      <c r="X7" s="133"/>
      <c r="Y7" s="133"/>
      <c r="Z7" s="121"/>
      <c r="AA7" s="133"/>
      <c r="AB7" s="121"/>
      <c r="AC7" s="121"/>
      <c r="AD7" s="121"/>
      <c r="AE7" s="84"/>
      <c r="AF7" s="84"/>
      <c r="AG7" s="122"/>
      <c r="AH7" s="122"/>
      <c r="AI7" s="148"/>
    </row>
    <row r="8" spans="1:35" ht="15">
      <c r="A8" s="155"/>
      <c r="B8" s="155"/>
      <c r="C8" s="155"/>
      <c r="D8" s="157" t="s">
        <v>455</v>
      </c>
      <c r="E8" s="175" t="s">
        <v>459</v>
      </c>
      <c r="F8" s="156" t="s">
        <v>457</v>
      </c>
      <c r="G8" s="158"/>
      <c r="H8" s="5" t="s">
        <v>458</v>
      </c>
      <c r="I8" s="150"/>
      <c r="J8" s="9"/>
      <c r="K8" s="9"/>
      <c r="L8" s="11" t="b">
        <v>0</v>
      </c>
      <c r="M8" s="11" t="b">
        <v>0</v>
      </c>
      <c r="N8" s="7"/>
      <c r="O8" s="7"/>
      <c r="P8" s="8">
        <f t="shared" si="0"/>
        <v>0</v>
      </c>
      <c r="Q8" s="7"/>
      <c r="R8" s="9"/>
      <c r="S8" s="7"/>
      <c r="T8" s="7"/>
      <c r="U8" s="8">
        <f t="shared" si="1"/>
        <v>0</v>
      </c>
      <c r="V8" s="9"/>
      <c r="W8" s="9"/>
      <c r="X8" s="9"/>
      <c r="Y8" s="9"/>
      <c r="Z8" s="5"/>
      <c r="AA8" s="9"/>
      <c r="AB8" s="5"/>
      <c r="AC8" s="5"/>
      <c r="AD8" s="5"/>
      <c r="AE8" s="9"/>
      <c r="AF8" s="9"/>
      <c r="AG8" s="26"/>
      <c r="AH8" s="26"/>
      <c r="AI8" s="151"/>
    </row>
    <row r="9" spans="1:35" ht="12.75">
      <c r="A9" s="155"/>
      <c r="B9" s="155"/>
      <c r="C9" s="155"/>
      <c r="D9" s="155"/>
      <c r="E9" s="155"/>
      <c r="F9" s="155"/>
      <c r="G9" s="155"/>
      <c r="H9" s="5" t="s">
        <v>58</v>
      </c>
      <c r="I9" s="152"/>
      <c r="J9" s="9"/>
      <c r="K9" s="9"/>
      <c r="L9" s="11" t="b">
        <v>0</v>
      </c>
      <c r="M9" s="11" t="b">
        <v>0</v>
      </c>
      <c r="N9" s="7"/>
      <c r="O9" s="7"/>
      <c r="P9" s="8">
        <f t="shared" si="0"/>
        <v>0</v>
      </c>
      <c r="Q9" s="7"/>
      <c r="R9" s="9"/>
      <c r="S9" s="7"/>
      <c r="T9" s="7"/>
      <c r="U9" s="8">
        <f t="shared" si="1"/>
        <v>0</v>
      </c>
      <c r="V9" s="9"/>
      <c r="W9" s="9"/>
      <c r="X9" s="9"/>
      <c r="Y9" s="9"/>
      <c r="Z9" s="5"/>
      <c r="AA9" s="9"/>
      <c r="AB9" s="5"/>
      <c r="AC9" s="5"/>
      <c r="AD9" s="5"/>
      <c r="AE9" s="9"/>
      <c r="AF9" s="9"/>
      <c r="AG9" s="26"/>
      <c r="AH9" s="26"/>
      <c r="AI9" s="26"/>
    </row>
    <row r="10" spans="1:35" ht="15">
      <c r="A10" s="155"/>
      <c r="B10" s="155"/>
      <c r="C10" s="155"/>
      <c r="D10" s="176" t="s">
        <v>460</v>
      </c>
      <c r="E10" s="177" t="s">
        <v>461</v>
      </c>
      <c r="F10" s="176" t="s">
        <v>462</v>
      </c>
      <c r="G10" s="178"/>
      <c r="H10" s="85" t="s">
        <v>49</v>
      </c>
      <c r="I10" s="135"/>
      <c r="J10" s="84"/>
      <c r="K10" s="84"/>
      <c r="L10" s="86" t="b">
        <v>0</v>
      </c>
      <c r="M10" s="86" t="b">
        <v>0</v>
      </c>
      <c r="N10" s="83"/>
      <c r="O10" s="83"/>
      <c r="P10" s="87">
        <f t="shared" si="0"/>
        <v>0</v>
      </c>
      <c r="Q10" s="83"/>
      <c r="R10" s="84"/>
      <c r="S10" s="83"/>
      <c r="T10" s="83"/>
      <c r="U10" s="87">
        <f t="shared" si="1"/>
        <v>0</v>
      </c>
      <c r="V10" s="84"/>
      <c r="W10" s="84"/>
      <c r="X10" s="84"/>
      <c r="Y10" s="84"/>
      <c r="Z10" s="85"/>
      <c r="AA10" s="84"/>
      <c r="AB10" s="85"/>
      <c r="AC10" s="85"/>
      <c r="AD10" s="85"/>
      <c r="AE10" s="84"/>
      <c r="AF10" s="84"/>
      <c r="AG10" s="122"/>
      <c r="AH10" s="122"/>
      <c r="AI10" s="153"/>
    </row>
    <row r="11" spans="1:35" ht="15">
      <c r="A11" s="155"/>
      <c r="B11" s="155"/>
      <c r="C11" s="155"/>
      <c r="D11" s="155"/>
      <c r="E11" s="155"/>
      <c r="F11" s="155"/>
      <c r="G11" s="155"/>
      <c r="H11" s="85" t="s">
        <v>58</v>
      </c>
      <c r="I11" s="135"/>
      <c r="J11" s="84"/>
      <c r="K11" s="84"/>
      <c r="L11" s="86" t="b">
        <v>0</v>
      </c>
      <c r="M11" s="86" t="b">
        <v>0</v>
      </c>
      <c r="N11" s="83"/>
      <c r="O11" s="83"/>
      <c r="P11" s="87">
        <f t="shared" si="0"/>
        <v>0</v>
      </c>
      <c r="Q11" s="83"/>
      <c r="R11" s="84"/>
      <c r="S11" s="83"/>
      <c r="T11" s="83"/>
      <c r="U11" s="87">
        <f t="shared" si="1"/>
        <v>0</v>
      </c>
      <c r="V11" s="84"/>
      <c r="W11" s="84"/>
      <c r="X11" s="133"/>
      <c r="Y11" s="133"/>
      <c r="Z11" s="121"/>
      <c r="AA11" s="133"/>
      <c r="AB11" s="121"/>
      <c r="AC11" s="121"/>
      <c r="AD11" s="121"/>
      <c r="AE11" s="84"/>
      <c r="AF11" s="84"/>
      <c r="AG11" s="122"/>
      <c r="AH11" s="122"/>
      <c r="AI11" s="153"/>
    </row>
    <row r="12" spans="1:35" ht="15">
      <c r="A12" s="155"/>
      <c r="B12" s="155"/>
      <c r="C12" s="155"/>
      <c r="D12" s="157" t="s">
        <v>453</v>
      </c>
      <c r="E12" s="157" t="s">
        <v>463</v>
      </c>
      <c r="F12" s="157" t="s">
        <v>464</v>
      </c>
      <c r="G12" s="158"/>
      <c r="H12" s="5" t="s">
        <v>465</v>
      </c>
      <c r="I12" s="22"/>
      <c r="J12" s="9"/>
      <c r="K12" s="9"/>
      <c r="L12" s="11" t="b">
        <v>0</v>
      </c>
      <c r="M12" s="11" t="b">
        <v>0</v>
      </c>
      <c r="N12" s="7"/>
      <c r="O12" s="7"/>
      <c r="P12" s="8">
        <f t="shared" si="0"/>
        <v>0</v>
      </c>
      <c r="Q12" s="7"/>
      <c r="R12" s="9"/>
      <c r="S12" s="7"/>
      <c r="T12" s="7"/>
      <c r="U12" s="8">
        <f t="shared" si="1"/>
        <v>0</v>
      </c>
      <c r="V12" s="9"/>
      <c r="W12" s="9"/>
      <c r="X12" s="18"/>
      <c r="Y12" s="18"/>
      <c r="Z12" s="19"/>
      <c r="AA12" s="18"/>
      <c r="AB12" s="19"/>
      <c r="AC12" s="19"/>
      <c r="AD12" s="19"/>
      <c r="AE12" s="9"/>
      <c r="AF12" s="9"/>
      <c r="AG12" s="26"/>
      <c r="AH12" s="26"/>
      <c r="AI12" s="151"/>
    </row>
    <row r="13" spans="1:35" ht="15">
      <c r="A13" s="155"/>
      <c r="B13" s="155"/>
      <c r="C13" s="155"/>
      <c r="D13" s="155"/>
      <c r="E13" s="155"/>
      <c r="F13" s="155"/>
      <c r="G13" s="155"/>
      <c r="H13" s="5" t="s">
        <v>58</v>
      </c>
      <c r="I13" s="22"/>
      <c r="J13" s="9"/>
      <c r="K13" s="9"/>
      <c r="L13" s="11" t="b">
        <v>0</v>
      </c>
      <c r="M13" s="11" t="b">
        <v>0</v>
      </c>
      <c r="N13" s="7"/>
      <c r="O13" s="7"/>
      <c r="P13" s="8">
        <f t="shared" si="0"/>
        <v>0</v>
      </c>
      <c r="Q13" s="7"/>
      <c r="R13" s="9"/>
      <c r="S13" s="7"/>
      <c r="T13" s="7"/>
      <c r="U13" s="8">
        <f t="shared" si="1"/>
        <v>0</v>
      </c>
      <c r="V13" s="9"/>
      <c r="W13" s="9"/>
      <c r="X13" s="18"/>
      <c r="Y13" s="18"/>
      <c r="Z13" s="19"/>
      <c r="AA13" s="18"/>
      <c r="AB13" s="19"/>
      <c r="AC13" s="19"/>
      <c r="AD13" s="19"/>
      <c r="AE13" s="9"/>
      <c r="AF13" s="9"/>
      <c r="AG13" s="26"/>
      <c r="AH13" s="26"/>
      <c r="AI13" s="151"/>
    </row>
    <row r="14" spans="1:35" ht="9.75" customHeight="1">
      <c r="A14" s="104"/>
      <c r="B14" s="104"/>
      <c r="C14" s="104"/>
      <c r="D14" s="105"/>
      <c r="E14" s="105"/>
      <c r="F14" s="105"/>
      <c r="G14" s="26"/>
      <c r="H14" s="105"/>
      <c r="I14" s="106"/>
      <c r="J14" s="26"/>
      <c r="K14" s="26"/>
      <c r="L14" s="26"/>
      <c r="M14" s="26"/>
      <c r="N14" s="16"/>
      <c r="O14" s="16"/>
      <c r="P14" s="107"/>
      <c r="Q14" s="16"/>
      <c r="R14" s="26"/>
      <c r="S14" s="16"/>
      <c r="T14" s="16"/>
      <c r="U14" s="107"/>
      <c r="V14" s="26"/>
      <c r="W14" s="26"/>
      <c r="X14" s="26"/>
      <c r="Y14" s="26"/>
      <c r="Z14" s="105"/>
      <c r="AA14" s="26"/>
      <c r="AB14" s="105"/>
      <c r="AC14" s="105"/>
      <c r="AD14" s="105"/>
      <c r="AE14" s="26"/>
      <c r="AF14" s="26"/>
      <c r="AG14" s="26"/>
      <c r="AH14" s="26"/>
      <c r="AI14" s="26"/>
    </row>
    <row r="15" spans="1:35" ht="12.75">
      <c r="A15" s="162" t="s">
        <v>66</v>
      </c>
      <c r="B15" s="162" t="s">
        <v>67</v>
      </c>
      <c r="C15" s="162" t="s">
        <v>66</v>
      </c>
      <c r="D15" s="162" t="s">
        <v>453</v>
      </c>
      <c r="E15" s="160" t="s">
        <v>47</v>
      </c>
      <c r="F15" s="162" t="s">
        <v>454</v>
      </c>
      <c r="G15" s="164"/>
      <c r="H15" s="77" t="s">
        <v>49</v>
      </c>
      <c r="I15" s="108"/>
      <c r="J15" s="78"/>
      <c r="K15" s="78"/>
      <c r="L15" s="79" t="b">
        <v>0</v>
      </c>
      <c r="M15" s="79" t="b">
        <v>0</v>
      </c>
      <c r="N15" s="81"/>
      <c r="O15" s="81"/>
      <c r="P15" s="80">
        <f t="shared" ref="P15:P26" si="2">N15+O15</f>
        <v>0</v>
      </c>
      <c r="Q15" s="81"/>
      <c r="R15" s="78"/>
      <c r="S15" s="81"/>
      <c r="T15" s="81"/>
      <c r="U15" s="80">
        <f t="shared" ref="U15:U26" si="3">S15+T15</f>
        <v>0</v>
      </c>
      <c r="V15" s="78"/>
      <c r="W15" s="78"/>
      <c r="X15" s="78"/>
      <c r="Y15" s="78"/>
      <c r="Z15" s="77"/>
      <c r="AA15" s="78"/>
      <c r="AB15" s="77"/>
      <c r="AC15" s="77"/>
      <c r="AD15" s="77"/>
      <c r="AE15" s="78"/>
      <c r="AF15" s="78"/>
      <c r="AG15" s="109"/>
      <c r="AH15" s="109"/>
      <c r="AI15" s="78"/>
    </row>
    <row r="16" spans="1:35" ht="12.75">
      <c r="A16" s="155"/>
      <c r="B16" s="155"/>
      <c r="C16" s="155"/>
      <c r="D16" s="155"/>
      <c r="E16" s="155"/>
      <c r="F16" s="155"/>
      <c r="G16" s="155"/>
      <c r="H16" s="85" t="s">
        <v>58</v>
      </c>
      <c r="I16" s="112"/>
      <c r="J16" s="84"/>
      <c r="K16" s="84"/>
      <c r="L16" s="86" t="b">
        <v>0</v>
      </c>
      <c r="M16" s="86" t="b">
        <v>0</v>
      </c>
      <c r="N16" s="83"/>
      <c r="O16" s="83"/>
      <c r="P16" s="87">
        <f t="shared" si="2"/>
        <v>0</v>
      </c>
      <c r="Q16" s="83"/>
      <c r="R16" s="84"/>
      <c r="S16" s="83"/>
      <c r="T16" s="83"/>
      <c r="U16" s="87">
        <f t="shared" si="3"/>
        <v>0</v>
      </c>
      <c r="V16" s="84"/>
      <c r="W16" s="84"/>
      <c r="X16" s="84"/>
      <c r="Y16" s="84"/>
      <c r="Z16" s="85"/>
      <c r="AA16" s="84"/>
      <c r="AB16" s="85"/>
      <c r="AC16" s="85"/>
      <c r="AD16" s="85"/>
      <c r="AE16" s="84"/>
      <c r="AF16" s="84"/>
      <c r="AG16" s="110"/>
      <c r="AH16" s="110"/>
      <c r="AI16" s="84"/>
    </row>
    <row r="17" spans="1:35" ht="12.75">
      <c r="A17" s="155"/>
      <c r="B17" s="155"/>
      <c r="C17" s="155"/>
      <c r="D17" s="157" t="s">
        <v>453</v>
      </c>
      <c r="E17" s="157" t="s">
        <v>59</v>
      </c>
      <c r="F17" s="157" t="s">
        <v>454</v>
      </c>
      <c r="G17" s="158"/>
      <c r="H17" s="5" t="s">
        <v>49</v>
      </c>
      <c r="I17" s="17"/>
      <c r="J17" s="9"/>
      <c r="K17" s="9"/>
      <c r="L17" s="11" t="b">
        <v>0</v>
      </c>
      <c r="M17" s="11" t="b">
        <v>0</v>
      </c>
      <c r="N17" s="7"/>
      <c r="O17" s="7"/>
      <c r="P17" s="8">
        <f t="shared" si="2"/>
        <v>0</v>
      </c>
      <c r="Q17" s="7"/>
      <c r="R17" s="9"/>
      <c r="S17" s="7"/>
      <c r="T17" s="7"/>
      <c r="U17" s="8">
        <f t="shared" si="3"/>
        <v>0</v>
      </c>
      <c r="V17" s="9"/>
      <c r="W17" s="9"/>
      <c r="X17" s="18"/>
      <c r="Y17" s="18"/>
      <c r="Z17" s="19"/>
      <c r="AA17" s="18"/>
      <c r="AB17" s="19"/>
      <c r="AC17" s="19"/>
      <c r="AD17" s="19"/>
      <c r="AE17" s="9"/>
      <c r="AF17" s="9"/>
      <c r="AG17" s="26"/>
      <c r="AH17" s="26"/>
      <c r="AI17" s="89"/>
    </row>
    <row r="18" spans="1:35" ht="12.75">
      <c r="A18" s="155"/>
      <c r="B18" s="155"/>
      <c r="C18" s="155"/>
      <c r="D18" s="155"/>
      <c r="E18" s="155"/>
      <c r="F18" s="155"/>
      <c r="G18" s="155"/>
      <c r="H18" s="5" t="s">
        <v>58</v>
      </c>
      <c r="I18" s="22"/>
      <c r="J18" s="9"/>
      <c r="K18" s="9"/>
      <c r="L18" s="11" t="b">
        <v>0</v>
      </c>
      <c r="M18" s="11" t="b">
        <v>0</v>
      </c>
      <c r="N18" s="7"/>
      <c r="O18" s="7"/>
      <c r="P18" s="8">
        <f t="shared" si="2"/>
        <v>0</v>
      </c>
      <c r="Q18" s="7"/>
      <c r="R18" s="9"/>
      <c r="S18" s="7"/>
      <c r="T18" s="7"/>
      <c r="U18" s="8">
        <f t="shared" si="3"/>
        <v>0</v>
      </c>
      <c r="V18" s="9"/>
      <c r="W18" s="9"/>
      <c r="X18" s="18"/>
      <c r="Y18" s="18"/>
      <c r="Z18" s="19"/>
      <c r="AA18" s="18"/>
      <c r="AB18" s="19"/>
      <c r="AC18" s="19"/>
      <c r="AD18" s="19"/>
      <c r="AE18" s="9"/>
      <c r="AF18" s="9"/>
      <c r="AG18" s="26"/>
      <c r="AH18" s="26"/>
      <c r="AI18" s="9"/>
    </row>
    <row r="19" spans="1:35" ht="15">
      <c r="A19" s="155"/>
      <c r="B19" s="155"/>
      <c r="C19" s="155"/>
      <c r="D19" s="176" t="s">
        <v>455</v>
      </c>
      <c r="E19" s="176" t="s">
        <v>456</v>
      </c>
      <c r="F19" s="177" t="s">
        <v>457</v>
      </c>
      <c r="G19" s="178"/>
      <c r="H19" s="85" t="s">
        <v>458</v>
      </c>
      <c r="I19" s="147"/>
      <c r="J19" s="84"/>
      <c r="K19" s="84"/>
      <c r="L19" s="86" t="b">
        <v>0</v>
      </c>
      <c r="M19" s="86" t="b">
        <v>0</v>
      </c>
      <c r="N19" s="83"/>
      <c r="O19" s="83"/>
      <c r="P19" s="87">
        <f t="shared" si="2"/>
        <v>0</v>
      </c>
      <c r="Q19" s="83"/>
      <c r="R19" s="84"/>
      <c r="S19" s="83"/>
      <c r="T19" s="83"/>
      <c r="U19" s="87">
        <f t="shared" si="3"/>
        <v>0</v>
      </c>
      <c r="V19" s="84"/>
      <c r="W19" s="84"/>
      <c r="X19" s="133"/>
      <c r="Y19" s="133"/>
      <c r="Z19" s="121"/>
      <c r="AA19" s="133"/>
      <c r="AB19" s="121"/>
      <c r="AC19" s="121"/>
      <c r="AD19" s="121"/>
      <c r="AE19" s="84"/>
      <c r="AF19" s="84"/>
      <c r="AG19" s="122"/>
      <c r="AH19" s="122"/>
      <c r="AI19" s="84"/>
    </row>
    <row r="20" spans="1:35" ht="15">
      <c r="A20" s="155"/>
      <c r="B20" s="155"/>
      <c r="C20" s="155"/>
      <c r="D20" s="155"/>
      <c r="E20" s="155"/>
      <c r="F20" s="155"/>
      <c r="G20" s="155"/>
      <c r="H20" s="85" t="s">
        <v>58</v>
      </c>
      <c r="I20" s="147"/>
      <c r="J20" s="84"/>
      <c r="K20" s="84"/>
      <c r="L20" s="86" t="b">
        <v>0</v>
      </c>
      <c r="M20" s="86" t="b">
        <v>0</v>
      </c>
      <c r="N20" s="83"/>
      <c r="O20" s="83"/>
      <c r="P20" s="87">
        <f t="shared" si="2"/>
        <v>0</v>
      </c>
      <c r="Q20" s="83"/>
      <c r="R20" s="84"/>
      <c r="S20" s="83"/>
      <c r="T20" s="83"/>
      <c r="U20" s="87">
        <f t="shared" si="3"/>
        <v>0</v>
      </c>
      <c r="V20" s="84"/>
      <c r="W20" s="84"/>
      <c r="X20" s="133"/>
      <c r="Y20" s="133"/>
      <c r="Z20" s="121"/>
      <c r="AA20" s="133"/>
      <c r="AB20" s="121"/>
      <c r="AC20" s="121"/>
      <c r="AD20" s="121"/>
      <c r="AE20" s="84"/>
      <c r="AF20" s="84"/>
      <c r="AG20" s="122"/>
      <c r="AH20" s="122"/>
      <c r="AI20" s="148"/>
    </row>
    <row r="21" spans="1:35" ht="15">
      <c r="A21" s="155"/>
      <c r="B21" s="155"/>
      <c r="C21" s="155"/>
      <c r="D21" s="157" t="s">
        <v>455</v>
      </c>
      <c r="E21" s="175" t="s">
        <v>459</v>
      </c>
      <c r="F21" s="156" t="s">
        <v>457</v>
      </c>
      <c r="G21" s="158"/>
      <c r="H21" s="5" t="s">
        <v>458</v>
      </c>
      <c r="I21" s="150"/>
      <c r="J21" s="9"/>
      <c r="K21" s="9"/>
      <c r="L21" s="11" t="b">
        <v>0</v>
      </c>
      <c r="M21" s="11" t="b">
        <v>0</v>
      </c>
      <c r="N21" s="7"/>
      <c r="O21" s="7"/>
      <c r="P21" s="8">
        <f t="shared" si="2"/>
        <v>0</v>
      </c>
      <c r="Q21" s="7"/>
      <c r="R21" s="9"/>
      <c r="S21" s="7"/>
      <c r="T21" s="7"/>
      <c r="U21" s="8">
        <f t="shared" si="3"/>
        <v>0</v>
      </c>
      <c r="V21" s="9"/>
      <c r="W21" s="9"/>
      <c r="X21" s="9"/>
      <c r="Y21" s="9"/>
      <c r="Z21" s="5"/>
      <c r="AA21" s="9"/>
      <c r="AB21" s="5"/>
      <c r="AC21" s="5"/>
      <c r="AD21" s="5"/>
      <c r="AE21" s="9"/>
      <c r="AF21" s="9"/>
      <c r="AG21" s="26"/>
      <c r="AH21" s="26"/>
      <c r="AI21" s="151"/>
    </row>
    <row r="22" spans="1:35" ht="12.75">
      <c r="A22" s="155"/>
      <c r="B22" s="155"/>
      <c r="C22" s="155"/>
      <c r="D22" s="155"/>
      <c r="E22" s="155"/>
      <c r="F22" s="155"/>
      <c r="G22" s="155"/>
      <c r="H22" s="5" t="s">
        <v>58</v>
      </c>
      <c r="I22" s="152"/>
      <c r="J22" s="9"/>
      <c r="K22" s="9"/>
      <c r="L22" s="11" t="b">
        <v>0</v>
      </c>
      <c r="M22" s="11" t="b">
        <v>0</v>
      </c>
      <c r="N22" s="7"/>
      <c r="O22" s="7"/>
      <c r="P22" s="8">
        <f t="shared" si="2"/>
        <v>0</v>
      </c>
      <c r="Q22" s="7"/>
      <c r="R22" s="9"/>
      <c r="S22" s="7"/>
      <c r="T22" s="7"/>
      <c r="U22" s="8">
        <f t="shared" si="3"/>
        <v>0</v>
      </c>
      <c r="V22" s="9"/>
      <c r="W22" s="9"/>
      <c r="X22" s="9"/>
      <c r="Y22" s="9"/>
      <c r="Z22" s="5"/>
      <c r="AA22" s="9"/>
      <c r="AB22" s="5"/>
      <c r="AC22" s="5"/>
      <c r="AD22" s="5"/>
      <c r="AE22" s="9"/>
      <c r="AF22" s="9"/>
      <c r="AG22" s="26"/>
      <c r="AH22" s="26"/>
      <c r="AI22" s="26"/>
    </row>
    <row r="23" spans="1:35" ht="15">
      <c r="A23" s="155"/>
      <c r="B23" s="155"/>
      <c r="C23" s="155"/>
      <c r="D23" s="176" t="s">
        <v>460</v>
      </c>
      <c r="E23" s="177" t="s">
        <v>461</v>
      </c>
      <c r="F23" s="176" t="s">
        <v>462</v>
      </c>
      <c r="G23" s="178"/>
      <c r="H23" s="85" t="s">
        <v>49</v>
      </c>
      <c r="I23" s="135"/>
      <c r="J23" s="84"/>
      <c r="K23" s="84"/>
      <c r="L23" s="86" t="b">
        <v>0</v>
      </c>
      <c r="M23" s="86" t="b">
        <v>0</v>
      </c>
      <c r="N23" s="83"/>
      <c r="O23" s="83"/>
      <c r="P23" s="87">
        <f t="shared" si="2"/>
        <v>0</v>
      </c>
      <c r="Q23" s="83"/>
      <c r="R23" s="84"/>
      <c r="S23" s="83"/>
      <c r="T23" s="83"/>
      <c r="U23" s="87">
        <f t="shared" si="3"/>
        <v>0</v>
      </c>
      <c r="V23" s="84"/>
      <c r="W23" s="84"/>
      <c r="X23" s="84"/>
      <c r="Y23" s="84"/>
      <c r="Z23" s="85"/>
      <c r="AA23" s="84"/>
      <c r="AB23" s="85"/>
      <c r="AC23" s="85"/>
      <c r="AD23" s="85"/>
      <c r="AE23" s="84"/>
      <c r="AF23" s="84"/>
      <c r="AG23" s="122"/>
      <c r="AH23" s="122"/>
      <c r="AI23" s="153"/>
    </row>
    <row r="24" spans="1:35" ht="15">
      <c r="A24" s="155"/>
      <c r="B24" s="155"/>
      <c r="C24" s="155"/>
      <c r="D24" s="155"/>
      <c r="E24" s="155"/>
      <c r="F24" s="155"/>
      <c r="G24" s="155"/>
      <c r="H24" s="85" t="s">
        <v>58</v>
      </c>
      <c r="I24" s="135"/>
      <c r="J24" s="84"/>
      <c r="K24" s="84"/>
      <c r="L24" s="86" t="b">
        <v>0</v>
      </c>
      <c r="M24" s="86" t="b">
        <v>0</v>
      </c>
      <c r="N24" s="83"/>
      <c r="O24" s="83"/>
      <c r="P24" s="87">
        <f t="shared" si="2"/>
        <v>0</v>
      </c>
      <c r="Q24" s="83"/>
      <c r="R24" s="84"/>
      <c r="S24" s="83"/>
      <c r="T24" s="83"/>
      <c r="U24" s="87">
        <f t="shared" si="3"/>
        <v>0</v>
      </c>
      <c r="V24" s="84"/>
      <c r="W24" s="84"/>
      <c r="X24" s="133"/>
      <c r="Y24" s="133"/>
      <c r="Z24" s="121"/>
      <c r="AA24" s="133"/>
      <c r="AB24" s="121"/>
      <c r="AC24" s="121"/>
      <c r="AD24" s="121"/>
      <c r="AE24" s="84"/>
      <c r="AF24" s="84"/>
      <c r="AG24" s="122"/>
      <c r="AH24" s="122"/>
      <c r="AI24" s="153"/>
    </row>
    <row r="25" spans="1:35" ht="15">
      <c r="A25" s="155"/>
      <c r="B25" s="155"/>
      <c r="C25" s="155"/>
      <c r="D25" s="157" t="s">
        <v>453</v>
      </c>
      <c r="E25" s="157" t="s">
        <v>463</v>
      </c>
      <c r="F25" s="157" t="s">
        <v>464</v>
      </c>
      <c r="G25" s="158"/>
      <c r="H25" s="5" t="s">
        <v>465</v>
      </c>
      <c r="I25" s="22"/>
      <c r="J25" s="9"/>
      <c r="K25" s="9"/>
      <c r="L25" s="11" t="b">
        <v>0</v>
      </c>
      <c r="M25" s="11" t="b">
        <v>0</v>
      </c>
      <c r="N25" s="7"/>
      <c r="O25" s="7"/>
      <c r="P25" s="8">
        <f t="shared" si="2"/>
        <v>0</v>
      </c>
      <c r="Q25" s="7"/>
      <c r="R25" s="9"/>
      <c r="S25" s="7"/>
      <c r="T25" s="7"/>
      <c r="U25" s="8">
        <f t="shared" si="3"/>
        <v>0</v>
      </c>
      <c r="V25" s="9"/>
      <c r="W25" s="9"/>
      <c r="X25" s="18"/>
      <c r="Y25" s="18"/>
      <c r="Z25" s="19"/>
      <c r="AA25" s="18"/>
      <c r="AB25" s="19"/>
      <c r="AC25" s="19"/>
      <c r="AD25" s="19"/>
      <c r="AE25" s="9"/>
      <c r="AF25" s="9"/>
      <c r="AG25" s="26"/>
      <c r="AH25" s="26"/>
      <c r="AI25" s="151"/>
    </row>
    <row r="26" spans="1:35" ht="15">
      <c r="A26" s="155"/>
      <c r="B26" s="155"/>
      <c r="C26" s="155"/>
      <c r="D26" s="155"/>
      <c r="E26" s="155"/>
      <c r="F26" s="155"/>
      <c r="G26" s="155"/>
      <c r="H26" s="5" t="s">
        <v>58</v>
      </c>
      <c r="I26" s="22"/>
      <c r="J26" s="9"/>
      <c r="K26" s="9"/>
      <c r="L26" s="11" t="b">
        <v>0</v>
      </c>
      <c r="M26" s="11" t="b">
        <v>0</v>
      </c>
      <c r="N26" s="7"/>
      <c r="O26" s="7"/>
      <c r="P26" s="8">
        <f t="shared" si="2"/>
        <v>0</v>
      </c>
      <c r="Q26" s="7"/>
      <c r="R26" s="9"/>
      <c r="S26" s="7"/>
      <c r="T26" s="7"/>
      <c r="U26" s="8">
        <f t="shared" si="3"/>
        <v>0</v>
      </c>
      <c r="V26" s="9"/>
      <c r="W26" s="9"/>
      <c r="X26" s="18"/>
      <c r="Y26" s="18"/>
      <c r="Z26" s="19"/>
      <c r="AA26" s="18"/>
      <c r="AB26" s="19"/>
      <c r="AC26" s="19"/>
      <c r="AD26" s="19"/>
      <c r="AE26" s="9"/>
      <c r="AF26" s="9"/>
      <c r="AG26" s="26"/>
      <c r="AH26" s="26"/>
      <c r="AI26" s="151"/>
    </row>
    <row r="27" spans="1:35" ht="8.25" customHeight="1">
      <c r="A27" s="104"/>
      <c r="B27" s="104"/>
      <c r="C27" s="104"/>
      <c r="D27" s="105"/>
      <c r="E27" s="105"/>
      <c r="F27" s="105"/>
      <c r="G27" s="26"/>
      <c r="H27" s="105"/>
      <c r="I27" s="111"/>
      <c r="J27" s="26"/>
      <c r="K27" s="26"/>
      <c r="L27" s="26"/>
      <c r="M27" s="26"/>
      <c r="N27" s="16"/>
      <c r="O27" s="16"/>
      <c r="P27" s="107"/>
      <c r="Q27" s="16"/>
      <c r="R27" s="26"/>
      <c r="S27" s="16"/>
      <c r="T27" s="16"/>
      <c r="U27" s="107"/>
      <c r="V27" s="26"/>
      <c r="W27" s="26"/>
      <c r="X27" s="26"/>
      <c r="Y27" s="26"/>
      <c r="Z27" s="105"/>
      <c r="AA27" s="26"/>
      <c r="AB27" s="105"/>
      <c r="AC27" s="105"/>
      <c r="AD27" s="105"/>
      <c r="AE27" s="26"/>
      <c r="AF27" s="26"/>
      <c r="AG27" s="26"/>
      <c r="AH27" s="26"/>
      <c r="AI27" s="26"/>
    </row>
    <row r="28" spans="1:35" ht="12.75">
      <c r="A28" s="162" t="s">
        <v>73</v>
      </c>
      <c r="B28" s="162" t="s">
        <v>67</v>
      </c>
      <c r="C28" s="162" t="s">
        <v>74</v>
      </c>
      <c r="D28" s="162" t="s">
        <v>453</v>
      </c>
      <c r="E28" s="160" t="s">
        <v>47</v>
      </c>
      <c r="F28" s="162" t="s">
        <v>454</v>
      </c>
      <c r="G28" s="164"/>
      <c r="H28" s="77" t="s">
        <v>49</v>
      </c>
      <c r="I28" s="108"/>
      <c r="J28" s="78"/>
      <c r="K28" s="78"/>
      <c r="L28" s="79" t="b">
        <v>0</v>
      </c>
      <c r="M28" s="79" t="b">
        <v>0</v>
      </c>
      <c r="N28" s="81"/>
      <c r="O28" s="81"/>
      <c r="P28" s="80">
        <f t="shared" ref="P28:P39" si="4">N28+O28</f>
        <v>0</v>
      </c>
      <c r="Q28" s="81"/>
      <c r="R28" s="78"/>
      <c r="S28" s="81"/>
      <c r="T28" s="81"/>
      <c r="U28" s="80">
        <f t="shared" ref="U28:U39" si="5">S28+T28</f>
        <v>0</v>
      </c>
      <c r="V28" s="78"/>
      <c r="W28" s="78"/>
      <c r="X28" s="78"/>
      <c r="Y28" s="78"/>
      <c r="Z28" s="77"/>
      <c r="AA28" s="78"/>
      <c r="AB28" s="77"/>
      <c r="AC28" s="77"/>
      <c r="AD28" s="77"/>
      <c r="AE28" s="78"/>
      <c r="AF28" s="78"/>
      <c r="AG28" s="109"/>
      <c r="AH28" s="109"/>
      <c r="AI28" s="78"/>
    </row>
    <row r="29" spans="1:35" ht="12.75">
      <c r="A29" s="155"/>
      <c r="B29" s="155"/>
      <c r="C29" s="155"/>
      <c r="D29" s="155"/>
      <c r="E29" s="155"/>
      <c r="F29" s="155"/>
      <c r="G29" s="155"/>
      <c r="H29" s="85" t="s">
        <v>58</v>
      </c>
      <c r="I29" s="112"/>
      <c r="J29" s="84"/>
      <c r="K29" s="84"/>
      <c r="L29" s="86" t="b">
        <v>0</v>
      </c>
      <c r="M29" s="86" t="b">
        <v>0</v>
      </c>
      <c r="N29" s="83"/>
      <c r="O29" s="83"/>
      <c r="P29" s="87">
        <f t="shared" si="4"/>
        <v>0</v>
      </c>
      <c r="Q29" s="83"/>
      <c r="R29" s="84"/>
      <c r="S29" s="83"/>
      <c r="T29" s="83"/>
      <c r="U29" s="87">
        <f t="shared" si="5"/>
        <v>0</v>
      </c>
      <c r="V29" s="84"/>
      <c r="W29" s="84"/>
      <c r="X29" s="84"/>
      <c r="Y29" s="84"/>
      <c r="Z29" s="85"/>
      <c r="AA29" s="84"/>
      <c r="AB29" s="85"/>
      <c r="AC29" s="85"/>
      <c r="AD29" s="85"/>
      <c r="AE29" s="84"/>
      <c r="AF29" s="84"/>
      <c r="AG29" s="110"/>
      <c r="AH29" s="110"/>
      <c r="AI29" s="84"/>
    </row>
    <row r="30" spans="1:35" ht="12.75">
      <c r="A30" s="155"/>
      <c r="B30" s="155"/>
      <c r="C30" s="155"/>
      <c r="D30" s="157" t="s">
        <v>453</v>
      </c>
      <c r="E30" s="157" t="s">
        <v>59</v>
      </c>
      <c r="F30" s="157" t="s">
        <v>454</v>
      </c>
      <c r="G30" s="158"/>
      <c r="H30" s="5" t="s">
        <v>49</v>
      </c>
      <c r="I30" s="17"/>
      <c r="J30" s="9"/>
      <c r="K30" s="9"/>
      <c r="L30" s="11" t="b">
        <v>0</v>
      </c>
      <c r="M30" s="11" t="b">
        <v>0</v>
      </c>
      <c r="N30" s="7"/>
      <c r="O30" s="7"/>
      <c r="P30" s="8">
        <f t="shared" si="4"/>
        <v>0</v>
      </c>
      <c r="Q30" s="7"/>
      <c r="R30" s="9"/>
      <c r="S30" s="7"/>
      <c r="T30" s="7"/>
      <c r="U30" s="8">
        <f t="shared" si="5"/>
        <v>0</v>
      </c>
      <c r="V30" s="9"/>
      <c r="W30" s="9"/>
      <c r="X30" s="18"/>
      <c r="Y30" s="18"/>
      <c r="Z30" s="19"/>
      <c r="AA30" s="18"/>
      <c r="AB30" s="19"/>
      <c r="AC30" s="19"/>
      <c r="AD30" s="19"/>
      <c r="AE30" s="9"/>
      <c r="AF30" s="9"/>
      <c r="AG30" s="26"/>
      <c r="AH30" s="26"/>
      <c r="AI30" s="89"/>
    </row>
    <row r="31" spans="1:35" ht="12.75">
      <c r="A31" s="155"/>
      <c r="B31" s="155"/>
      <c r="C31" s="155"/>
      <c r="D31" s="155"/>
      <c r="E31" s="155"/>
      <c r="F31" s="155"/>
      <c r="G31" s="155"/>
      <c r="H31" s="5" t="s">
        <v>58</v>
      </c>
      <c r="I31" s="22"/>
      <c r="J31" s="9"/>
      <c r="K31" s="9"/>
      <c r="L31" s="11" t="b">
        <v>0</v>
      </c>
      <c r="M31" s="11" t="b">
        <v>0</v>
      </c>
      <c r="N31" s="7"/>
      <c r="O31" s="7"/>
      <c r="P31" s="8">
        <f t="shared" si="4"/>
        <v>0</v>
      </c>
      <c r="Q31" s="7"/>
      <c r="R31" s="9"/>
      <c r="S31" s="7"/>
      <c r="T31" s="7"/>
      <c r="U31" s="8">
        <f t="shared" si="5"/>
        <v>0</v>
      </c>
      <c r="V31" s="9"/>
      <c r="W31" s="9"/>
      <c r="X31" s="18"/>
      <c r="Y31" s="18"/>
      <c r="Z31" s="19"/>
      <c r="AA31" s="18"/>
      <c r="AB31" s="19"/>
      <c r="AC31" s="19"/>
      <c r="AD31" s="19"/>
      <c r="AE31" s="9"/>
      <c r="AF31" s="9"/>
      <c r="AG31" s="26"/>
      <c r="AH31" s="26"/>
      <c r="AI31" s="9"/>
    </row>
    <row r="32" spans="1:35" ht="15">
      <c r="A32" s="155"/>
      <c r="B32" s="155"/>
      <c r="C32" s="155"/>
      <c r="D32" s="176" t="s">
        <v>455</v>
      </c>
      <c r="E32" s="176" t="s">
        <v>456</v>
      </c>
      <c r="F32" s="177" t="s">
        <v>457</v>
      </c>
      <c r="G32" s="178"/>
      <c r="H32" s="85" t="s">
        <v>458</v>
      </c>
      <c r="I32" s="147"/>
      <c r="J32" s="84"/>
      <c r="K32" s="84"/>
      <c r="L32" s="86" t="b">
        <v>0</v>
      </c>
      <c r="M32" s="86" t="b">
        <v>0</v>
      </c>
      <c r="N32" s="83"/>
      <c r="O32" s="83"/>
      <c r="P32" s="87">
        <f t="shared" si="4"/>
        <v>0</v>
      </c>
      <c r="Q32" s="83"/>
      <c r="R32" s="84"/>
      <c r="S32" s="83"/>
      <c r="T32" s="83"/>
      <c r="U32" s="87">
        <f t="shared" si="5"/>
        <v>0</v>
      </c>
      <c r="V32" s="84"/>
      <c r="W32" s="84"/>
      <c r="X32" s="133"/>
      <c r="Y32" s="133"/>
      <c r="Z32" s="121"/>
      <c r="AA32" s="133"/>
      <c r="AB32" s="121"/>
      <c r="AC32" s="121"/>
      <c r="AD32" s="121"/>
      <c r="AE32" s="84"/>
      <c r="AF32" s="84"/>
      <c r="AG32" s="122"/>
      <c r="AH32" s="122"/>
      <c r="AI32" s="84"/>
    </row>
    <row r="33" spans="1:35" ht="15">
      <c r="A33" s="155"/>
      <c r="B33" s="155"/>
      <c r="C33" s="155"/>
      <c r="D33" s="155"/>
      <c r="E33" s="155"/>
      <c r="F33" s="155"/>
      <c r="G33" s="155"/>
      <c r="H33" s="85" t="s">
        <v>58</v>
      </c>
      <c r="I33" s="147"/>
      <c r="J33" s="84"/>
      <c r="K33" s="84"/>
      <c r="L33" s="86" t="b">
        <v>0</v>
      </c>
      <c r="M33" s="86" t="b">
        <v>0</v>
      </c>
      <c r="N33" s="83"/>
      <c r="O33" s="83"/>
      <c r="P33" s="87">
        <f t="shared" si="4"/>
        <v>0</v>
      </c>
      <c r="Q33" s="83"/>
      <c r="R33" s="84"/>
      <c r="S33" s="83"/>
      <c r="T33" s="83"/>
      <c r="U33" s="87">
        <f t="shared" si="5"/>
        <v>0</v>
      </c>
      <c r="V33" s="84"/>
      <c r="W33" s="84"/>
      <c r="X33" s="133"/>
      <c r="Y33" s="133"/>
      <c r="Z33" s="121"/>
      <c r="AA33" s="133"/>
      <c r="AB33" s="121"/>
      <c r="AC33" s="121"/>
      <c r="AD33" s="121"/>
      <c r="AE33" s="84"/>
      <c r="AF33" s="84"/>
      <c r="AG33" s="122"/>
      <c r="AH33" s="122"/>
      <c r="AI33" s="148"/>
    </row>
    <row r="34" spans="1:35" ht="15">
      <c r="A34" s="155"/>
      <c r="B34" s="155"/>
      <c r="C34" s="155"/>
      <c r="D34" s="157" t="s">
        <v>455</v>
      </c>
      <c r="E34" s="175" t="s">
        <v>459</v>
      </c>
      <c r="F34" s="156" t="s">
        <v>457</v>
      </c>
      <c r="G34" s="158"/>
      <c r="H34" s="5" t="s">
        <v>458</v>
      </c>
      <c r="I34" s="150"/>
      <c r="J34" s="9"/>
      <c r="K34" s="9"/>
      <c r="L34" s="11" t="b">
        <v>0</v>
      </c>
      <c r="M34" s="11" t="b">
        <v>0</v>
      </c>
      <c r="N34" s="7"/>
      <c r="O34" s="7"/>
      <c r="P34" s="8">
        <f t="shared" si="4"/>
        <v>0</v>
      </c>
      <c r="Q34" s="7"/>
      <c r="R34" s="9"/>
      <c r="S34" s="7"/>
      <c r="T34" s="7"/>
      <c r="U34" s="8">
        <f t="shared" si="5"/>
        <v>0</v>
      </c>
      <c r="V34" s="9"/>
      <c r="W34" s="9"/>
      <c r="X34" s="9"/>
      <c r="Y34" s="9"/>
      <c r="Z34" s="5"/>
      <c r="AA34" s="9"/>
      <c r="AB34" s="5"/>
      <c r="AC34" s="5"/>
      <c r="AD34" s="5"/>
      <c r="AE34" s="9"/>
      <c r="AF34" s="9"/>
      <c r="AG34" s="26"/>
      <c r="AH34" s="26"/>
      <c r="AI34" s="151"/>
    </row>
    <row r="35" spans="1:35" ht="12.75">
      <c r="A35" s="155"/>
      <c r="B35" s="155"/>
      <c r="C35" s="155"/>
      <c r="D35" s="155"/>
      <c r="E35" s="155"/>
      <c r="F35" s="155"/>
      <c r="G35" s="155"/>
      <c r="H35" s="5" t="s">
        <v>58</v>
      </c>
      <c r="I35" s="152"/>
      <c r="J35" s="9"/>
      <c r="K35" s="9"/>
      <c r="L35" s="11" t="b">
        <v>0</v>
      </c>
      <c r="M35" s="11" t="b">
        <v>0</v>
      </c>
      <c r="N35" s="7"/>
      <c r="O35" s="7"/>
      <c r="P35" s="8">
        <f t="shared" si="4"/>
        <v>0</v>
      </c>
      <c r="Q35" s="7"/>
      <c r="R35" s="9"/>
      <c r="S35" s="7"/>
      <c r="T35" s="7"/>
      <c r="U35" s="8">
        <f t="shared" si="5"/>
        <v>0</v>
      </c>
      <c r="V35" s="9"/>
      <c r="W35" s="9"/>
      <c r="X35" s="9"/>
      <c r="Y35" s="9"/>
      <c r="Z35" s="5"/>
      <c r="AA35" s="9"/>
      <c r="AB35" s="5"/>
      <c r="AC35" s="5"/>
      <c r="AD35" s="5"/>
      <c r="AE35" s="9"/>
      <c r="AF35" s="9"/>
      <c r="AG35" s="26"/>
      <c r="AH35" s="26"/>
      <c r="AI35" s="26"/>
    </row>
    <row r="36" spans="1:35" ht="15">
      <c r="A36" s="155"/>
      <c r="B36" s="155"/>
      <c r="C36" s="155"/>
      <c r="D36" s="176" t="s">
        <v>460</v>
      </c>
      <c r="E36" s="177" t="s">
        <v>461</v>
      </c>
      <c r="F36" s="176" t="s">
        <v>462</v>
      </c>
      <c r="G36" s="178"/>
      <c r="H36" s="85" t="s">
        <v>49</v>
      </c>
      <c r="I36" s="135"/>
      <c r="J36" s="84"/>
      <c r="K36" s="84"/>
      <c r="L36" s="86" t="b">
        <v>0</v>
      </c>
      <c r="M36" s="86" t="b">
        <v>0</v>
      </c>
      <c r="N36" s="83"/>
      <c r="O36" s="83"/>
      <c r="P36" s="87">
        <f t="shared" si="4"/>
        <v>0</v>
      </c>
      <c r="Q36" s="83"/>
      <c r="R36" s="84"/>
      <c r="S36" s="83"/>
      <c r="T36" s="83"/>
      <c r="U36" s="87">
        <f t="shared" si="5"/>
        <v>0</v>
      </c>
      <c r="V36" s="84"/>
      <c r="W36" s="84"/>
      <c r="X36" s="84"/>
      <c r="Y36" s="84"/>
      <c r="Z36" s="85"/>
      <c r="AA36" s="84"/>
      <c r="AB36" s="85"/>
      <c r="AC36" s="85"/>
      <c r="AD36" s="85"/>
      <c r="AE36" s="84"/>
      <c r="AF36" s="84"/>
      <c r="AG36" s="122"/>
      <c r="AH36" s="122"/>
      <c r="AI36" s="153"/>
    </row>
    <row r="37" spans="1:35" ht="15">
      <c r="A37" s="155"/>
      <c r="B37" s="155"/>
      <c r="C37" s="155"/>
      <c r="D37" s="155"/>
      <c r="E37" s="155"/>
      <c r="F37" s="155"/>
      <c r="G37" s="155"/>
      <c r="H37" s="85" t="s">
        <v>58</v>
      </c>
      <c r="I37" s="135"/>
      <c r="J37" s="84"/>
      <c r="K37" s="84"/>
      <c r="L37" s="86" t="b">
        <v>0</v>
      </c>
      <c r="M37" s="86" t="b">
        <v>0</v>
      </c>
      <c r="N37" s="83"/>
      <c r="O37" s="83"/>
      <c r="P37" s="87">
        <f t="shared" si="4"/>
        <v>0</v>
      </c>
      <c r="Q37" s="83"/>
      <c r="R37" s="84"/>
      <c r="S37" s="83"/>
      <c r="T37" s="83"/>
      <c r="U37" s="87">
        <f t="shared" si="5"/>
        <v>0</v>
      </c>
      <c r="V37" s="84"/>
      <c r="W37" s="84"/>
      <c r="X37" s="133"/>
      <c r="Y37" s="133"/>
      <c r="Z37" s="121"/>
      <c r="AA37" s="133"/>
      <c r="AB37" s="121"/>
      <c r="AC37" s="121"/>
      <c r="AD37" s="121"/>
      <c r="AE37" s="84"/>
      <c r="AF37" s="84"/>
      <c r="AG37" s="122"/>
      <c r="AH37" s="122"/>
      <c r="AI37" s="153"/>
    </row>
    <row r="38" spans="1:35" ht="15">
      <c r="A38" s="155"/>
      <c r="B38" s="155"/>
      <c r="C38" s="155"/>
      <c r="D38" s="157" t="s">
        <v>453</v>
      </c>
      <c r="E38" s="157" t="s">
        <v>463</v>
      </c>
      <c r="F38" s="157" t="s">
        <v>464</v>
      </c>
      <c r="G38" s="158"/>
      <c r="H38" s="5" t="s">
        <v>465</v>
      </c>
      <c r="I38" s="22"/>
      <c r="J38" s="9"/>
      <c r="K38" s="9"/>
      <c r="L38" s="11" t="b">
        <v>0</v>
      </c>
      <c r="M38" s="11" t="b">
        <v>0</v>
      </c>
      <c r="N38" s="7"/>
      <c r="O38" s="7"/>
      <c r="P38" s="8">
        <f t="shared" si="4"/>
        <v>0</v>
      </c>
      <c r="Q38" s="7"/>
      <c r="R38" s="9"/>
      <c r="S38" s="7"/>
      <c r="T38" s="7"/>
      <c r="U38" s="8">
        <f t="shared" si="5"/>
        <v>0</v>
      </c>
      <c r="V38" s="9"/>
      <c r="W38" s="9"/>
      <c r="X38" s="18"/>
      <c r="Y38" s="18"/>
      <c r="Z38" s="19"/>
      <c r="AA38" s="18"/>
      <c r="AB38" s="19"/>
      <c r="AC38" s="19"/>
      <c r="AD38" s="19"/>
      <c r="AE38" s="9"/>
      <c r="AF38" s="9"/>
      <c r="AG38" s="26"/>
      <c r="AH38" s="26"/>
      <c r="AI38" s="151"/>
    </row>
    <row r="39" spans="1:35" ht="15">
      <c r="A39" s="155"/>
      <c r="B39" s="155"/>
      <c r="C39" s="155"/>
      <c r="D39" s="155"/>
      <c r="E39" s="155"/>
      <c r="F39" s="155"/>
      <c r="G39" s="155"/>
      <c r="H39" s="5" t="s">
        <v>58</v>
      </c>
      <c r="I39" s="22"/>
      <c r="J39" s="9"/>
      <c r="K39" s="9"/>
      <c r="L39" s="11" t="b">
        <v>0</v>
      </c>
      <c r="M39" s="11" t="b">
        <v>0</v>
      </c>
      <c r="N39" s="7"/>
      <c r="O39" s="7"/>
      <c r="P39" s="8">
        <f t="shared" si="4"/>
        <v>0</v>
      </c>
      <c r="Q39" s="7"/>
      <c r="R39" s="9"/>
      <c r="S39" s="7"/>
      <c r="T39" s="7"/>
      <c r="U39" s="8">
        <f t="shared" si="5"/>
        <v>0</v>
      </c>
      <c r="V39" s="9"/>
      <c r="W39" s="9"/>
      <c r="X39" s="18"/>
      <c r="Y39" s="18"/>
      <c r="Z39" s="19"/>
      <c r="AA39" s="18"/>
      <c r="AB39" s="19"/>
      <c r="AC39" s="19"/>
      <c r="AD39" s="19"/>
      <c r="AE39" s="9"/>
      <c r="AF39" s="9"/>
      <c r="AG39" s="26"/>
      <c r="AH39" s="26"/>
      <c r="AI39" s="151"/>
    </row>
    <row r="40" spans="1:35" ht="10.5" customHeight="1">
      <c r="A40" s="104"/>
      <c r="B40" s="104"/>
      <c r="C40" s="104"/>
      <c r="D40" s="105"/>
      <c r="E40" s="105"/>
      <c r="F40" s="105"/>
      <c r="G40" s="26"/>
      <c r="H40" s="105"/>
      <c r="I40" s="111"/>
      <c r="J40" s="26"/>
      <c r="K40" s="26"/>
      <c r="L40" s="26"/>
      <c r="M40" s="26"/>
      <c r="N40" s="16"/>
      <c r="O40" s="16"/>
      <c r="P40" s="107"/>
      <c r="Q40" s="16"/>
      <c r="R40" s="26"/>
      <c r="S40" s="16"/>
      <c r="T40" s="16"/>
      <c r="U40" s="107"/>
      <c r="V40" s="26"/>
      <c r="W40" s="26"/>
      <c r="X40" s="26"/>
      <c r="Y40" s="26"/>
      <c r="Z40" s="105"/>
      <c r="AA40" s="26"/>
      <c r="AB40" s="105"/>
      <c r="AC40" s="105"/>
      <c r="AD40" s="105"/>
      <c r="AE40" s="26"/>
      <c r="AF40" s="26"/>
      <c r="AG40" s="26"/>
      <c r="AH40" s="26"/>
      <c r="AI40" s="26"/>
    </row>
    <row r="41" spans="1:35" ht="12.75">
      <c r="A41" s="162" t="s">
        <v>86</v>
      </c>
      <c r="B41" s="162" t="s">
        <v>67</v>
      </c>
      <c r="C41" s="162" t="s">
        <v>86</v>
      </c>
      <c r="D41" s="162" t="s">
        <v>453</v>
      </c>
      <c r="E41" s="160" t="s">
        <v>47</v>
      </c>
      <c r="F41" s="162" t="s">
        <v>454</v>
      </c>
      <c r="G41" s="164"/>
      <c r="H41" s="77" t="s">
        <v>49</v>
      </c>
      <c r="I41" s="108"/>
      <c r="J41" s="78"/>
      <c r="K41" s="78"/>
      <c r="L41" s="79" t="b">
        <v>0</v>
      </c>
      <c r="M41" s="79" t="b">
        <v>0</v>
      </c>
      <c r="N41" s="81"/>
      <c r="O41" s="81"/>
      <c r="P41" s="80">
        <f t="shared" ref="P41:P52" si="6">N41+O41</f>
        <v>0</v>
      </c>
      <c r="Q41" s="81"/>
      <c r="R41" s="78"/>
      <c r="S41" s="81"/>
      <c r="T41" s="81"/>
      <c r="U41" s="80">
        <f t="shared" ref="U41:U52" si="7">S41+T41</f>
        <v>0</v>
      </c>
      <c r="V41" s="78"/>
      <c r="W41" s="78"/>
      <c r="X41" s="78"/>
      <c r="Y41" s="78"/>
      <c r="Z41" s="77"/>
      <c r="AA41" s="78"/>
      <c r="AB41" s="77"/>
      <c r="AC41" s="77"/>
      <c r="AD41" s="77"/>
      <c r="AE41" s="78"/>
      <c r="AF41" s="78"/>
      <c r="AG41" s="109"/>
      <c r="AH41" s="109"/>
      <c r="AI41" s="78"/>
    </row>
    <row r="42" spans="1:35" ht="12.75">
      <c r="A42" s="155"/>
      <c r="B42" s="155"/>
      <c r="C42" s="155"/>
      <c r="D42" s="155"/>
      <c r="E42" s="155"/>
      <c r="F42" s="155"/>
      <c r="G42" s="155"/>
      <c r="H42" s="85" t="s">
        <v>58</v>
      </c>
      <c r="I42" s="112"/>
      <c r="J42" s="84"/>
      <c r="K42" s="84"/>
      <c r="L42" s="86" t="b">
        <v>0</v>
      </c>
      <c r="M42" s="86" t="b">
        <v>0</v>
      </c>
      <c r="N42" s="83"/>
      <c r="O42" s="83"/>
      <c r="P42" s="87">
        <f t="shared" si="6"/>
        <v>0</v>
      </c>
      <c r="Q42" s="83"/>
      <c r="R42" s="84"/>
      <c r="S42" s="83"/>
      <c r="T42" s="83"/>
      <c r="U42" s="87">
        <f t="shared" si="7"/>
        <v>0</v>
      </c>
      <c r="V42" s="84"/>
      <c r="W42" s="84"/>
      <c r="X42" s="84"/>
      <c r="Y42" s="84"/>
      <c r="Z42" s="85"/>
      <c r="AA42" s="84"/>
      <c r="AB42" s="85"/>
      <c r="AC42" s="85"/>
      <c r="AD42" s="85"/>
      <c r="AE42" s="84"/>
      <c r="AF42" s="84"/>
      <c r="AG42" s="110"/>
      <c r="AH42" s="110"/>
      <c r="AI42" s="84"/>
    </row>
    <row r="43" spans="1:35" ht="12.75">
      <c r="A43" s="155"/>
      <c r="B43" s="155"/>
      <c r="C43" s="155"/>
      <c r="D43" s="157" t="s">
        <v>453</v>
      </c>
      <c r="E43" s="157" t="s">
        <v>59</v>
      </c>
      <c r="F43" s="157" t="s">
        <v>454</v>
      </c>
      <c r="G43" s="158"/>
      <c r="H43" s="5" t="s">
        <v>49</v>
      </c>
      <c r="I43" s="17"/>
      <c r="J43" s="9"/>
      <c r="K43" s="9"/>
      <c r="L43" s="11" t="b">
        <v>0</v>
      </c>
      <c r="M43" s="11" t="b">
        <v>0</v>
      </c>
      <c r="N43" s="7"/>
      <c r="O43" s="7"/>
      <c r="P43" s="8">
        <f t="shared" si="6"/>
        <v>0</v>
      </c>
      <c r="Q43" s="7"/>
      <c r="R43" s="9"/>
      <c r="S43" s="7"/>
      <c r="T43" s="7"/>
      <c r="U43" s="8">
        <f t="shared" si="7"/>
        <v>0</v>
      </c>
      <c r="V43" s="9"/>
      <c r="W43" s="9"/>
      <c r="X43" s="18"/>
      <c r="Y43" s="18"/>
      <c r="Z43" s="19"/>
      <c r="AA43" s="18"/>
      <c r="AB43" s="19"/>
      <c r="AC43" s="19"/>
      <c r="AD43" s="19"/>
      <c r="AE43" s="9"/>
      <c r="AF43" s="9"/>
      <c r="AG43" s="26"/>
      <c r="AH43" s="26"/>
      <c r="AI43" s="89"/>
    </row>
    <row r="44" spans="1:35" ht="12.75">
      <c r="A44" s="155"/>
      <c r="B44" s="155"/>
      <c r="C44" s="155"/>
      <c r="D44" s="155"/>
      <c r="E44" s="155"/>
      <c r="F44" s="155"/>
      <c r="G44" s="155"/>
      <c r="H44" s="5" t="s">
        <v>58</v>
      </c>
      <c r="I44" s="22"/>
      <c r="J44" s="9"/>
      <c r="K44" s="9"/>
      <c r="L44" s="11" t="b">
        <v>0</v>
      </c>
      <c r="M44" s="11" t="b">
        <v>0</v>
      </c>
      <c r="N44" s="7"/>
      <c r="O44" s="7"/>
      <c r="P44" s="8">
        <f t="shared" si="6"/>
        <v>0</v>
      </c>
      <c r="Q44" s="7"/>
      <c r="R44" s="9"/>
      <c r="S44" s="7"/>
      <c r="T44" s="7"/>
      <c r="U44" s="8">
        <f t="shared" si="7"/>
        <v>0</v>
      </c>
      <c r="V44" s="9"/>
      <c r="W44" s="9"/>
      <c r="X44" s="18"/>
      <c r="Y44" s="18"/>
      <c r="Z44" s="19"/>
      <c r="AA44" s="18"/>
      <c r="AB44" s="19"/>
      <c r="AC44" s="19"/>
      <c r="AD44" s="19"/>
      <c r="AE44" s="9"/>
      <c r="AF44" s="9"/>
      <c r="AG44" s="26"/>
      <c r="AH44" s="26"/>
      <c r="AI44" s="9"/>
    </row>
    <row r="45" spans="1:35" ht="15">
      <c r="A45" s="155"/>
      <c r="B45" s="155"/>
      <c r="C45" s="155"/>
      <c r="D45" s="176" t="s">
        <v>455</v>
      </c>
      <c r="E45" s="176" t="s">
        <v>456</v>
      </c>
      <c r="F45" s="177" t="s">
        <v>457</v>
      </c>
      <c r="G45" s="178"/>
      <c r="H45" s="85" t="s">
        <v>458</v>
      </c>
      <c r="I45" s="147"/>
      <c r="J45" s="84"/>
      <c r="K45" s="84"/>
      <c r="L45" s="86" t="b">
        <v>0</v>
      </c>
      <c r="M45" s="86" t="b">
        <v>0</v>
      </c>
      <c r="N45" s="83"/>
      <c r="O45" s="83"/>
      <c r="P45" s="87">
        <f t="shared" si="6"/>
        <v>0</v>
      </c>
      <c r="Q45" s="83"/>
      <c r="R45" s="84"/>
      <c r="S45" s="83"/>
      <c r="T45" s="83"/>
      <c r="U45" s="87">
        <f t="shared" si="7"/>
        <v>0</v>
      </c>
      <c r="V45" s="84"/>
      <c r="W45" s="84"/>
      <c r="X45" s="133"/>
      <c r="Y45" s="133"/>
      <c r="Z45" s="121"/>
      <c r="AA45" s="133"/>
      <c r="AB45" s="121"/>
      <c r="AC45" s="121"/>
      <c r="AD45" s="121"/>
      <c r="AE45" s="84"/>
      <c r="AF45" s="84"/>
      <c r="AG45" s="122"/>
      <c r="AH45" s="122"/>
      <c r="AI45" s="84"/>
    </row>
    <row r="46" spans="1:35" ht="15">
      <c r="A46" s="155"/>
      <c r="B46" s="155"/>
      <c r="C46" s="155"/>
      <c r="D46" s="155"/>
      <c r="E46" s="155"/>
      <c r="F46" s="155"/>
      <c r="G46" s="155"/>
      <c r="H46" s="85" t="s">
        <v>58</v>
      </c>
      <c r="I46" s="147"/>
      <c r="J46" s="84"/>
      <c r="K46" s="84"/>
      <c r="L46" s="86" t="b">
        <v>0</v>
      </c>
      <c r="M46" s="86" t="b">
        <v>0</v>
      </c>
      <c r="N46" s="83"/>
      <c r="O46" s="83"/>
      <c r="P46" s="87">
        <f t="shared" si="6"/>
        <v>0</v>
      </c>
      <c r="Q46" s="83"/>
      <c r="R46" s="84"/>
      <c r="S46" s="83"/>
      <c r="T46" s="83"/>
      <c r="U46" s="87">
        <f t="shared" si="7"/>
        <v>0</v>
      </c>
      <c r="V46" s="84"/>
      <c r="W46" s="84"/>
      <c r="X46" s="133"/>
      <c r="Y46" s="133"/>
      <c r="Z46" s="121"/>
      <c r="AA46" s="133"/>
      <c r="AB46" s="121"/>
      <c r="AC46" s="121"/>
      <c r="AD46" s="121"/>
      <c r="AE46" s="84"/>
      <c r="AF46" s="84"/>
      <c r="AG46" s="122"/>
      <c r="AH46" s="122"/>
      <c r="AI46" s="148"/>
    </row>
    <row r="47" spans="1:35" ht="15">
      <c r="A47" s="155"/>
      <c r="B47" s="155"/>
      <c r="C47" s="155"/>
      <c r="D47" s="157" t="s">
        <v>455</v>
      </c>
      <c r="E47" s="175" t="s">
        <v>459</v>
      </c>
      <c r="F47" s="156" t="s">
        <v>457</v>
      </c>
      <c r="G47" s="158"/>
      <c r="H47" s="5" t="s">
        <v>458</v>
      </c>
      <c r="I47" s="150"/>
      <c r="J47" s="9"/>
      <c r="K47" s="9"/>
      <c r="L47" s="11" t="b">
        <v>0</v>
      </c>
      <c r="M47" s="11" t="b">
        <v>0</v>
      </c>
      <c r="N47" s="7"/>
      <c r="O47" s="7"/>
      <c r="P47" s="8">
        <f t="shared" si="6"/>
        <v>0</v>
      </c>
      <c r="Q47" s="7"/>
      <c r="R47" s="9"/>
      <c r="S47" s="7"/>
      <c r="T47" s="7"/>
      <c r="U47" s="8">
        <f t="shared" si="7"/>
        <v>0</v>
      </c>
      <c r="V47" s="9"/>
      <c r="W47" s="9"/>
      <c r="X47" s="9"/>
      <c r="Y47" s="9"/>
      <c r="Z47" s="5"/>
      <c r="AA47" s="9"/>
      <c r="AB47" s="5"/>
      <c r="AC47" s="5"/>
      <c r="AD47" s="5"/>
      <c r="AE47" s="9"/>
      <c r="AF47" s="9"/>
      <c r="AG47" s="26"/>
      <c r="AH47" s="26"/>
      <c r="AI47" s="151"/>
    </row>
    <row r="48" spans="1:35" ht="12.75">
      <c r="A48" s="155"/>
      <c r="B48" s="155"/>
      <c r="C48" s="155"/>
      <c r="D48" s="155"/>
      <c r="E48" s="155"/>
      <c r="F48" s="155"/>
      <c r="G48" s="155"/>
      <c r="H48" s="5" t="s">
        <v>58</v>
      </c>
      <c r="I48" s="152"/>
      <c r="J48" s="9"/>
      <c r="K48" s="9"/>
      <c r="L48" s="11" t="b">
        <v>0</v>
      </c>
      <c r="M48" s="11" t="b">
        <v>0</v>
      </c>
      <c r="N48" s="7"/>
      <c r="O48" s="7"/>
      <c r="P48" s="8">
        <f t="shared" si="6"/>
        <v>0</v>
      </c>
      <c r="Q48" s="7"/>
      <c r="R48" s="9"/>
      <c r="S48" s="7"/>
      <c r="T48" s="7"/>
      <c r="U48" s="8">
        <f t="shared" si="7"/>
        <v>0</v>
      </c>
      <c r="V48" s="9"/>
      <c r="W48" s="9"/>
      <c r="X48" s="9"/>
      <c r="Y48" s="9"/>
      <c r="Z48" s="5"/>
      <c r="AA48" s="9"/>
      <c r="AB48" s="5"/>
      <c r="AC48" s="5"/>
      <c r="AD48" s="5"/>
      <c r="AE48" s="9"/>
      <c r="AF48" s="9"/>
      <c r="AG48" s="26"/>
      <c r="AH48" s="26"/>
      <c r="AI48" s="26"/>
    </row>
    <row r="49" spans="1:35" ht="15">
      <c r="A49" s="155"/>
      <c r="B49" s="155"/>
      <c r="C49" s="155"/>
      <c r="D49" s="176" t="s">
        <v>460</v>
      </c>
      <c r="E49" s="177" t="s">
        <v>461</v>
      </c>
      <c r="F49" s="176" t="s">
        <v>462</v>
      </c>
      <c r="G49" s="178"/>
      <c r="H49" s="85" t="s">
        <v>49</v>
      </c>
      <c r="I49" s="135"/>
      <c r="J49" s="84"/>
      <c r="K49" s="84"/>
      <c r="L49" s="86" t="b">
        <v>0</v>
      </c>
      <c r="M49" s="86" t="b">
        <v>0</v>
      </c>
      <c r="N49" s="83"/>
      <c r="O49" s="83"/>
      <c r="P49" s="87">
        <f t="shared" si="6"/>
        <v>0</v>
      </c>
      <c r="Q49" s="83"/>
      <c r="R49" s="84"/>
      <c r="S49" s="83"/>
      <c r="T49" s="83"/>
      <c r="U49" s="87">
        <f t="shared" si="7"/>
        <v>0</v>
      </c>
      <c r="V49" s="84"/>
      <c r="W49" s="84"/>
      <c r="X49" s="84"/>
      <c r="Y49" s="84"/>
      <c r="Z49" s="85"/>
      <c r="AA49" s="84"/>
      <c r="AB49" s="85"/>
      <c r="AC49" s="85"/>
      <c r="AD49" s="85"/>
      <c r="AE49" s="84"/>
      <c r="AF49" s="84"/>
      <c r="AG49" s="122"/>
      <c r="AH49" s="122"/>
      <c r="AI49" s="153"/>
    </row>
    <row r="50" spans="1:35" ht="15">
      <c r="A50" s="155"/>
      <c r="B50" s="155"/>
      <c r="C50" s="155"/>
      <c r="D50" s="155"/>
      <c r="E50" s="155"/>
      <c r="F50" s="155"/>
      <c r="G50" s="155"/>
      <c r="H50" s="85" t="s">
        <v>58</v>
      </c>
      <c r="I50" s="135"/>
      <c r="J50" s="84"/>
      <c r="K50" s="84"/>
      <c r="L50" s="86" t="b">
        <v>0</v>
      </c>
      <c r="M50" s="86" t="b">
        <v>0</v>
      </c>
      <c r="N50" s="83"/>
      <c r="O50" s="83"/>
      <c r="P50" s="87">
        <f t="shared" si="6"/>
        <v>0</v>
      </c>
      <c r="Q50" s="83"/>
      <c r="R50" s="84"/>
      <c r="S50" s="83"/>
      <c r="T50" s="83"/>
      <c r="U50" s="87">
        <f t="shared" si="7"/>
        <v>0</v>
      </c>
      <c r="V50" s="84"/>
      <c r="W50" s="84"/>
      <c r="X50" s="133"/>
      <c r="Y50" s="133"/>
      <c r="Z50" s="121"/>
      <c r="AA50" s="133"/>
      <c r="AB50" s="121"/>
      <c r="AC50" s="121"/>
      <c r="AD50" s="121"/>
      <c r="AE50" s="84"/>
      <c r="AF50" s="84"/>
      <c r="AG50" s="122"/>
      <c r="AH50" s="122"/>
      <c r="AI50" s="153"/>
    </row>
    <row r="51" spans="1:35" ht="15">
      <c r="A51" s="155"/>
      <c r="B51" s="155"/>
      <c r="C51" s="155"/>
      <c r="D51" s="157" t="s">
        <v>453</v>
      </c>
      <c r="E51" s="157" t="s">
        <v>463</v>
      </c>
      <c r="F51" s="157" t="s">
        <v>464</v>
      </c>
      <c r="G51" s="158"/>
      <c r="H51" s="5" t="s">
        <v>465</v>
      </c>
      <c r="I51" s="22"/>
      <c r="J51" s="9"/>
      <c r="K51" s="9"/>
      <c r="L51" s="11" t="b">
        <v>0</v>
      </c>
      <c r="M51" s="11" t="b">
        <v>0</v>
      </c>
      <c r="N51" s="7"/>
      <c r="O51" s="7"/>
      <c r="P51" s="8">
        <f t="shared" si="6"/>
        <v>0</v>
      </c>
      <c r="Q51" s="7"/>
      <c r="R51" s="9"/>
      <c r="S51" s="7"/>
      <c r="T51" s="7"/>
      <c r="U51" s="8">
        <f t="shared" si="7"/>
        <v>0</v>
      </c>
      <c r="V51" s="9"/>
      <c r="W51" s="9"/>
      <c r="X51" s="18"/>
      <c r="Y51" s="18"/>
      <c r="Z51" s="19"/>
      <c r="AA51" s="18"/>
      <c r="AB51" s="19"/>
      <c r="AC51" s="19"/>
      <c r="AD51" s="19"/>
      <c r="AE51" s="9"/>
      <c r="AF51" s="9"/>
      <c r="AG51" s="26"/>
      <c r="AH51" s="26"/>
      <c r="AI51" s="151"/>
    </row>
    <row r="52" spans="1:35" ht="15">
      <c r="A52" s="155"/>
      <c r="B52" s="155"/>
      <c r="C52" s="155"/>
      <c r="D52" s="155"/>
      <c r="E52" s="155"/>
      <c r="F52" s="155"/>
      <c r="G52" s="155"/>
      <c r="H52" s="5" t="s">
        <v>58</v>
      </c>
      <c r="I52" s="22"/>
      <c r="J52" s="9"/>
      <c r="K52" s="9"/>
      <c r="L52" s="11" t="b">
        <v>0</v>
      </c>
      <c r="M52" s="11" t="b">
        <v>0</v>
      </c>
      <c r="N52" s="7"/>
      <c r="O52" s="7"/>
      <c r="P52" s="8">
        <f t="shared" si="6"/>
        <v>0</v>
      </c>
      <c r="Q52" s="7"/>
      <c r="R52" s="9"/>
      <c r="S52" s="7"/>
      <c r="T52" s="7"/>
      <c r="U52" s="8">
        <f t="shared" si="7"/>
        <v>0</v>
      </c>
      <c r="V52" s="9"/>
      <c r="W52" s="9"/>
      <c r="X52" s="18"/>
      <c r="Y52" s="18"/>
      <c r="Z52" s="19"/>
      <c r="AA52" s="18"/>
      <c r="AB52" s="19"/>
      <c r="AC52" s="19"/>
      <c r="AD52" s="19"/>
      <c r="AE52" s="9"/>
      <c r="AF52" s="9"/>
      <c r="AG52" s="26"/>
      <c r="AH52" s="26"/>
      <c r="AI52" s="151"/>
    </row>
    <row r="53" spans="1:35" ht="6.75" customHeight="1">
      <c r="A53" s="114"/>
      <c r="B53" s="114"/>
      <c r="C53" s="114"/>
      <c r="D53" s="115"/>
      <c r="E53" s="115"/>
      <c r="F53" s="115"/>
      <c r="G53" s="116"/>
      <c r="H53" s="115"/>
      <c r="I53" s="117"/>
      <c r="J53" s="116"/>
      <c r="K53" s="116"/>
      <c r="L53" s="116"/>
      <c r="M53" s="116"/>
      <c r="N53" s="118"/>
      <c r="O53" s="118"/>
      <c r="P53" s="119"/>
      <c r="Q53" s="118"/>
      <c r="R53" s="116"/>
      <c r="S53" s="118"/>
      <c r="T53" s="118"/>
      <c r="U53" s="119"/>
      <c r="V53" s="116"/>
      <c r="W53" s="116"/>
      <c r="X53" s="116"/>
      <c r="Y53" s="116"/>
      <c r="Z53" s="115"/>
      <c r="AA53" s="116"/>
      <c r="AB53" s="115"/>
      <c r="AC53" s="115"/>
      <c r="AD53" s="115"/>
      <c r="AE53" s="116"/>
      <c r="AF53" s="116"/>
      <c r="AG53" s="116"/>
      <c r="AH53" s="116"/>
      <c r="AI53" s="116"/>
    </row>
    <row r="54" spans="1:35" ht="12.75">
      <c r="A54" s="162" t="s">
        <v>466</v>
      </c>
      <c r="B54" s="162" t="s">
        <v>45</v>
      </c>
      <c r="C54" s="162" t="s">
        <v>467</v>
      </c>
      <c r="D54" s="162" t="s">
        <v>453</v>
      </c>
      <c r="E54" s="160" t="s">
        <v>47</v>
      </c>
      <c r="F54" s="162" t="s">
        <v>454</v>
      </c>
      <c r="G54" s="164"/>
      <c r="H54" s="77" t="s">
        <v>49</v>
      </c>
      <c r="I54" s="108"/>
      <c r="J54" s="78"/>
      <c r="K54" s="78"/>
      <c r="L54" s="79" t="b">
        <v>0</v>
      </c>
      <c r="M54" s="79" t="b">
        <v>0</v>
      </c>
      <c r="N54" s="81"/>
      <c r="O54" s="81"/>
      <c r="P54" s="80">
        <f t="shared" ref="P54:P65" si="8">N54+O54</f>
        <v>0</v>
      </c>
      <c r="Q54" s="81"/>
      <c r="R54" s="78"/>
      <c r="S54" s="81"/>
      <c r="T54" s="81"/>
      <c r="U54" s="80">
        <f t="shared" ref="U54:U65" si="9">S54+T54</f>
        <v>0</v>
      </c>
      <c r="V54" s="78"/>
      <c r="W54" s="78"/>
      <c r="X54" s="78"/>
      <c r="Y54" s="78"/>
      <c r="Z54" s="77"/>
      <c r="AA54" s="78"/>
      <c r="AB54" s="77"/>
      <c r="AC54" s="77"/>
      <c r="AD54" s="77"/>
      <c r="AE54" s="78"/>
      <c r="AF54" s="78"/>
      <c r="AG54" s="109"/>
      <c r="AH54" s="109"/>
      <c r="AI54" s="78"/>
    </row>
    <row r="55" spans="1:35" ht="12.75">
      <c r="A55" s="155"/>
      <c r="B55" s="155"/>
      <c r="C55" s="155"/>
      <c r="D55" s="155"/>
      <c r="E55" s="155"/>
      <c r="F55" s="155"/>
      <c r="G55" s="155"/>
      <c r="H55" s="85" t="s">
        <v>58</v>
      </c>
      <c r="I55" s="112"/>
      <c r="J55" s="84"/>
      <c r="K55" s="84"/>
      <c r="L55" s="86" t="b">
        <v>0</v>
      </c>
      <c r="M55" s="86" t="b">
        <v>0</v>
      </c>
      <c r="N55" s="83"/>
      <c r="O55" s="83"/>
      <c r="P55" s="87">
        <f t="shared" si="8"/>
        <v>0</v>
      </c>
      <c r="Q55" s="83"/>
      <c r="R55" s="84"/>
      <c r="S55" s="83"/>
      <c r="T55" s="83"/>
      <c r="U55" s="87">
        <f t="shared" si="9"/>
        <v>0</v>
      </c>
      <c r="V55" s="84"/>
      <c r="W55" s="84"/>
      <c r="X55" s="84"/>
      <c r="Y55" s="84"/>
      <c r="Z55" s="85"/>
      <c r="AA55" s="84"/>
      <c r="AB55" s="85"/>
      <c r="AC55" s="85"/>
      <c r="AD55" s="85"/>
      <c r="AE55" s="84"/>
      <c r="AF55" s="84"/>
      <c r="AG55" s="110"/>
      <c r="AH55" s="110"/>
      <c r="AI55" s="84"/>
    </row>
    <row r="56" spans="1:35" ht="12.75">
      <c r="A56" s="155"/>
      <c r="B56" s="155"/>
      <c r="C56" s="155"/>
      <c r="D56" s="157" t="s">
        <v>453</v>
      </c>
      <c r="E56" s="157" t="s">
        <v>59</v>
      </c>
      <c r="F56" s="157" t="s">
        <v>454</v>
      </c>
      <c r="G56" s="158"/>
      <c r="H56" s="5" t="s">
        <v>49</v>
      </c>
      <c r="I56" s="17"/>
      <c r="J56" s="9"/>
      <c r="K56" s="9"/>
      <c r="L56" s="11" t="b">
        <v>0</v>
      </c>
      <c r="M56" s="11" t="b">
        <v>0</v>
      </c>
      <c r="N56" s="7"/>
      <c r="O56" s="7"/>
      <c r="P56" s="8">
        <f t="shared" si="8"/>
        <v>0</v>
      </c>
      <c r="Q56" s="7"/>
      <c r="R56" s="9"/>
      <c r="S56" s="7"/>
      <c r="T56" s="7"/>
      <c r="U56" s="8">
        <f t="shared" si="9"/>
        <v>0</v>
      </c>
      <c r="V56" s="9"/>
      <c r="W56" s="9"/>
      <c r="X56" s="18"/>
      <c r="Y56" s="18"/>
      <c r="Z56" s="19"/>
      <c r="AA56" s="18"/>
      <c r="AB56" s="19"/>
      <c r="AC56" s="19"/>
      <c r="AD56" s="19"/>
      <c r="AE56" s="9"/>
      <c r="AF56" s="9"/>
      <c r="AG56" s="26"/>
      <c r="AH56" s="26"/>
      <c r="AI56" s="89"/>
    </row>
    <row r="57" spans="1:35" ht="12.75">
      <c r="A57" s="155"/>
      <c r="B57" s="155"/>
      <c r="C57" s="155"/>
      <c r="D57" s="155"/>
      <c r="E57" s="155"/>
      <c r="F57" s="155"/>
      <c r="G57" s="155"/>
      <c r="H57" s="5" t="s">
        <v>58</v>
      </c>
      <c r="I57" s="22"/>
      <c r="J57" s="9"/>
      <c r="K57" s="9"/>
      <c r="L57" s="11" t="b">
        <v>0</v>
      </c>
      <c r="M57" s="11" t="b">
        <v>0</v>
      </c>
      <c r="N57" s="7"/>
      <c r="O57" s="7"/>
      <c r="P57" s="8">
        <f t="shared" si="8"/>
        <v>0</v>
      </c>
      <c r="Q57" s="7"/>
      <c r="R57" s="9"/>
      <c r="S57" s="7"/>
      <c r="T57" s="7"/>
      <c r="U57" s="8">
        <f t="shared" si="9"/>
        <v>0</v>
      </c>
      <c r="V57" s="9"/>
      <c r="W57" s="9"/>
      <c r="X57" s="18"/>
      <c r="Y57" s="18"/>
      <c r="Z57" s="19"/>
      <c r="AA57" s="18"/>
      <c r="AB57" s="19"/>
      <c r="AC57" s="19"/>
      <c r="AD57" s="19"/>
      <c r="AE57" s="9"/>
      <c r="AF57" s="9"/>
      <c r="AG57" s="26"/>
      <c r="AH57" s="26"/>
      <c r="AI57" s="9"/>
    </row>
    <row r="58" spans="1:35" ht="15">
      <c r="A58" s="155"/>
      <c r="B58" s="155"/>
      <c r="C58" s="155"/>
      <c r="D58" s="176" t="s">
        <v>455</v>
      </c>
      <c r="E58" s="176" t="s">
        <v>456</v>
      </c>
      <c r="F58" s="177" t="s">
        <v>457</v>
      </c>
      <c r="G58" s="178"/>
      <c r="H58" s="85" t="s">
        <v>458</v>
      </c>
      <c r="I58" s="147"/>
      <c r="J58" s="84"/>
      <c r="K58" s="84"/>
      <c r="L58" s="86" t="b">
        <v>0</v>
      </c>
      <c r="M58" s="86" t="b">
        <v>0</v>
      </c>
      <c r="N58" s="83"/>
      <c r="O58" s="83"/>
      <c r="P58" s="87">
        <f t="shared" si="8"/>
        <v>0</v>
      </c>
      <c r="Q58" s="83"/>
      <c r="R58" s="84"/>
      <c r="S58" s="83"/>
      <c r="T58" s="83"/>
      <c r="U58" s="87">
        <f t="shared" si="9"/>
        <v>0</v>
      </c>
      <c r="V58" s="84"/>
      <c r="W58" s="84"/>
      <c r="X58" s="133"/>
      <c r="Y58" s="133"/>
      <c r="Z58" s="121"/>
      <c r="AA58" s="133"/>
      <c r="AB58" s="121"/>
      <c r="AC58" s="121"/>
      <c r="AD58" s="121"/>
      <c r="AE58" s="84"/>
      <c r="AF58" s="84"/>
      <c r="AG58" s="122"/>
      <c r="AH58" s="122"/>
      <c r="AI58" s="84"/>
    </row>
    <row r="59" spans="1:35" ht="15">
      <c r="A59" s="155"/>
      <c r="B59" s="155"/>
      <c r="C59" s="155"/>
      <c r="D59" s="155"/>
      <c r="E59" s="155"/>
      <c r="F59" s="155"/>
      <c r="G59" s="155"/>
      <c r="H59" s="85" t="s">
        <v>58</v>
      </c>
      <c r="I59" s="147"/>
      <c r="J59" s="84"/>
      <c r="K59" s="84"/>
      <c r="L59" s="86" t="b">
        <v>0</v>
      </c>
      <c r="M59" s="86" t="b">
        <v>0</v>
      </c>
      <c r="N59" s="83"/>
      <c r="O59" s="83"/>
      <c r="P59" s="87">
        <f t="shared" si="8"/>
        <v>0</v>
      </c>
      <c r="Q59" s="83"/>
      <c r="R59" s="84"/>
      <c r="S59" s="83"/>
      <c r="T59" s="83"/>
      <c r="U59" s="87">
        <f t="shared" si="9"/>
        <v>0</v>
      </c>
      <c r="V59" s="84"/>
      <c r="W59" s="84"/>
      <c r="X59" s="133"/>
      <c r="Y59" s="133"/>
      <c r="Z59" s="121"/>
      <c r="AA59" s="133"/>
      <c r="AB59" s="121"/>
      <c r="AC59" s="121"/>
      <c r="AD59" s="121"/>
      <c r="AE59" s="84"/>
      <c r="AF59" s="84"/>
      <c r="AG59" s="122"/>
      <c r="AH59" s="122"/>
      <c r="AI59" s="148"/>
    </row>
    <row r="60" spans="1:35" ht="15">
      <c r="A60" s="155"/>
      <c r="B60" s="155"/>
      <c r="C60" s="155"/>
      <c r="D60" s="157" t="s">
        <v>455</v>
      </c>
      <c r="E60" s="175" t="s">
        <v>459</v>
      </c>
      <c r="F60" s="156" t="s">
        <v>457</v>
      </c>
      <c r="G60" s="158"/>
      <c r="H60" s="5" t="s">
        <v>458</v>
      </c>
      <c r="I60" s="150"/>
      <c r="J60" s="9"/>
      <c r="K60" s="9"/>
      <c r="L60" s="11" t="b">
        <v>0</v>
      </c>
      <c r="M60" s="11" t="b">
        <v>0</v>
      </c>
      <c r="N60" s="7"/>
      <c r="O60" s="7"/>
      <c r="P60" s="8">
        <f t="shared" si="8"/>
        <v>0</v>
      </c>
      <c r="Q60" s="7"/>
      <c r="R60" s="9"/>
      <c r="S60" s="7"/>
      <c r="T60" s="7"/>
      <c r="U60" s="8">
        <f t="shared" si="9"/>
        <v>0</v>
      </c>
      <c r="V60" s="9"/>
      <c r="W60" s="9"/>
      <c r="X60" s="9"/>
      <c r="Y60" s="9"/>
      <c r="Z60" s="5"/>
      <c r="AA60" s="9"/>
      <c r="AB60" s="5"/>
      <c r="AC60" s="5"/>
      <c r="AD60" s="5"/>
      <c r="AE60" s="9"/>
      <c r="AF60" s="9"/>
      <c r="AG60" s="26"/>
      <c r="AH60" s="26"/>
      <c r="AI60" s="151"/>
    </row>
    <row r="61" spans="1:35" ht="12.75">
      <c r="A61" s="155"/>
      <c r="B61" s="155"/>
      <c r="C61" s="155"/>
      <c r="D61" s="155"/>
      <c r="E61" s="155"/>
      <c r="F61" s="155"/>
      <c r="G61" s="155"/>
      <c r="H61" s="5" t="s">
        <v>58</v>
      </c>
      <c r="I61" s="152"/>
      <c r="J61" s="9"/>
      <c r="K61" s="9"/>
      <c r="L61" s="11" t="b">
        <v>0</v>
      </c>
      <c r="M61" s="11" t="b">
        <v>0</v>
      </c>
      <c r="N61" s="7"/>
      <c r="O61" s="7"/>
      <c r="P61" s="8">
        <f t="shared" si="8"/>
        <v>0</v>
      </c>
      <c r="Q61" s="7"/>
      <c r="R61" s="9"/>
      <c r="S61" s="7"/>
      <c r="T61" s="7"/>
      <c r="U61" s="8">
        <f t="shared" si="9"/>
        <v>0</v>
      </c>
      <c r="V61" s="9"/>
      <c r="W61" s="9"/>
      <c r="X61" s="9"/>
      <c r="Y61" s="9"/>
      <c r="Z61" s="5"/>
      <c r="AA61" s="9"/>
      <c r="AB61" s="5"/>
      <c r="AC61" s="5"/>
      <c r="AD61" s="5"/>
      <c r="AE61" s="9"/>
      <c r="AF61" s="9"/>
      <c r="AG61" s="26"/>
      <c r="AH61" s="26"/>
      <c r="AI61" s="26"/>
    </row>
    <row r="62" spans="1:35" ht="15">
      <c r="A62" s="155"/>
      <c r="B62" s="155"/>
      <c r="C62" s="155"/>
      <c r="D62" s="176" t="s">
        <v>460</v>
      </c>
      <c r="E62" s="177" t="s">
        <v>461</v>
      </c>
      <c r="F62" s="176" t="s">
        <v>462</v>
      </c>
      <c r="G62" s="178"/>
      <c r="H62" s="85" t="s">
        <v>49</v>
      </c>
      <c r="I62" s="135"/>
      <c r="J62" s="84"/>
      <c r="K62" s="84"/>
      <c r="L62" s="86" t="b">
        <v>0</v>
      </c>
      <c r="M62" s="86" t="b">
        <v>0</v>
      </c>
      <c r="N62" s="83"/>
      <c r="O62" s="83"/>
      <c r="P62" s="87">
        <f t="shared" si="8"/>
        <v>0</v>
      </c>
      <c r="Q62" s="83"/>
      <c r="R62" s="84"/>
      <c r="S62" s="83"/>
      <c r="T62" s="83"/>
      <c r="U62" s="87">
        <f t="shared" si="9"/>
        <v>0</v>
      </c>
      <c r="V62" s="84"/>
      <c r="W62" s="84"/>
      <c r="X62" s="84"/>
      <c r="Y62" s="84"/>
      <c r="Z62" s="85"/>
      <c r="AA62" s="84"/>
      <c r="AB62" s="85"/>
      <c r="AC62" s="85"/>
      <c r="AD62" s="85"/>
      <c r="AE62" s="84"/>
      <c r="AF62" s="84"/>
      <c r="AG62" s="122"/>
      <c r="AH62" s="122"/>
      <c r="AI62" s="153"/>
    </row>
    <row r="63" spans="1:35" ht="15">
      <c r="A63" s="155"/>
      <c r="B63" s="155"/>
      <c r="C63" s="155"/>
      <c r="D63" s="155"/>
      <c r="E63" s="155"/>
      <c r="F63" s="155"/>
      <c r="G63" s="155"/>
      <c r="H63" s="85" t="s">
        <v>58</v>
      </c>
      <c r="I63" s="135"/>
      <c r="J63" s="84"/>
      <c r="K63" s="84"/>
      <c r="L63" s="86" t="b">
        <v>0</v>
      </c>
      <c r="M63" s="86" t="b">
        <v>0</v>
      </c>
      <c r="N63" s="83"/>
      <c r="O63" s="83"/>
      <c r="P63" s="87">
        <f t="shared" si="8"/>
        <v>0</v>
      </c>
      <c r="Q63" s="83"/>
      <c r="R63" s="84"/>
      <c r="S63" s="83"/>
      <c r="T63" s="83"/>
      <c r="U63" s="87">
        <f t="shared" si="9"/>
        <v>0</v>
      </c>
      <c r="V63" s="84"/>
      <c r="W63" s="84"/>
      <c r="X63" s="133"/>
      <c r="Y63" s="133"/>
      <c r="Z63" s="121"/>
      <c r="AA63" s="133"/>
      <c r="AB63" s="121"/>
      <c r="AC63" s="121"/>
      <c r="AD63" s="121"/>
      <c r="AE63" s="84"/>
      <c r="AF63" s="84"/>
      <c r="AG63" s="122"/>
      <c r="AH63" s="122"/>
      <c r="AI63" s="153"/>
    </row>
    <row r="64" spans="1:35" ht="15">
      <c r="A64" s="155"/>
      <c r="B64" s="155"/>
      <c r="C64" s="155"/>
      <c r="D64" s="157" t="s">
        <v>453</v>
      </c>
      <c r="E64" s="157" t="s">
        <v>463</v>
      </c>
      <c r="F64" s="157" t="s">
        <v>464</v>
      </c>
      <c r="G64" s="158"/>
      <c r="H64" s="5" t="s">
        <v>465</v>
      </c>
      <c r="I64" s="22"/>
      <c r="J64" s="9"/>
      <c r="K64" s="9"/>
      <c r="L64" s="11" t="b">
        <v>0</v>
      </c>
      <c r="M64" s="11" t="b">
        <v>0</v>
      </c>
      <c r="N64" s="7"/>
      <c r="O64" s="7"/>
      <c r="P64" s="8">
        <f t="shared" si="8"/>
        <v>0</v>
      </c>
      <c r="Q64" s="7"/>
      <c r="R64" s="9"/>
      <c r="S64" s="7"/>
      <c r="T64" s="7"/>
      <c r="U64" s="8">
        <f t="shared" si="9"/>
        <v>0</v>
      </c>
      <c r="V64" s="9"/>
      <c r="W64" s="9"/>
      <c r="X64" s="18"/>
      <c r="Y64" s="18"/>
      <c r="Z64" s="19"/>
      <c r="AA64" s="18"/>
      <c r="AB64" s="19"/>
      <c r="AC64" s="19"/>
      <c r="AD64" s="19"/>
      <c r="AE64" s="9"/>
      <c r="AF64" s="9"/>
      <c r="AG64" s="26"/>
      <c r="AH64" s="26"/>
      <c r="AI64" s="151"/>
    </row>
    <row r="65" spans="1:35" ht="15">
      <c r="A65" s="155"/>
      <c r="B65" s="155"/>
      <c r="C65" s="155"/>
      <c r="D65" s="155"/>
      <c r="E65" s="155"/>
      <c r="F65" s="155"/>
      <c r="G65" s="155"/>
      <c r="H65" s="5" t="s">
        <v>58</v>
      </c>
      <c r="I65" s="22"/>
      <c r="J65" s="9"/>
      <c r="K65" s="9"/>
      <c r="L65" s="11" t="b">
        <v>0</v>
      </c>
      <c r="M65" s="11" t="b">
        <v>0</v>
      </c>
      <c r="N65" s="7"/>
      <c r="O65" s="7"/>
      <c r="P65" s="8">
        <f t="shared" si="8"/>
        <v>0</v>
      </c>
      <c r="Q65" s="7"/>
      <c r="R65" s="9"/>
      <c r="S65" s="7"/>
      <c r="T65" s="7"/>
      <c r="U65" s="8">
        <f t="shared" si="9"/>
        <v>0</v>
      </c>
      <c r="V65" s="9"/>
      <c r="W65" s="9"/>
      <c r="X65" s="18"/>
      <c r="Y65" s="18"/>
      <c r="Z65" s="19"/>
      <c r="AA65" s="18"/>
      <c r="AB65" s="19"/>
      <c r="AC65" s="19"/>
      <c r="AD65" s="19"/>
      <c r="AE65" s="9"/>
      <c r="AF65" s="9"/>
      <c r="AG65" s="26"/>
      <c r="AH65" s="26"/>
      <c r="AI65" s="151"/>
    </row>
    <row r="66" spans="1:35" ht="5.25" customHeight="1">
      <c r="A66" s="114"/>
      <c r="B66" s="114"/>
      <c r="C66" s="114"/>
      <c r="D66" s="115"/>
      <c r="E66" s="115"/>
      <c r="F66" s="115"/>
      <c r="G66" s="116"/>
      <c r="H66" s="115"/>
      <c r="I66" s="117"/>
      <c r="J66" s="116"/>
      <c r="K66" s="116"/>
      <c r="L66" s="116"/>
      <c r="M66" s="116"/>
      <c r="N66" s="118"/>
      <c r="O66" s="118"/>
      <c r="P66" s="119"/>
      <c r="Q66" s="118"/>
      <c r="R66" s="116"/>
      <c r="S66" s="118"/>
      <c r="T66" s="118"/>
      <c r="U66" s="119"/>
      <c r="V66" s="116"/>
      <c r="W66" s="116"/>
      <c r="X66" s="116"/>
      <c r="Y66" s="116"/>
      <c r="Z66" s="115"/>
      <c r="AA66" s="116"/>
      <c r="AB66" s="115"/>
      <c r="AC66" s="115"/>
      <c r="AD66" s="115"/>
      <c r="AE66" s="116"/>
      <c r="AF66" s="116"/>
      <c r="AG66" s="116"/>
      <c r="AH66" s="116"/>
      <c r="AI66" s="116"/>
    </row>
    <row r="67" spans="1:35" ht="12.75">
      <c r="A67" s="162" t="s">
        <v>92</v>
      </c>
      <c r="B67" s="162" t="s">
        <v>45</v>
      </c>
      <c r="C67" s="162" t="s">
        <v>93</v>
      </c>
      <c r="D67" s="162" t="s">
        <v>453</v>
      </c>
      <c r="E67" s="160" t="s">
        <v>47</v>
      </c>
      <c r="F67" s="162" t="s">
        <v>454</v>
      </c>
      <c r="G67" s="164"/>
      <c r="H67" s="77" t="s">
        <v>49</v>
      </c>
      <c r="I67" s="108"/>
      <c r="J67" s="78"/>
      <c r="K67" s="78"/>
      <c r="L67" s="79" t="b">
        <v>0</v>
      </c>
      <c r="M67" s="79" t="b">
        <v>0</v>
      </c>
      <c r="N67" s="81"/>
      <c r="O67" s="81"/>
      <c r="P67" s="80">
        <f t="shared" ref="P67:P78" si="10">N67+O67</f>
        <v>0</v>
      </c>
      <c r="Q67" s="81"/>
      <c r="R67" s="78"/>
      <c r="S67" s="81"/>
      <c r="T67" s="81"/>
      <c r="U67" s="80">
        <f t="shared" ref="U67:U78" si="11">S67+T67</f>
        <v>0</v>
      </c>
      <c r="V67" s="78"/>
      <c r="W67" s="78"/>
      <c r="X67" s="78"/>
      <c r="Y67" s="78"/>
      <c r="Z67" s="77"/>
      <c r="AA67" s="78"/>
      <c r="AB67" s="77"/>
      <c r="AC67" s="77"/>
      <c r="AD67" s="77"/>
      <c r="AE67" s="78"/>
      <c r="AF67" s="78"/>
      <c r="AG67" s="109"/>
      <c r="AH67" s="109"/>
      <c r="AI67" s="78"/>
    </row>
    <row r="68" spans="1:35" ht="12.75">
      <c r="A68" s="155"/>
      <c r="B68" s="155"/>
      <c r="C68" s="155"/>
      <c r="D68" s="155"/>
      <c r="E68" s="155"/>
      <c r="F68" s="155"/>
      <c r="G68" s="155"/>
      <c r="H68" s="85" t="s">
        <v>58</v>
      </c>
      <c r="I68" s="112"/>
      <c r="J68" s="84"/>
      <c r="K68" s="84"/>
      <c r="L68" s="86" t="b">
        <v>0</v>
      </c>
      <c r="M68" s="86" t="b">
        <v>0</v>
      </c>
      <c r="N68" s="83"/>
      <c r="O68" s="83"/>
      <c r="P68" s="87">
        <f t="shared" si="10"/>
        <v>0</v>
      </c>
      <c r="Q68" s="83"/>
      <c r="R68" s="84"/>
      <c r="S68" s="83"/>
      <c r="T68" s="83"/>
      <c r="U68" s="87">
        <f t="shared" si="11"/>
        <v>0</v>
      </c>
      <c r="V68" s="84"/>
      <c r="W68" s="84"/>
      <c r="X68" s="84"/>
      <c r="Y68" s="84"/>
      <c r="Z68" s="85"/>
      <c r="AA68" s="84"/>
      <c r="AB68" s="85"/>
      <c r="AC68" s="85"/>
      <c r="AD68" s="85"/>
      <c r="AE68" s="84"/>
      <c r="AF68" s="84"/>
      <c r="AG68" s="110"/>
      <c r="AH68" s="110"/>
      <c r="AI68" s="84"/>
    </row>
    <row r="69" spans="1:35" ht="12.75">
      <c r="A69" s="155"/>
      <c r="B69" s="155"/>
      <c r="C69" s="155"/>
      <c r="D69" s="157" t="s">
        <v>453</v>
      </c>
      <c r="E69" s="157" t="s">
        <v>59</v>
      </c>
      <c r="F69" s="157" t="s">
        <v>454</v>
      </c>
      <c r="G69" s="158"/>
      <c r="H69" s="5" t="s">
        <v>49</v>
      </c>
      <c r="I69" s="17"/>
      <c r="J69" s="9"/>
      <c r="K69" s="9"/>
      <c r="L69" s="11" t="b">
        <v>0</v>
      </c>
      <c r="M69" s="11" t="b">
        <v>0</v>
      </c>
      <c r="N69" s="7"/>
      <c r="O69" s="7"/>
      <c r="P69" s="8">
        <f t="shared" si="10"/>
        <v>0</v>
      </c>
      <c r="Q69" s="7"/>
      <c r="R69" s="9"/>
      <c r="S69" s="7"/>
      <c r="T69" s="7"/>
      <c r="U69" s="8">
        <f t="shared" si="11"/>
        <v>0</v>
      </c>
      <c r="V69" s="9"/>
      <c r="W69" s="9"/>
      <c r="X69" s="18"/>
      <c r="Y69" s="18"/>
      <c r="Z69" s="19"/>
      <c r="AA69" s="18"/>
      <c r="AB69" s="19"/>
      <c r="AC69" s="19"/>
      <c r="AD69" s="19"/>
      <c r="AE69" s="9"/>
      <c r="AF69" s="9"/>
      <c r="AG69" s="26"/>
      <c r="AH69" s="26"/>
      <c r="AI69" s="89"/>
    </row>
    <row r="70" spans="1:35" ht="12.75">
      <c r="A70" s="155"/>
      <c r="B70" s="155"/>
      <c r="C70" s="155"/>
      <c r="D70" s="155"/>
      <c r="E70" s="155"/>
      <c r="F70" s="155"/>
      <c r="G70" s="155"/>
      <c r="H70" s="5" t="s">
        <v>58</v>
      </c>
      <c r="I70" s="22"/>
      <c r="J70" s="9"/>
      <c r="K70" s="9"/>
      <c r="L70" s="11" t="b">
        <v>0</v>
      </c>
      <c r="M70" s="11" t="b">
        <v>0</v>
      </c>
      <c r="N70" s="7"/>
      <c r="O70" s="7"/>
      <c r="P70" s="8">
        <f t="shared" si="10"/>
        <v>0</v>
      </c>
      <c r="Q70" s="7"/>
      <c r="R70" s="9"/>
      <c r="S70" s="7"/>
      <c r="T70" s="7"/>
      <c r="U70" s="8">
        <f t="shared" si="11"/>
        <v>0</v>
      </c>
      <c r="V70" s="9"/>
      <c r="W70" s="9"/>
      <c r="X70" s="18"/>
      <c r="Y70" s="18"/>
      <c r="Z70" s="19"/>
      <c r="AA70" s="18"/>
      <c r="AB70" s="19"/>
      <c r="AC70" s="19"/>
      <c r="AD70" s="19"/>
      <c r="AE70" s="9"/>
      <c r="AF70" s="9"/>
      <c r="AG70" s="26"/>
      <c r="AH70" s="26"/>
      <c r="AI70" s="9"/>
    </row>
    <row r="71" spans="1:35" ht="15">
      <c r="A71" s="155"/>
      <c r="B71" s="155"/>
      <c r="C71" s="155"/>
      <c r="D71" s="176" t="s">
        <v>455</v>
      </c>
      <c r="E71" s="176" t="s">
        <v>456</v>
      </c>
      <c r="F71" s="177" t="s">
        <v>457</v>
      </c>
      <c r="G71" s="178"/>
      <c r="H71" s="85" t="s">
        <v>458</v>
      </c>
      <c r="I71" s="147"/>
      <c r="J71" s="84"/>
      <c r="K71" s="84"/>
      <c r="L71" s="86" t="b">
        <v>0</v>
      </c>
      <c r="M71" s="86" t="b">
        <v>0</v>
      </c>
      <c r="N71" s="83"/>
      <c r="O71" s="83"/>
      <c r="P71" s="87">
        <f t="shared" si="10"/>
        <v>0</v>
      </c>
      <c r="Q71" s="83"/>
      <c r="R71" s="84"/>
      <c r="S71" s="83"/>
      <c r="T71" s="83"/>
      <c r="U71" s="87">
        <f t="shared" si="11"/>
        <v>0</v>
      </c>
      <c r="V71" s="84"/>
      <c r="W71" s="84"/>
      <c r="X71" s="133"/>
      <c r="Y71" s="133"/>
      <c r="Z71" s="121"/>
      <c r="AA71" s="133"/>
      <c r="AB71" s="121"/>
      <c r="AC71" s="121"/>
      <c r="AD71" s="121"/>
      <c r="AE71" s="84"/>
      <c r="AF71" s="84"/>
      <c r="AG71" s="122"/>
      <c r="AH71" s="122"/>
      <c r="AI71" s="84"/>
    </row>
    <row r="72" spans="1:35" ht="15">
      <c r="A72" s="155"/>
      <c r="B72" s="155"/>
      <c r="C72" s="155"/>
      <c r="D72" s="155"/>
      <c r="E72" s="155"/>
      <c r="F72" s="155"/>
      <c r="G72" s="155"/>
      <c r="H72" s="85" t="s">
        <v>58</v>
      </c>
      <c r="I72" s="147"/>
      <c r="J72" s="84"/>
      <c r="K72" s="84"/>
      <c r="L72" s="86" t="b">
        <v>0</v>
      </c>
      <c r="M72" s="86" t="b">
        <v>0</v>
      </c>
      <c r="N72" s="83"/>
      <c r="O72" s="83"/>
      <c r="P72" s="87">
        <f t="shared" si="10"/>
        <v>0</v>
      </c>
      <c r="Q72" s="83"/>
      <c r="R72" s="84"/>
      <c r="S72" s="83"/>
      <c r="T72" s="83"/>
      <c r="U72" s="87">
        <f t="shared" si="11"/>
        <v>0</v>
      </c>
      <c r="V72" s="84"/>
      <c r="W72" s="84"/>
      <c r="X72" s="133"/>
      <c r="Y72" s="133"/>
      <c r="Z72" s="121"/>
      <c r="AA72" s="133"/>
      <c r="AB72" s="121"/>
      <c r="AC72" s="121"/>
      <c r="AD72" s="121"/>
      <c r="AE72" s="84"/>
      <c r="AF72" s="84"/>
      <c r="AG72" s="122"/>
      <c r="AH72" s="122"/>
      <c r="AI72" s="148"/>
    </row>
    <row r="73" spans="1:35" ht="15">
      <c r="A73" s="155"/>
      <c r="B73" s="155"/>
      <c r="C73" s="155"/>
      <c r="D73" s="157" t="s">
        <v>455</v>
      </c>
      <c r="E73" s="175" t="s">
        <v>459</v>
      </c>
      <c r="F73" s="156" t="s">
        <v>457</v>
      </c>
      <c r="G73" s="158"/>
      <c r="H73" s="5" t="s">
        <v>458</v>
      </c>
      <c r="I73" s="150"/>
      <c r="J73" s="9"/>
      <c r="K73" s="9"/>
      <c r="L73" s="11" t="b">
        <v>0</v>
      </c>
      <c r="M73" s="11" t="b">
        <v>0</v>
      </c>
      <c r="N73" s="7"/>
      <c r="O73" s="7"/>
      <c r="P73" s="8">
        <f t="shared" si="10"/>
        <v>0</v>
      </c>
      <c r="Q73" s="7"/>
      <c r="R73" s="9"/>
      <c r="S73" s="7"/>
      <c r="T73" s="7"/>
      <c r="U73" s="8">
        <f t="shared" si="11"/>
        <v>0</v>
      </c>
      <c r="V73" s="9"/>
      <c r="W73" s="9"/>
      <c r="X73" s="9"/>
      <c r="Y73" s="9"/>
      <c r="Z73" s="5"/>
      <c r="AA73" s="9"/>
      <c r="AB73" s="5"/>
      <c r="AC73" s="5"/>
      <c r="AD73" s="5"/>
      <c r="AE73" s="9"/>
      <c r="AF73" s="9"/>
      <c r="AG73" s="26"/>
      <c r="AH73" s="26"/>
      <c r="AI73" s="151"/>
    </row>
    <row r="74" spans="1:35" ht="12.75">
      <c r="A74" s="155"/>
      <c r="B74" s="155"/>
      <c r="C74" s="155"/>
      <c r="D74" s="155"/>
      <c r="E74" s="155"/>
      <c r="F74" s="155"/>
      <c r="G74" s="155"/>
      <c r="H74" s="5" t="s">
        <v>58</v>
      </c>
      <c r="I74" s="152"/>
      <c r="J74" s="9"/>
      <c r="K74" s="9"/>
      <c r="L74" s="11" t="b">
        <v>0</v>
      </c>
      <c r="M74" s="11" t="b">
        <v>0</v>
      </c>
      <c r="N74" s="7"/>
      <c r="O74" s="7"/>
      <c r="P74" s="8">
        <f t="shared" si="10"/>
        <v>0</v>
      </c>
      <c r="Q74" s="7"/>
      <c r="R74" s="9"/>
      <c r="S74" s="7"/>
      <c r="T74" s="7"/>
      <c r="U74" s="8">
        <f t="shared" si="11"/>
        <v>0</v>
      </c>
      <c r="V74" s="9"/>
      <c r="W74" s="9"/>
      <c r="X74" s="9"/>
      <c r="Y74" s="9"/>
      <c r="Z74" s="5"/>
      <c r="AA74" s="9"/>
      <c r="AB74" s="5"/>
      <c r="AC74" s="5"/>
      <c r="AD74" s="5"/>
      <c r="AE74" s="9"/>
      <c r="AF74" s="9"/>
      <c r="AG74" s="26"/>
      <c r="AH74" s="26"/>
      <c r="AI74" s="26"/>
    </row>
    <row r="75" spans="1:35" ht="15">
      <c r="A75" s="155"/>
      <c r="B75" s="155"/>
      <c r="C75" s="155"/>
      <c r="D75" s="176" t="s">
        <v>460</v>
      </c>
      <c r="E75" s="177" t="s">
        <v>461</v>
      </c>
      <c r="F75" s="176" t="s">
        <v>462</v>
      </c>
      <c r="G75" s="178"/>
      <c r="H75" s="85" t="s">
        <v>49</v>
      </c>
      <c r="I75" s="135"/>
      <c r="J75" s="84"/>
      <c r="K75" s="84"/>
      <c r="L75" s="86" t="b">
        <v>0</v>
      </c>
      <c r="M75" s="86" t="b">
        <v>0</v>
      </c>
      <c r="N75" s="83"/>
      <c r="O75" s="83"/>
      <c r="P75" s="87">
        <f t="shared" si="10"/>
        <v>0</v>
      </c>
      <c r="Q75" s="83"/>
      <c r="R75" s="84"/>
      <c r="S75" s="83"/>
      <c r="T75" s="83"/>
      <c r="U75" s="87">
        <f t="shared" si="11"/>
        <v>0</v>
      </c>
      <c r="V75" s="84"/>
      <c r="W75" s="84"/>
      <c r="X75" s="84"/>
      <c r="Y75" s="84"/>
      <c r="Z75" s="85"/>
      <c r="AA75" s="84"/>
      <c r="AB75" s="85"/>
      <c r="AC75" s="85"/>
      <c r="AD75" s="85"/>
      <c r="AE75" s="84"/>
      <c r="AF75" s="84"/>
      <c r="AG75" s="122"/>
      <c r="AH75" s="122"/>
      <c r="AI75" s="153"/>
    </row>
    <row r="76" spans="1:35" ht="15">
      <c r="A76" s="155"/>
      <c r="B76" s="155"/>
      <c r="C76" s="155"/>
      <c r="D76" s="155"/>
      <c r="E76" s="155"/>
      <c r="F76" s="155"/>
      <c r="G76" s="155"/>
      <c r="H76" s="85" t="s">
        <v>58</v>
      </c>
      <c r="I76" s="135"/>
      <c r="J76" s="84"/>
      <c r="K76" s="84"/>
      <c r="L76" s="86" t="b">
        <v>0</v>
      </c>
      <c r="M76" s="86" t="b">
        <v>0</v>
      </c>
      <c r="N76" s="83"/>
      <c r="O76" s="83"/>
      <c r="P76" s="87">
        <f t="shared" si="10"/>
        <v>0</v>
      </c>
      <c r="Q76" s="83"/>
      <c r="R76" s="84"/>
      <c r="S76" s="83"/>
      <c r="T76" s="83"/>
      <c r="U76" s="87">
        <f t="shared" si="11"/>
        <v>0</v>
      </c>
      <c r="V76" s="84"/>
      <c r="W76" s="84"/>
      <c r="X76" s="133"/>
      <c r="Y76" s="133"/>
      <c r="Z76" s="121"/>
      <c r="AA76" s="133"/>
      <c r="AB76" s="121"/>
      <c r="AC76" s="121"/>
      <c r="AD76" s="121"/>
      <c r="AE76" s="84"/>
      <c r="AF76" s="84"/>
      <c r="AG76" s="122"/>
      <c r="AH76" s="122"/>
      <c r="AI76" s="153"/>
    </row>
    <row r="77" spans="1:35" ht="15">
      <c r="A77" s="155"/>
      <c r="B77" s="155"/>
      <c r="C77" s="155"/>
      <c r="D77" s="157" t="s">
        <v>453</v>
      </c>
      <c r="E77" s="157" t="s">
        <v>463</v>
      </c>
      <c r="F77" s="157" t="s">
        <v>464</v>
      </c>
      <c r="G77" s="158"/>
      <c r="H77" s="5" t="s">
        <v>465</v>
      </c>
      <c r="I77" s="22"/>
      <c r="J77" s="9"/>
      <c r="K77" s="9"/>
      <c r="L77" s="11" t="b">
        <v>0</v>
      </c>
      <c r="M77" s="11" t="b">
        <v>0</v>
      </c>
      <c r="N77" s="7"/>
      <c r="O77" s="7"/>
      <c r="P77" s="8">
        <f t="shared" si="10"/>
        <v>0</v>
      </c>
      <c r="Q77" s="7"/>
      <c r="R77" s="9"/>
      <c r="S77" s="7"/>
      <c r="T77" s="7"/>
      <c r="U77" s="8">
        <f t="shared" si="11"/>
        <v>0</v>
      </c>
      <c r="V77" s="9"/>
      <c r="W77" s="9"/>
      <c r="X77" s="18"/>
      <c r="Y77" s="18"/>
      <c r="Z77" s="19"/>
      <c r="AA77" s="18"/>
      <c r="AB77" s="19"/>
      <c r="AC77" s="19"/>
      <c r="AD77" s="19"/>
      <c r="AE77" s="9"/>
      <c r="AF77" s="9"/>
      <c r="AG77" s="26"/>
      <c r="AH77" s="26"/>
      <c r="AI77" s="151"/>
    </row>
    <row r="78" spans="1:35" ht="15">
      <c r="A78" s="155"/>
      <c r="B78" s="155"/>
      <c r="C78" s="155"/>
      <c r="D78" s="155"/>
      <c r="E78" s="155"/>
      <c r="F78" s="155"/>
      <c r="G78" s="155"/>
      <c r="H78" s="5" t="s">
        <v>58</v>
      </c>
      <c r="I78" s="22"/>
      <c r="J78" s="9"/>
      <c r="K78" s="9"/>
      <c r="L78" s="11" t="b">
        <v>0</v>
      </c>
      <c r="M78" s="11" t="b">
        <v>0</v>
      </c>
      <c r="N78" s="7"/>
      <c r="O78" s="7"/>
      <c r="P78" s="8">
        <f t="shared" si="10"/>
        <v>0</v>
      </c>
      <c r="Q78" s="7"/>
      <c r="R78" s="9"/>
      <c r="S78" s="7"/>
      <c r="T78" s="7"/>
      <c r="U78" s="8">
        <f t="shared" si="11"/>
        <v>0</v>
      </c>
      <c r="V78" s="9"/>
      <c r="W78" s="9"/>
      <c r="X78" s="18"/>
      <c r="Y78" s="18"/>
      <c r="Z78" s="19"/>
      <c r="AA78" s="18"/>
      <c r="AB78" s="19"/>
      <c r="AC78" s="19"/>
      <c r="AD78" s="19"/>
      <c r="AE78" s="9"/>
      <c r="AF78" s="9"/>
      <c r="AG78" s="26"/>
      <c r="AH78" s="26"/>
      <c r="AI78" s="151"/>
    </row>
    <row r="79" spans="1:35" ht="12.75">
      <c r="A79" s="114"/>
      <c r="B79" s="114"/>
      <c r="C79" s="114"/>
      <c r="D79" s="115"/>
      <c r="E79" s="115"/>
      <c r="F79" s="115"/>
      <c r="G79" s="116"/>
      <c r="H79" s="115"/>
      <c r="I79" s="117"/>
      <c r="J79" s="116"/>
      <c r="K79" s="116"/>
      <c r="L79" s="116"/>
      <c r="M79" s="116"/>
      <c r="N79" s="118"/>
      <c r="O79" s="118"/>
      <c r="P79" s="119"/>
      <c r="Q79" s="118"/>
      <c r="R79" s="116"/>
      <c r="S79" s="118"/>
      <c r="T79" s="118"/>
      <c r="U79" s="119"/>
      <c r="V79" s="116"/>
      <c r="W79" s="116"/>
      <c r="X79" s="116"/>
      <c r="Y79" s="116"/>
      <c r="Z79" s="115"/>
      <c r="AA79" s="116"/>
      <c r="AB79" s="115"/>
      <c r="AC79" s="115"/>
      <c r="AD79" s="115"/>
      <c r="AE79" s="116"/>
      <c r="AF79" s="116"/>
      <c r="AG79" s="116"/>
      <c r="AH79" s="116"/>
      <c r="AI79" s="116"/>
    </row>
    <row r="80" spans="1:35" ht="12.75">
      <c r="A80" s="162" t="s">
        <v>105</v>
      </c>
      <c r="B80" s="162" t="s">
        <v>45</v>
      </c>
      <c r="C80" s="162" t="s">
        <v>106</v>
      </c>
      <c r="D80" s="162" t="s">
        <v>453</v>
      </c>
      <c r="E80" s="160" t="s">
        <v>47</v>
      </c>
      <c r="F80" s="162" t="s">
        <v>454</v>
      </c>
      <c r="G80" s="164"/>
      <c r="H80" s="77" t="s">
        <v>49</v>
      </c>
      <c r="I80" s="108"/>
      <c r="J80" s="78"/>
      <c r="K80" s="78"/>
      <c r="L80" s="79" t="b">
        <v>0</v>
      </c>
      <c r="M80" s="79" t="b">
        <v>0</v>
      </c>
      <c r="N80" s="81"/>
      <c r="O80" s="81"/>
      <c r="P80" s="80">
        <f t="shared" ref="P80:P91" si="12">N80+O80</f>
        <v>0</v>
      </c>
      <c r="Q80" s="81"/>
      <c r="R80" s="78"/>
      <c r="S80" s="81"/>
      <c r="T80" s="81"/>
      <c r="U80" s="80">
        <f t="shared" ref="U80:U91" si="13">S80+T80</f>
        <v>0</v>
      </c>
      <c r="V80" s="78"/>
      <c r="W80" s="78"/>
      <c r="X80" s="78"/>
      <c r="Y80" s="78"/>
      <c r="Z80" s="77"/>
      <c r="AA80" s="78"/>
      <c r="AB80" s="77"/>
      <c r="AC80" s="77"/>
      <c r="AD80" s="77"/>
      <c r="AE80" s="78"/>
      <c r="AF80" s="78"/>
      <c r="AG80" s="109"/>
      <c r="AH80" s="120"/>
      <c r="AI80" s="78" t="s">
        <v>475</v>
      </c>
    </row>
    <row r="81" spans="1:35" ht="12.75">
      <c r="A81" s="155"/>
      <c r="B81" s="155"/>
      <c r="C81" s="155"/>
      <c r="D81" s="155"/>
      <c r="E81" s="155"/>
      <c r="F81" s="155"/>
      <c r="G81" s="155"/>
      <c r="H81" s="85" t="s">
        <v>58</v>
      </c>
      <c r="I81" s="112"/>
      <c r="J81" s="84"/>
      <c r="K81" s="84"/>
      <c r="L81" s="86" t="b">
        <v>0</v>
      </c>
      <c r="M81" s="86" t="b">
        <v>0</v>
      </c>
      <c r="N81" s="83"/>
      <c r="O81" s="83"/>
      <c r="P81" s="87">
        <f t="shared" si="12"/>
        <v>0</v>
      </c>
      <c r="Q81" s="83"/>
      <c r="R81" s="84"/>
      <c r="S81" s="83"/>
      <c r="T81" s="83"/>
      <c r="U81" s="87">
        <f t="shared" si="13"/>
        <v>0</v>
      </c>
      <c r="V81" s="84"/>
      <c r="W81" s="84"/>
      <c r="X81" s="84"/>
      <c r="Y81" s="84"/>
      <c r="Z81" s="85"/>
      <c r="AA81" s="84"/>
      <c r="AB81" s="85"/>
      <c r="AC81" s="85"/>
      <c r="AD81" s="85"/>
      <c r="AE81" s="84"/>
      <c r="AF81" s="84"/>
      <c r="AG81" s="110"/>
      <c r="AH81" s="110"/>
      <c r="AI81" s="78" t="s">
        <v>475</v>
      </c>
    </row>
    <row r="82" spans="1:35" ht="12.75">
      <c r="A82" s="155"/>
      <c r="B82" s="155"/>
      <c r="C82" s="155"/>
      <c r="D82" s="157" t="s">
        <v>453</v>
      </c>
      <c r="E82" s="157" t="s">
        <v>59</v>
      </c>
      <c r="F82" s="157" t="s">
        <v>454</v>
      </c>
      <c r="G82" s="158"/>
      <c r="H82" s="5" t="s">
        <v>49</v>
      </c>
      <c r="I82" s="17"/>
      <c r="J82" s="9"/>
      <c r="K82" s="9"/>
      <c r="L82" s="11" t="b">
        <v>0</v>
      </c>
      <c r="M82" s="11" t="b">
        <v>0</v>
      </c>
      <c r="N82" s="7"/>
      <c r="O82" s="7"/>
      <c r="P82" s="8">
        <f t="shared" si="12"/>
        <v>0</v>
      </c>
      <c r="Q82" s="7"/>
      <c r="R82" s="9"/>
      <c r="S82" s="7"/>
      <c r="T82" s="7"/>
      <c r="U82" s="8">
        <f t="shared" si="13"/>
        <v>0</v>
      </c>
      <c r="V82" s="9"/>
      <c r="W82" s="9"/>
      <c r="X82" s="18"/>
      <c r="Y82" s="18"/>
      <c r="Z82" s="19"/>
      <c r="AA82" s="18"/>
      <c r="AB82" s="19"/>
      <c r="AC82" s="19"/>
      <c r="AD82" s="19"/>
      <c r="AE82" s="9"/>
      <c r="AF82" s="9"/>
      <c r="AG82" s="26"/>
      <c r="AH82" s="26"/>
      <c r="AI82" s="89"/>
    </row>
    <row r="83" spans="1:35" ht="12.75">
      <c r="A83" s="155"/>
      <c r="B83" s="155"/>
      <c r="C83" s="155"/>
      <c r="D83" s="155"/>
      <c r="E83" s="155"/>
      <c r="F83" s="155"/>
      <c r="G83" s="155"/>
      <c r="H83" s="5" t="s">
        <v>58</v>
      </c>
      <c r="I83" s="22"/>
      <c r="J83" s="9"/>
      <c r="K83" s="9"/>
      <c r="L83" s="11" t="b">
        <v>0</v>
      </c>
      <c r="M83" s="11" t="b">
        <v>0</v>
      </c>
      <c r="N83" s="7"/>
      <c r="O83" s="7"/>
      <c r="P83" s="8">
        <f t="shared" si="12"/>
        <v>0</v>
      </c>
      <c r="Q83" s="7"/>
      <c r="R83" s="9"/>
      <c r="S83" s="7"/>
      <c r="T83" s="7"/>
      <c r="U83" s="8">
        <f t="shared" si="13"/>
        <v>0</v>
      </c>
      <c r="V83" s="9"/>
      <c r="W83" s="9"/>
      <c r="X83" s="18"/>
      <c r="Y83" s="18"/>
      <c r="Z83" s="19"/>
      <c r="AA83" s="18"/>
      <c r="AB83" s="19"/>
      <c r="AC83" s="19"/>
      <c r="AD83" s="19"/>
      <c r="AE83" s="9"/>
      <c r="AF83" s="9"/>
      <c r="AG83" s="26"/>
      <c r="AH83" s="26"/>
      <c r="AI83" s="9"/>
    </row>
    <row r="84" spans="1:35" ht="15">
      <c r="A84" s="155"/>
      <c r="B84" s="155"/>
      <c r="C84" s="155"/>
      <c r="D84" s="176" t="s">
        <v>455</v>
      </c>
      <c r="E84" s="176" t="s">
        <v>456</v>
      </c>
      <c r="F84" s="177" t="s">
        <v>457</v>
      </c>
      <c r="G84" s="178"/>
      <c r="H84" s="85" t="s">
        <v>458</v>
      </c>
      <c r="I84" s="147"/>
      <c r="J84" s="84"/>
      <c r="K84" s="84"/>
      <c r="L84" s="86" t="b">
        <v>0</v>
      </c>
      <c r="M84" s="86" t="b">
        <v>0</v>
      </c>
      <c r="N84" s="83"/>
      <c r="O84" s="83"/>
      <c r="P84" s="87">
        <f t="shared" si="12"/>
        <v>0</v>
      </c>
      <c r="Q84" s="83"/>
      <c r="R84" s="84"/>
      <c r="S84" s="83"/>
      <c r="T84" s="83"/>
      <c r="U84" s="87">
        <f t="shared" si="13"/>
        <v>0</v>
      </c>
      <c r="V84" s="84"/>
      <c r="W84" s="84"/>
      <c r="X84" s="133"/>
      <c r="Y84" s="133"/>
      <c r="Z84" s="121"/>
      <c r="AA84" s="133"/>
      <c r="AB84" s="121"/>
      <c r="AC84" s="121"/>
      <c r="AD84" s="121"/>
      <c r="AE84" s="84"/>
      <c r="AF84" s="84"/>
      <c r="AG84" s="122"/>
      <c r="AH84" s="122"/>
      <c r="AI84" s="84"/>
    </row>
    <row r="85" spans="1:35" ht="15">
      <c r="A85" s="155"/>
      <c r="B85" s="155"/>
      <c r="C85" s="155"/>
      <c r="D85" s="155"/>
      <c r="E85" s="155"/>
      <c r="F85" s="155"/>
      <c r="G85" s="155"/>
      <c r="H85" s="85" t="s">
        <v>58</v>
      </c>
      <c r="I85" s="147"/>
      <c r="J85" s="84"/>
      <c r="K85" s="84"/>
      <c r="L85" s="86" t="b">
        <v>0</v>
      </c>
      <c r="M85" s="86" t="b">
        <v>0</v>
      </c>
      <c r="N85" s="83"/>
      <c r="O85" s="83"/>
      <c r="P85" s="87">
        <f t="shared" si="12"/>
        <v>0</v>
      </c>
      <c r="Q85" s="83"/>
      <c r="R85" s="84"/>
      <c r="S85" s="83"/>
      <c r="T85" s="83"/>
      <c r="U85" s="87">
        <f t="shared" si="13"/>
        <v>0</v>
      </c>
      <c r="V85" s="84"/>
      <c r="W85" s="84"/>
      <c r="X85" s="133"/>
      <c r="Y85" s="133"/>
      <c r="Z85" s="121"/>
      <c r="AA85" s="133"/>
      <c r="AB85" s="121"/>
      <c r="AC85" s="121"/>
      <c r="AD85" s="121"/>
      <c r="AE85" s="84"/>
      <c r="AF85" s="84"/>
      <c r="AG85" s="122"/>
      <c r="AH85" s="122"/>
      <c r="AI85" s="148"/>
    </row>
    <row r="86" spans="1:35" ht="15">
      <c r="A86" s="155"/>
      <c r="B86" s="155"/>
      <c r="C86" s="155"/>
      <c r="D86" s="157" t="s">
        <v>455</v>
      </c>
      <c r="E86" s="175" t="s">
        <v>459</v>
      </c>
      <c r="F86" s="156" t="s">
        <v>457</v>
      </c>
      <c r="G86" s="158"/>
      <c r="H86" s="5" t="s">
        <v>458</v>
      </c>
      <c r="I86" s="150"/>
      <c r="J86" s="9"/>
      <c r="K86" s="9"/>
      <c r="L86" s="11" t="b">
        <v>0</v>
      </c>
      <c r="M86" s="11" t="b">
        <v>0</v>
      </c>
      <c r="N86" s="7"/>
      <c r="O86" s="7"/>
      <c r="P86" s="8">
        <f t="shared" si="12"/>
        <v>0</v>
      </c>
      <c r="Q86" s="7"/>
      <c r="R86" s="9"/>
      <c r="S86" s="7"/>
      <c r="T86" s="7"/>
      <c r="U86" s="8">
        <f t="shared" si="13"/>
        <v>0</v>
      </c>
      <c r="V86" s="9"/>
      <c r="W86" s="9"/>
      <c r="X86" s="9"/>
      <c r="Y86" s="9"/>
      <c r="Z86" s="5"/>
      <c r="AA86" s="9"/>
      <c r="AB86" s="5"/>
      <c r="AC86" s="5"/>
      <c r="AD86" s="5"/>
      <c r="AE86" s="9"/>
      <c r="AF86" s="9"/>
      <c r="AG86" s="26"/>
      <c r="AH86" s="26"/>
      <c r="AI86" s="151"/>
    </row>
    <row r="87" spans="1:35" ht="12.75">
      <c r="A87" s="155"/>
      <c r="B87" s="155"/>
      <c r="C87" s="155"/>
      <c r="D87" s="155"/>
      <c r="E87" s="155"/>
      <c r="F87" s="155"/>
      <c r="G87" s="155"/>
      <c r="H87" s="5" t="s">
        <v>58</v>
      </c>
      <c r="I87" s="152"/>
      <c r="J87" s="9"/>
      <c r="K87" s="9"/>
      <c r="L87" s="11" t="b">
        <v>0</v>
      </c>
      <c r="M87" s="11" t="b">
        <v>0</v>
      </c>
      <c r="N87" s="7"/>
      <c r="O87" s="7"/>
      <c r="P87" s="8">
        <f t="shared" si="12"/>
        <v>0</v>
      </c>
      <c r="Q87" s="7"/>
      <c r="R87" s="9"/>
      <c r="S87" s="7"/>
      <c r="T87" s="7"/>
      <c r="U87" s="8">
        <f t="shared" si="13"/>
        <v>0</v>
      </c>
      <c r="V87" s="9"/>
      <c r="W87" s="9"/>
      <c r="X87" s="9"/>
      <c r="Y87" s="9"/>
      <c r="Z87" s="5"/>
      <c r="AA87" s="9"/>
      <c r="AB87" s="5"/>
      <c r="AC87" s="5"/>
      <c r="AD87" s="5"/>
      <c r="AE87" s="9"/>
      <c r="AF87" s="9"/>
      <c r="AG87" s="26"/>
      <c r="AH87" s="26"/>
      <c r="AI87" s="26"/>
    </row>
    <row r="88" spans="1:35" ht="15">
      <c r="A88" s="155"/>
      <c r="B88" s="155"/>
      <c r="C88" s="155"/>
      <c r="D88" s="176" t="s">
        <v>460</v>
      </c>
      <c r="E88" s="177" t="s">
        <v>461</v>
      </c>
      <c r="F88" s="176" t="s">
        <v>462</v>
      </c>
      <c r="G88" s="178"/>
      <c r="H88" s="85" t="s">
        <v>49</v>
      </c>
      <c r="I88" s="135"/>
      <c r="J88" s="84"/>
      <c r="K88" s="84"/>
      <c r="L88" s="86" t="b">
        <v>0</v>
      </c>
      <c r="M88" s="86" t="b">
        <v>0</v>
      </c>
      <c r="N88" s="83"/>
      <c r="O88" s="83"/>
      <c r="P88" s="87">
        <f t="shared" si="12"/>
        <v>0</v>
      </c>
      <c r="Q88" s="83"/>
      <c r="R88" s="84"/>
      <c r="S88" s="83"/>
      <c r="T88" s="83"/>
      <c r="U88" s="87">
        <f t="shared" si="13"/>
        <v>0</v>
      </c>
      <c r="V88" s="84"/>
      <c r="W88" s="84"/>
      <c r="X88" s="84"/>
      <c r="Y88" s="84"/>
      <c r="Z88" s="85"/>
      <c r="AA88" s="84"/>
      <c r="AB88" s="85"/>
      <c r="AC88" s="85"/>
      <c r="AD88" s="85"/>
      <c r="AE88" s="84"/>
      <c r="AF88" s="84"/>
      <c r="AG88" s="122"/>
      <c r="AH88" s="122"/>
      <c r="AI88" s="153"/>
    </row>
    <row r="89" spans="1:35" ht="15">
      <c r="A89" s="155"/>
      <c r="B89" s="155"/>
      <c r="C89" s="155"/>
      <c r="D89" s="155"/>
      <c r="E89" s="155"/>
      <c r="F89" s="155"/>
      <c r="G89" s="155"/>
      <c r="H89" s="85" t="s">
        <v>58</v>
      </c>
      <c r="I89" s="135"/>
      <c r="J89" s="84"/>
      <c r="K89" s="84"/>
      <c r="L89" s="86" t="b">
        <v>0</v>
      </c>
      <c r="M89" s="86" t="b">
        <v>0</v>
      </c>
      <c r="N89" s="83"/>
      <c r="O89" s="83"/>
      <c r="P89" s="87">
        <f t="shared" si="12"/>
        <v>0</v>
      </c>
      <c r="Q89" s="83"/>
      <c r="R89" s="84"/>
      <c r="S89" s="83"/>
      <c r="T89" s="83"/>
      <c r="U89" s="87">
        <f t="shared" si="13"/>
        <v>0</v>
      </c>
      <c r="V89" s="84"/>
      <c r="W89" s="84"/>
      <c r="X89" s="133"/>
      <c r="Y89" s="133"/>
      <c r="Z89" s="121"/>
      <c r="AA89" s="133"/>
      <c r="AB89" s="121"/>
      <c r="AC89" s="121"/>
      <c r="AD89" s="121"/>
      <c r="AE89" s="84"/>
      <c r="AF89" s="84"/>
      <c r="AG89" s="122"/>
      <c r="AH89" s="122"/>
      <c r="AI89" s="153"/>
    </row>
    <row r="90" spans="1:35" ht="15">
      <c r="A90" s="155"/>
      <c r="B90" s="155"/>
      <c r="C90" s="155"/>
      <c r="D90" s="157" t="s">
        <v>453</v>
      </c>
      <c r="E90" s="157" t="s">
        <v>463</v>
      </c>
      <c r="F90" s="157" t="s">
        <v>464</v>
      </c>
      <c r="G90" s="158"/>
      <c r="H90" s="5" t="s">
        <v>465</v>
      </c>
      <c r="I90" s="22"/>
      <c r="J90" s="9"/>
      <c r="K90" s="9"/>
      <c r="L90" s="11" t="b">
        <v>0</v>
      </c>
      <c r="M90" s="11" t="b">
        <v>0</v>
      </c>
      <c r="N90" s="7"/>
      <c r="O90" s="7"/>
      <c r="P90" s="8">
        <f t="shared" si="12"/>
        <v>0</v>
      </c>
      <c r="Q90" s="7"/>
      <c r="R90" s="9"/>
      <c r="S90" s="7"/>
      <c r="T90" s="7"/>
      <c r="U90" s="8">
        <f t="shared" si="13"/>
        <v>0</v>
      </c>
      <c r="V90" s="9"/>
      <c r="W90" s="9"/>
      <c r="X90" s="18"/>
      <c r="Y90" s="18"/>
      <c r="Z90" s="19"/>
      <c r="AA90" s="18"/>
      <c r="AB90" s="19"/>
      <c r="AC90" s="19"/>
      <c r="AD90" s="19"/>
      <c r="AE90" s="9"/>
      <c r="AF90" s="9"/>
      <c r="AG90" s="26"/>
      <c r="AH90" s="26"/>
      <c r="AI90" s="151"/>
    </row>
    <row r="91" spans="1:35" ht="15">
      <c r="A91" s="155"/>
      <c r="B91" s="155"/>
      <c r="C91" s="155"/>
      <c r="D91" s="155"/>
      <c r="E91" s="155"/>
      <c r="F91" s="155"/>
      <c r="G91" s="155"/>
      <c r="H91" s="5" t="s">
        <v>58</v>
      </c>
      <c r="I91" s="22"/>
      <c r="J91" s="9"/>
      <c r="K91" s="9"/>
      <c r="L91" s="11" t="b">
        <v>0</v>
      </c>
      <c r="M91" s="11" t="b">
        <v>0</v>
      </c>
      <c r="N91" s="7"/>
      <c r="O91" s="7"/>
      <c r="P91" s="8">
        <f t="shared" si="12"/>
        <v>0</v>
      </c>
      <c r="Q91" s="7"/>
      <c r="R91" s="9"/>
      <c r="S91" s="7"/>
      <c r="T91" s="7"/>
      <c r="U91" s="8">
        <f t="shared" si="13"/>
        <v>0</v>
      </c>
      <c r="V91" s="9"/>
      <c r="W91" s="9"/>
      <c r="X91" s="18"/>
      <c r="Y91" s="18"/>
      <c r="Z91" s="19"/>
      <c r="AA91" s="18"/>
      <c r="AB91" s="19"/>
      <c r="AC91" s="19"/>
      <c r="AD91" s="19"/>
      <c r="AE91" s="9"/>
      <c r="AF91" s="9"/>
      <c r="AG91" s="26"/>
      <c r="AH91" s="26"/>
      <c r="AI91" s="151"/>
    </row>
    <row r="92" spans="1:35" ht="12.75">
      <c r="A92" s="114"/>
      <c r="B92" s="114"/>
      <c r="C92" s="114"/>
      <c r="D92" s="115"/>
      <c r="E92" s="115"/>
      <c r="F92" s="115"/>
      <c r="G92" s="116"/>
      <c r="H92" s="115"/>
      <c r="I92" s="117"/>
      <c r="J92" s="116"/>
      <c r="K92" s="116"/>
      <c r="L92" s="116"/>
      <c r="M92" s="116"/>
      <c r="N92" s="118"/>
      <c r="O92" s="118"/>
      <c r="P92" s="119"/>
      <c r="Q92" s="118"/>
      <c r="R92" s="116"/>
      <c r="S92" s="118"/>
      <c r="T92" s="118"/>
      <c r="U92" s="119"/>
      <c r="V92" s="116"/>
      <c r="W92" s="116"/>
      <c r="X92" s="116"/>
      <c r="Y92" s="116"/>
      <c r="Z92" s="115"/>
      <c r="AA92" s="116"/>
      <c r="AB92" s="115"/>
      <c r="AC92" s="115"/>
      <c r="AD92" s="115"/>
      <c r="AE92" s="116"/>
      <c r="AF92" s="116"/>
      <c r="AG92" s="116"/>
      <c r="AH92" s="116"/>
      <c r="AI92" s="116"/>
    </row>
    <row r="93" spans="1:35" ht="12.75">
      <c r="A93" s="162" t="s">
        <v>115</v>
      </c>
      <c r="B93" s="162" t="s">
        <v>45</v>
      </c>
      <c r="C93" s="162" t="s">
        <v>115</v>
      </c>
      <c r="D93" s="162" t="s">
        <v>453</v>
      </c>
      <c r="E93" s="160" t="s">
        <v>47</v>
      </c>
      <c r="F93" s="162" t="s">
        <v>454</v>
      </c>
      <c r="G93" s="164"/>
      <c r="H93" s="77" t="s">
        <v>49</v>
      </c>
      <c r="I93" s="108"/>
      <c r="J93" s="78"/>
      <c r="K93" s="78"/>
      <c r="L93" s="79" t="b">
        <v>0</v>
      </c>
      <c r="M93" s="79" t="b">
        <v>0</v>
      </c>
      <c r="N93" s="81"/>
      <c r="O93" s="81"/>
      <c r="P93" s="80">
        <f t="shared" ref="P93:P104" si="14">N93+O93</f>
        <v>0</v>
      </c>
      <c r="Q93" s="81"/>
      <c r="R93" s="78"/>
      <c r="S93" s="81"/>
      <c r="T93" s="81"/>
      <c r="U93" s="80">
        <f t="shared" ref="U93:U104" si="15">S93+T93</f>
        <v>0</v>
      </c>
      <c r="V93" s="78"/>
      <c r="W93" s="78"/>
      <c r="X93" s="78"/>
      <c r="Y93" s="78"/>
      <c r="Z93" s="77"/>
      <c r="AA93" s="78"/>
      <c r="AB93" s="77"/>
      <c r="AC93" s="77"/>
      <c r="AD93" s="77"/>
      <c r="AE93" s="78"/>
      <c r="AF93" s="78"/>
      <c r="AG93" s="109"/>
      <c r="AH93" s="109"/>
      <c r="AI93" s="78" t="s">
        <v>118</v>
      </c>
    </row>
    <row r="94" spans="1:35" ht="12.75">
      <c r="A94" s="155"/>
      <c r="B94" s="155"/>
      <c r="C94" s="155"/>
      <c r="D94" s="155"/>
      <c r="E94" s="155"/>
      <c r="F94" s="155"/>
      <c r="G94" s="155"/>
      <c r="H94" s="85" t="s">
        <v>58</v>
      </c>
      <c r="I94" s="112"/>
      <c r="J94" s="84"/>
      <c r="K94" s="84"/>
      <c r="L94" s="86" t="b">
        <v>0</v>
      </c>
      <c r="M94" s="86" t="b">
        <v>0</v>
      </c>
      <c r="N94" s="83"/>
      <c r="O94" s="83"/>
      <c r="P94" s="87">
        <f t="shared" si="14"/>
        <v>0</v>
      </c>
      <c r="Q94" s="83"/>
      <c r="R94" s="84"/>
      <c r="S94" s="83"/>
      <c r="T94" s="83"/>
      <c r="U94" s="87">
        <f t="shared" si="15"/>
        <v>0</v>
      </c>
      <c r="V94" s="84"/>
      <c r="W94" s="84"/>
      <c r="X94" s="84"/>
      <c r="Y94" s="84"/>
      <c r="Z94" s="85"/>
      <c r="AA94" s="84"/>
      <c r="AB94" s="85"/>
      <c r="AC94" s="85"/>
      <c r="AD94" s="85"/>
      <c r="AE94" s="84"/>
      <c r="AF94" s="84"/>
      <c r="AG94" s="110"/>
      <c r="AH94" s="110"/>
      <c r="AI94" s="84" t="s">
        <v>118</v>
      </c>
    </row>
    <row r="95" spans="1:35" ht="12.75">
      <c r="A95" s="155"/>
      <c r="B95" s="155"/>
      <c r="C95" s="155"/>
      <c r="D95" s="157" t="s">
        <v>453</v>
      </c>
      <c r="E95" s="157" t="s">
        <v>59</v>
      </c>
      <c r="F95" s="157" t="s">
        <v>454</v>
      </c>
      <c r="G95" s="158"/>
      <c r="H95" s="5" t="s">
        <v>49</v>
      </c>
      <c r="I95" s="17"/>
      <c r="J95" s="9"/>
      <c r="K95" s="9"/>
      <c r="L95" s="11" t="b">
        <v>0</v>
      </c>
      <c r="M95" s="11" t="b">
        <v>0</v>
      </c>
      <c r="N95" s="7"/>
      <c r="O95" s="7"/>
      <c r="P95" s="8">
        <f t="shared" si="14"/>
        <v>0</v>
      </c>
      <c r="Q95" s="7"/>
      <c r="R95" s="9"/>
      <c r="S95" s="7"/>
      <c r="T95" s="7"/>
      <c r="U95" s="8">
        <f t="shared" si="15"/>
        <v>0</v>
      </c>
      <c r="V95" s="9"/>
      <c r="W95" s="9"/>
      <c r="X95" s="18"/>
      <c r="Y95" s="18"/>
      <c r="Z95" s="19"/>
      <c r="AA95" s="18"/>
      <c r="AB95" s="19"/>
      <c r="AC95" s="19"/>
      <c r="AD95" s="19"/>
      <c r="AE95" s="9"/>
      <c r="AF95" s="9"/>
      <c r="AG95" s="26"/>
      <c r="AH95" s="26"/>
      <c r="AI95" s="89"/>
    </row>
    <row r="96" spans="1:35" ht="12.75">
      <c r="A96" s="155"/>
      <c r="B96" s="155"/>
      <c r="C96" s="155"/>
      <c r="D96" s="155"/>
      <c r="E96" s="155"/>
      <c r="F96" s="155"/>
      <c r="G96" s="155"/>
      <c r="H96" s="5" t="s">
        <v>58</v>
      </c>
      <c r="I96" s="22"/>
      <c r="J96" s="9"/>
      <c r="K96" s="9"/>
      <c r="L96" s="11" t="b">
        <v>0</v>
      </c>
      <c r="M96" s="11" t="b">
        <v>0</v>
      </c>
      <c r="N96" s="7"/>
      <c r="O96" s="7"/>
      <c r="P96" s="8">
        <f t="shared" si="14"/>
        <v>0</v>
      </c>
      <c r="Q96" s="7"/>
      <c r="R96" s="9"/>
      <c r="S96" s="7"/>
      <c r="T96" s="7"/>
      <c r="U96" s="8">
        <f t="shared" si="15"/>
        <v>0</v>
      </c>
      <c r="V96" s="9"/>
      <c r="W96" s="9"/>
      <c r="X96" s="18"/>
      <c r="Y96" s="18"/>
      <c r="Z96" s="19"/>
      <c r="AA96" s="18"/>
      <c r="AB96" s="19"/>
      <c r="AC96" s="19"/>
      <c r="AD96" s="19"/>
      <c r="AE96" s="9"/>
      <c r="AF96" s="9"/>
      <c r="AG96" s="26"/>
      <c r="AH96" s="26"/>
      <c r="AI96" s="9"/>
    </row>
    <row r="97" spans="1:35" ht="15">
      <c r="A97" s="155"/>
      <c r="B97" s="155"/>
      <c r="C97" s="155"/>
      <c r="D97" s="176" t="s">
        <v>455</v>
      </c>
      <c r="E97" s="176" t="s">
        <v>456</v>
      </c>
      <c r="F97" s="177" t="s">
        <v>457</v>
      </c>
      <c r="G97" s="178"/>
      <c r="H97" s="85" t="s">
        <v>458</v>
      </c>
      <c r="I97" s="147"/>
      <c r="J97" s="84"/>
      <c r="K97" s="84"/>
      <c r="L97" s="86" t="b">
        <v>0</v>
      </c>
      <c r="M97" s="86" t="b">
        <v>0</v>
      </c>
      <c r="N97" s="83"/>
      <c r="O97" s="83"/>
      <c r="P97" s="87">
        <f t="shared" si="14"/>
        <v>0</v>
      </c>
      <c r="Q97" s="83"/>
      <c r="R97" s="84"/>
      <c r="S97" s="83"/>
      <c r="T97" s="83"/>
      <c r="U97" s="87">
        <f t="shared" si="15"/>
        <v>0</v>
      </c>
      <c r="V97" s="84"/>
      <c r="W97" s="84"/>
      <c r="X97" s="133"/>
      <c r="Y97" s="133"/>
      <c r="Z97" s="121"/>
      <c r="AA97" s="133"/>
      <c r="AB97" s="121"/>
      <c r="AC97" s="121"/>
      <c r="AD97" s="121"/>
      <c r="AE97" s="84"/>
      <c r="AF97" s="84"/>
      <c r="AG97" s="122"/>
      <c r="AH97" s="122"/>
      <c r="AI97" s="84"/>
    </row>
    <row r="98" spans="1:35" ht="15">
      <c r="A98" s="155"/>
      <c r="B98" s="155"/>
      <c r="C98" s="155"/>
      <c r="D98" s="155"/>
      <c r="E98" s="155"/>
      <c r="F98" s="155"/>
      <c r="G98" s="155"/>
      <c r="H98" s="85" t="s">
        <v>58</v>
      </c>
      <c r="I98" s="147"/>
      <c r="J98" s="84"/>
      <c r="K98" s="84"/>
      <c r="L98" s="86" t="b">
        <v>0</v>
      </c>
      <c r="M98" s="86" t="b">
        <v>0</v>
      </c>
      <c r="N98" s="83"/>
      <c r="O98" s="83"/>
      <c r="P98" s="87">
        <f t="shared" si="14"/>
        <v>0</v>
      </c>
      <c r="Q98" s="83"/>
      <c r="R98" s="84"/>
      <c r="S98" s="83"/>
      <c r="T98" s="83"/>
      <c r="U98" s="87">
        <f t="shared" si="15"/>
        <v>0</v>
      </c>
      <c r="V98" s="84"/>
      <c r="W98" s="84"/>
      <c r="X98" s="133"/>
      <c r="Y98" s="133"/>
      <c r="Z98" s="121"/>
      <c r="AA98" s="133"/>
      <c r="AB98" s="121"/>
      <c r="AC98" s="121"/>
      <c r="AD98" s="121"/>
      <c r="AE98" s="84"/>
      <c r="AF98" s="84"/>
      <c r="AG98" s="122"/>
      <c r="AH98" s="122"/>
      <c r="AI98" s="148"/>
    </row>
    <row r="99" spans="1:35" ht="15">
      <c r="A99" s="155"/>
      <c r="B99" s="155"/>
      <c r="C99" s="155"/>
      <c r="D99" s="157" t="s">
        <v>455</v>
      </c>
      <c r="E99" s="175" t="s">
        <v>459</v>
      </c>
      <c r="F99" s="156" t="s">
        <v>457</v>
      </c>
      <c r="G99" s="158"/>
      <c r="H99" s="5" t="s">
        <v>458</v>
      </c>
      <c r="I99" s="150"/>
      <c r="J99" s="9"/>
      <c r="K99" s="9"/>
      <c r="L99" s="11" t="b">
        <v>0</v>
      </c>
      <c r="M99" s="11" t="b">
        <v>0</v>
      </c>
      <c r="N99" s="7"/>
      <c r="O99" s="7"/>
      <c r="P99" s="8">
        <f t="shared" si="14"/>
        <v>0</v>
      </c>
      <c r="Q99" s="7"/>
      <c r="R99" s="9"/>
      <c r="S99" s="7"/>
      <c r="T99" s="7"/>
      <c r="U99" s="8">
        <f t="shared" si="15"/>
        <v>0</v>
      </c>
      <c r="V99" s="9"/>
      <c r="W99" s="9"/>
      <c r="X99" s="9"/>
      <c r="Y99" s="9"/>
      <c r="Z99" s="5"/>
      <c r="AA99" s="9"/>
      <c r="AB99" s="5"/>
      <c r="AC99" s="5"/>
      <c r="AD99" s="5"/>
      <c r="AE99" s="9"/>
      <c r="AF99" s="9"/>
      <c r="AG99" s="26"/>
      <c r="AH99" s="26"/>
      <c r="AI99" s="151"/>
    </row>
    <row r="100" spans="1:35" ht="12.75">
      <c r="A100" s="155"/>
      <c r="B100" s="155"/>
      <c r="C100" s="155"/>
      <c r="D100" s="155"/>
      <c r="E100" s="155"/>
      <c r="F100" s="155"/>
      <c r="G100" s="155"/>
      <c r="H100" s="5" t="s">
        <v>58</v>
      </c>
      <c r="I100" s="152"/>
      <c r="J100" s="9"/>
      <c r="K100" s="9"/>
      <c r="L100" s="11" t="b">
        <v>0</v>
      </c>
      <c r="M100" s="11" t="b">
        <v>0</v>
      </c>
      <c r="N100" s="7"/>
      <c r="O100" s="7"/>
      <c r="P100" s="8">
        <f t="shared" si="14"/>
        <v>0</v>
      </c>
      <c r="Q100" s="7"/>
      <c r="R100" s="9"/>
      <c r="S100" s="7"/>
      <c r="T100" s="7"/>
      <c r="U100" s="8">
        <f t="shared" si="15"/>
        <v>0</v>
      </c>
      <c r="V100" s="9"/>
      <c r="W100" s="9"/>
      <c r="X100" s="9"/>
      <c r="Y100" s="9"/>
      <c r="Z100" s="5"/>
      <c r="AA100" s="9"/>
      <c r="AB100" s="5"/>
      <c r="AC100" s="5"/>
      <c r="AD100" s="5"/>
      <c r="AE100" s="9"/>
      <c r="AF100" s="9"/>
      <c r="AG100" s="26"/>
      <c r="AH100" s="26"/>
      <c r="AI100" s="26"/>
    </row>
    <row r="101" spans="1:35" ht="15">
      <c r="A101" s="155"/>
      <c r="B101" s="155"/>
      <c r="C101" s="155"/>
      <c r="D101" s="176" t="s">
        <v>460</v>
      </c>
      <c r="E101" s="177" t="s">
        <v>461</v>
      </c>
      <c r="F101" s="176" t="s">
        <v>462</v>
      </c>
      <c r="G101" s="178"/>
      <c r="H101" s="85" t="s">
        <v>49</v>
      </c>
      <c r="I101" s="135"/>
      <c r="J101" s="84"/>
      <c r="K101" s="84"/>
      <c r="L101" s="86" t="b">
        <v>0</v>
      </c>
      <c r="M101" s="86" t="b">
        <v>0</v>
      </c>
      <c r="N101" s="83"/>
      <c r="O101" s="83"/>
      <c r="P101" s="87">
        <f t="shared" si="14"/>
        <v>0</v>
      </c>
      <c r="Q101" s="83"/>
      <c r="R101" s="84"/>
      <c r="S101" s="83"/>
      <c r="T101" s="83"/>
      <c r="U101" s="87">
        <f t="shared" si="15"/>
        <v>0</v>
      </c>
      <c r="V101" s="84"/>
      <c r="W101" s="84"/>
      <c r="X101" s="84"/>
      <c r="Y101" s="84"/>
      <c r="Z101" s="85"/>
      <c r="AA101" s="84"/>
      <c r="AB101" s="85"/>
      <c r="AC101" s="85"/>
      <c r="AD101" s="85"/>
      <c r="AE101" s="84"/>
      <c r="AF101" s="84"/>
      <c r="AG101" s="122"/>
      <c r="AH101" s="122"/>
      <c r="AI101" s="153"/>
    </row>
    <row r="102" spans="1:35" ht="15">
      <c r="A102" s="155"/>
      <c r="B102" s="155"/>
      <c r="C102" s="155"/>
      <c r="D102" s="155"/>
      <c r="E102" s="155"/>
      <c r="F102" s="155"/>
      <c r="G102" s="155"/>
      <c r="H102" s="85" t="s">
        <v>58</v>
      </c>
      <c r="I102" s="135"/>
      <c r="J102" s="84"/>
      <c r="K102" s="84"/>
      <c r="L102" s="86" t="b">
        <v>0</v>
      </c>
      <c r="M102" s="86" t="b">
        <v>0</v>
      </c>
      <c r="N102" s="83"/>
      <c r="O102" s="83"/>
      <c r="P102" s="87">
        <f t="shared" si="14"/>
        <v>0</v>
      </c>
      <c r="Q102" s="83"/>
      <c r="R102" s="84"/>
      <c r="S102" s="83"/>
      <c r="T102" s="83"/>
      <c r="U102" s="87">
        <f t="shared" si="15"/>
        <v>0</v>
      </c>
      <c r="V102" s="84"/>
      <c r="W102" s="84"/>
      <c r="X102" s="133"/>
      <c r="Y102" s="133"/>
      <c r="Z102" s="121"/>
      <c r="AA102" s="133"/>
      <c r="AB102" s="121"/>
      <c r="AC102" s="121"/>
      <c r="AD102" s="121"/>
      <c r="AE102" s="84"/>
      <c r="AF102" s="84"/>
      <c r="AG102" s="122"/>
      <c r="AH102" s="122"/>
      <c r="AI102" s="153"/>
    </row>
    <row r="103" spans="1:35" ht="15">
      <c r="A103" s="155"/>
      <c r="B103" s="155"/>
      <c r="C103" s="155"/>
      <c r="D103" s="157" t="s">
        <v>453</v>
      </c>
      <c r="E103" s="157" t="s">
        <v>463</v>
      </c>
      <c r="F103" s="157" t="s">
        <v>464</v>
      </c>
      <c r="G103" s="158"/>
      <c r="H103" s="5" t="s">
        <v>465</v>
      </c>
      <c r="I103" s="22"/>
      <c r="J103" s="9"/>
      <c r="K103" s="9"/>
      <c r="L103" s="11" t="b">
        <v>0</v>
      </c>
      <c r="M103" s="11" t="b">
        <v>0</v>
      </c>
      <c r="N103" s="7"/>
      <c r="O103" s="7"/>
      <c r="P103" s="8">
        <f t="shared" si="14"/>
        <v>0</v>
      </c>
      <c r="Q103" s="7"/>
      <c r="R103" s="9"/>
      <c r="S103" s="7"/>
      <c r="T103" s="7"/>
      <c r="U103" s="8">
        <f t="shared" si="15"/>
        <v>0</v>
      </c>
      <c r="V103" s="9"/>
      <c r="W103" s="9"/>
      <c r="X103" s="18"/>
      <c r="Y103" s="18"/>
      <c r="Z103" s="19"/>
      <c r="AA103" s="18"/>
      <c r="AB103" s="19"/>
      <c r="AC103" s="19"/>
      <c r="AD103" s="19"/>
      <c r="AE103" s="9"/>
      <c r="AF103" s="9"/>
      <c r="AG103" s="26"/>
      <c r="AH103" s="26"/>
      <c r="AI103" s="151"/>
    </row>
    <row r="104" spans="1:35" ht="15">
      <c r="A104" s="155"/>
      <c r="B104" s="155"/>
      <c r="C104" s="155"/>
      <c r="D104" s="155"/>
      <c r="E104" s="155"/>
      <c r="F104" s="155"/>
      <c r="G104" s="155"/>
      <c r="H104" s="5" t="s">
        <v>58</v>
      </c>
      <c r="I104" s="22"/>
      <c r="J104" s="9"/>
      <c r="K104" s="9"/>
      <c r="L104" s="11" t="b">
        <v>0</v>
      </c>
      <c r="M104" s="11" t="b">
        <v>0</v>
      </c>
      <c r="N104" s="7"/>
      <c r="O104" s="7"/>
      <c r="P104" s="8">
        <f t="shared" si="14"/>
        <v>0</v>
      </c>
      <c r="Q104" s="7"/>
      <c r="R104" s="9"/>
      <c r="S104" s="7"/>
      <c r="T104" s="7"/>
      <c r="U104" s="8">
        <f t="shared" si="15"/>
        <v>0</v>
      </c>
      <c r="V104" s="9"/>
      <c r="W104" s="9"/>
      <c r="X104" s="18"/>
      <c r="Y104" s="18"/>
      <c r="Z104" s="19"/>
      <c r="AA104" s="18"/>
      <c r="AB104" s="19"/>
      <c r="AC104" s="19"/>
      <c r="AD104" s="19"/>
      <c r="AE104" s="9"/>
      <c r="AF104" s="9"/>
      <c r="AG104" s="26"/>
      <c r="AH104" s="26"/>
      <c r="AI104" s="151"/>
    </row>
    <row r="105" spans="1:35" ht="12.75">
      <c r="A105" s="114"/>
      <c r="B105" s="114"/>
      <c r="C105" s="114"/>
      <c r="D105" s="115"/>
      <c r="E105" s="115"/>
      <c r="F105" s="115"/>
      <c r="G105" s="116"/>
      <c r="H105" s="115"/>
      <c r="I105" s="117"/>
      <c r="J105" s="116"/>
      <c r="K105" s="116"/>
      <c r="L105" s="116"/>
      <c r="M105" s="116"/>
      <c r="N105" s="118"/>
      <c r="O105" s="118"/>
      <c r="P105" s="119"/>
      <c r="Q105" s="118"/>
      <c r="R105" s="116"/>
      <c r="S105" s="118"/>
      <c r="T105" s="118"/>
      <c r="U105" s="119"/>
      <c r="V105" s="116"/>
      <c r="W105" s="116"/>
      <c r="X105" s="116"/>
      <c r="Y105" s="116"/>
      <c r="Z105" s="115"/>
      <c r="AA105" s="116"/>
      <c r="AB105" s="115"/>
      <c r="AC105" s="115"/>
      <c r="AD105" s="115"/>
      <c r="AE105" s="116"/>
      <c r="AF105" s="116"/>
      <c r="AG105" s="116"/>
      <c r="AH105" s="116"/>
      <c r="AI105" s="116"/>
    </row>
    <row r="106" spans="1:35" ht="12.75">
      <c r="A106" s="162" t="s">
        <v>127</v>
      </c>
      <c r="B106" s="162" t="s">
        <v>128</v>
      </c>
      <c r="C106" s="162" t="s">
        <v>129</v>
      </c>
      <c r="D106" s="162" t="s">
        <v>453</v>
      </c>
      <c r="E106" s="160" t="s">
        <v>47</v>
      </c>
      <c r="F106" s="162" t="s">
        <v>454</v>
      </c>
      <c r="G106" s="164"/>
      <c r="H106" s="77" t="s">
        <v>49</v>
      </c>
      <c r="I106" s="108"/>
      <c r="J106" s="78"/>
      <c r="K106" s="78"/>
      <c r="L106" s="79" t="b">
        <v>1</v>
      </c>
      <c r="M106" s="79" t="b">
        <v>0</v>
      </c>
      <c r="N106" s="81"/>
      <c r="O106" s="81"/>
      <c r="P106" s="80">
        <f t="shared" ref="P106:P117" si="16">N106+O106</f>
        <v>0</v>
      </c>
      <c r="Q106" s="81"/>
      <c r="R106" s="78"/>
      <c r="S106" s="81"/>
      <c r="T106" s="81"/>
      <c r="U106" s="80">
        <f t="shared" ref="U106:U117" si="17">S106+T106</f>
        <v>0</v>
      </c>
      <c r="V106" s="78"/>
      <c r="W106" s="78" t="s">
        <v>51</v>
      </c>
      <c r="X106" s="78">
        <v>2</v>
      </c>
      <c r="Y106" s="78">
        <v>17500</v>
      </c>
      <c r="Z106" s="77"/>
      <c r="AA106" s="78">
        <v>17500</v>
      </c>
      <c r="AB106" s="77"/>
      <c r="AC106" s="77"/>
      <c r="AD106" s="77"/>
      <c r="AE106" s="78"/>
      <c r="AF106" s="78">
        <v>0</v>
      </c>
      <c r="AG106" s="82">
        <v>45411</v>
      </c>
      <c r="AH106" s="78" t="s">
        <v>53</v>
      </c>
      <c r="AI106" s="78" t="s">
        <v>476</v>
      </c>
    </row>
    <row r="107" spans="1:35" ht="12.75">
      <c r="A107" s="155"/>
      <c r="B107" s="155"/>
      <c r="C107" s="155"/>
      <c r="D107" s="155"/>
      <c r="E107" s="155"/>
      <c r="F107" s="155"/>
      <c r="G107" s="155"/>
      <c r="H107" s="85" t="s">
        <v>58</v>
      </c>
      <c r="I107" s="112"/>
      <c r="J107" s="84"/>
      <c r="K107" s="84"/>
      <c r="L107" s="86" t="b">
        <v>0</v>
      </c>
      <c r="M107" s="86" t="b">
        <v>0</v>
      </c>
      <c r="N107" s="83"/>
      <c r="O107" s="83"/>
      <c r="P107" s="87">
        <f t="shared" si="16"/>
        <v>0</v>
      </c>
      <c r="Q107" s="83"/>
      <c r="R107" s="84"/>
      <c r="S107" s="83"/>
      <c r="T107" s="83"/>
      <c r="U107" s="87">
        <f t="shared" si="17"/>
        <v>0</v>
      </c>
      <c r="V107" s="84"/>
      <c r="W107" s="84" t="s">
        <v>51</v>
      </c>
      <c r="X107" s="84">
        <v>4</v>
      </c>
      <c r="Y107" s="84">
        <v>21000</v>
      </c>
      <c r="Z107" s="85"/>
      <c r="AA107" s="84">
        <v>21000</v>
      </c>
      <c r="AB107" s="85"/>
      <c r="AC107" s="85"/>
      <c r="AD107" s="85"/>
      <c r="AE107" s="84"/>
      <c r="AF107" s="84">
        <v>0</v>
      </c>
      <c r="AG107" s="88">
        <v>45411</v>
      </c>
      <c r="AH107" s="84" t="s">
        <v>53</v>
      </c>
      <c r="AI107" s="84"/>
    </row>
    <row r="108" spans="1:35" ht="12.75">
      <c r="A108" s="155"/>
      <c r="B108" s="155"/>
      <c r="C108" s="155"/>
      <c r="D108" s="157" t="s">
        <v>453</v>
      </c>
      <c r="E108" s="157" t="s">
        <v>59</v>
      </c>
      <c r="F108" s="157" t="s">
        <v>454</v>
      </c>
      <c r="G108" s="158"/>
      <c r="H108" s="5" t="s">
        <v>49</v>
      </c>
      <c r="I108" s="17"/>
      <c r="J108" s="9"/>
      <c r="K108" s="9"/>
      <c r="L108" s="11" t="b">
        <v>0</v>
      </c>
      <c r="M108" s="11" t="b">
        <v>0</v>
      </c>
      <c r="N108" s="7"/>
      <c r="O108" s="7"/>
      <c r="P108" s="8">
        <f t="shared" si="16"/>
        <v>0</v>
      </c>
      <c r="Q108" s="7"/>
      <c r="R108" s="9"/>
      <c r="S108" s="7"/>
      <c r="T108" s="7"/>
      <c r="U108" s="8">
        <f t="shared" si="17"/>
        <v>0</v>
      </c>
      <c r="V108" s="9"/>
      <c r="W108" s="9"/>
      <c r="X108" s="18"/>
      <c r="Y108" s="18"/>
      <c r="Z108" s="19"/>
      <c r="AA108" s="18"/>
      <c r="AB108" s="19"/>
      <c r="AC108" s="19"/>
      <c r="AD108" s="19"/>
      <c r="AE108" s="9"/>
      <c r="AF108" s="9"/>
      <c r="AG108" s="26"/>
      <c r="AH108" s="26"/>
      <c r="AI108" s="89"/>
    </row>
    <row r="109" spans="1:35" ht="12.75">
      <c r="A109" s="155"/>
      <c r="B109" s="155"/>
      <c r="C109" s="155"/>
      <c r="D109" s="155"/>
      <c r="E109" s="155"/>
      <c r="F109" s="155"/>
      <c r="G109" s="155"/>
      <c r="H109" s="5" t="s">
        <v>58</v>
      </c>
      <c r="I109" s="22"/>
      <c r="J109" s="9"/>
      <c r="K109" s="9"/>
      <c r="L109" s="11" t="b">
        <v>0</v>
      </c>
      <c r="M109" s="11" t="b">
        <v>0</v>
      </c>
      <c r="N109" s="7"/>
      <c r="O109" s="7"/>
      <c r="P109" s="8">
        <f t="shared" si="16"/>
        <v>0</v>
      </c>
      <c r="Q109" s="7"/>
      <c r="R109" s="9"/>
      <c r="S109" s="7"/>
      <c r="T109" s="7"/>
      <c r="U109" s="8">
        <f t="shared" si="17"/>
        <v>0</v>
      </c>
      <c r="V109" s="9"/>
      <c r="W109" s="9"/>
      <c r="X109" s="18"/>
      <c r="Y109" s="18"/>
      <c r="Z109" s="19"/>
      <c r="AA109" s="18"/>
      <c r="AB109" s="19"/>
      <c r="AC109" s="19"/>
      <c r="AD109" s="19"/>
      <c r="AE109" s="9"/>
      <c r="AF109" s="9"/>
      <c r="AG109" s="26"/>
      <c r="AH109" s="26"/>
      <c r="AI109" s="9"/>
    </row>
    <row r="110" spans="1:35" ht="15">
      <c r="A110" s="155"/>
      <c r="B110" s="155"/>
      <c r="C110" s="155"/>
      <c r="D110" s="176" t="s">
        <v>455</v>
      </c>
      <c r="E110" s="176" t="s">
        <v>456</v>
      </c>
      <c r="F110" s="177" t="s">
        <v>457</v>
      </c>
      <c r="G110" s="178"/>
      <c r="H110" s="85" t="s">
        <v>458</v>
      </c>
      <c r="I110" s="147"/>
      <c r="J110" s="84"/>
      <c r="K110" s="84"/>
      <c r="L110" s="86" t="b">
        <v>0</v>
      </c>
      <c r="M110" s="86" t="b">
        <v>0</v>
      </c>
      <c r="N110" s="83"/>
      <c r="O110" s="83"/>
      <c r="P110" s="87">
        <f t="shared" si="16"/>
        <v>0</v>
      </c>
      <c r="Q110" s="83"/>
      <c r="R110" s="84"/>
      <c r="S110" s="83"/>
      <c r="T110" s="83"/>
      <c r="U110" s="87">
        <f t="shared" si="17"/>
        <v>0</v>
      </c>
      <c r="V110" s="84"/>
      <c r="W110" s="84"/>
      <c r="X110" s="133"/>
      <c r="Y110" s="133"/>
      <c r="Z110" s="121"/>
      <c r="AA110" s="133"/>
      <c r="AB110" s="121"/>
      <c r="AC110" s="121"/>
      <c r="AD110" s="121"/>
      <c r="AE110" s="84"/>
      <c r="AF110" s="84"/>
      <c r="AG110" s="122"/>
      <c r="AH110" s="122"/>
      <c r="AI110" s="84"/>
    </row>
    <row r="111" spans="1:35" ht="15">
      <c r="A111" s="155"/>
      <c r="B111" s="155"/>
      <c r="C111" s="155"/>
      <c r="D111" s="155"/>
      <c r="E111" s="155"/>
      <c r="F111" s="155"/>
      <c r="G111" s="155"/>
      <c r="H111" s="85" t="s">
        <v>58</v>
      </c>
      <c r="I111" s="147"/>
      <c r="J111" s="84"/>
      <c r="K111" s="84"/>
      <c r="L111" s="86" t="b">
        <v>0</v>
      </c>
      <c r="M111" s="86" t="b">
        <v>0</v>
      </c>
      <c r="N111" s="83"/>
      <c r="O111" s="83"/>
      <c r="P111" s="87">
        <f t="shared" si="16"/>
        <v>0</v>
      </c>
      <c r="Q111" s="83"/>
      <c r="R111" s="84"/>
      <c r="S111" s="83"/>
      <c r="T111" s="83"/>
      <c r="U111" s="87">
        <f t="shared" si="17"/>
        <v>0</v>
      </c>
      <c r="V111" s="84"/>
      <c r="W111" s="84"/>
      <c r="X111" s="133"/>
      <c r="Y111" s="133"/>
      <c r="Z111" s="121"/>
      <c r="AA111" s="133"/>
      <c r="AB111" s="121"/>
      <c r="AC111" s="121"/>
      <c r="AD111" s="121"/>
      <c r="AE111" s="84"/>
      <c r="AF111" s="84"/>
      <c r="AG111" s="122"/>
      <c r="AH111" s="122"/>
      <c r="AI111" s="148"/>
    </row>
    <row r="112" spans="1:35" ht="15">
      <c r="A112" s="155"/>
      <c r="B112" s="155"/>
      <c r="C112" s="155"/>
      <c r="D112" s="157" t="s">
        <v>455</v>
      </c>
      <c r="E112" s="175" t="s">
        <v>459</v>
      </c>
      <c r="F112" s="156" t="s">
        <v>457</v>
      </c>
      <c r="G112" s="158"/>
      <c r="H112" s="5" t="s">
        <v>458</v>
      </c>
      <c r="I112" s="150"/>
      <c r="J112" s="9"/>
      <c r="K112" s="9"/>
      <c r="L112" s="11" t="b">
        <v>0</v>
      </c>
      <c r="M112" s="11" t="b">
        <v>0</v>
      </c>
      <c r="N112" s="7"/>
      <c r="O112" s="7"/>
      <c r="P112" s="8">
        <f t="shared" si="16"/>
        <v>0</v>
      </c>
      <c r="Q112" s="7"/>
      <c r="R112" s="9"/>
      <c r="S112" s="7"/>
      <c r="T112" s="7"/>
      <c r="U112" s="8">
        <f t="shared" si="17"/>
        <v>0</v>
      </c>
      <c r="V112" s="9"/>
      <c r="W112" s="9"/>
      <c r="X112" s="9"/>
      <c r="Y112" s="9"/>
      <c r="Z112" s="5"/>
      <c r="AA112" s="9"/>
      <c r="AB112" s="5"/>
      <c r="AC112" s="5"/>
      <c r="AD112" s="5"/>
      <c r="AE112" s="9"/>
      <c r="AF112" s="9"/>
      <c r="AG112" s="26"/>
      <c r="AH112" s="26"/>
      <c r="AI112" s="151"/>
    </row>
    <row r="113" spans="1:35" ht="12.75">
      <c r="A113" s="155"/>
      <c r="B113" s="155"/>
      <c r="C113" s="155"/>
      <c r="D113" s="155"/>
      <c r="E113" s="155"/>
      <c r="F113" s="155"/>
      <c r="G113" s="155"/>
      <c r="H113" s="5" t="s">
        <v>58</v>
      </c>
      <c r="I113" s="152"/>
      <c r="J113" s="9"/>
      <c r="K113" s="9"/>
      <c r="L113" s="11" t="b">
        <v>0</v>
      </c>
      <c r="M113" s="11" t="b">
        <v>0</v>
      </c>
      <c r="N113" s="7"/>
      <c r="O113" s="7"/>
      <c r="P113" s="8">
        <f t="shared" si="16"/>
        <v>0</v>
      </c>
      <c r="Q113" s="7"/>
      <c r="R113" s="9"/>
      <c r="S113" s="7"/>
      <c r="T113" s="7"/>
      <c r="U113" s="8">
        <f t="shared" si="17"/>
        <v>0</v>
      </c>
      <c r="V113" s="9"/>
      <c r="W113" s="9"/>
      <c r="X113" s="9"/>
      <c r="Y113" s="9"/>
      <c r="Z113" s="5"/>
      <c r="AA113" s="9"/>
      <c r="AB113" s="5"/>
      <c r="AC113" s="5"/>
      <c r="AD113" s="5"/>
      <c r="AE113" s="9"/>
      <c r="AF113" s="9"/>
      <c r="AG113" s="26"/>
      <c r="AH113" s="26"/>
      <c r="AI113" s="26"/>
    </row>
    <row r="114" spans="1:35" ht="15">
      <c r="A114" s="155"/>
      <c r="B114" s="155"/>
      <c r="C114" s="155"/>
      <c r="D114" s="176" t="s">
        <v>460</v>
      </c>
      <c r="E114" s="177" t="s">
        <v>461</v>
      </c>
      <c r="F114" s="176" t="s">
        <v>462</v>
      </c>
      <c r="G114" s="178"/>
      <c r="H114" s="85" t="s">
        <v>49</v>
      </c>
      <c r="I114" s="135"/>
      <c r="J114" s="84"/>
      <c r="K114" s="84"/>
      <c r="L114" s="86" t="b">
        <v>0</v>
      </c>
      <c r="M114" s="86" t="b">
        <v>0</v>
      </c>
      <c r="N114" s="83"/>
      <c r="O114" s="83"/>
      <c r="P114" s="87">
        <f t="shared" si="16"/>
        <v>0</v>
      </c>
      <c r="Q114" s="83"/>
      <c r="R114" s="84"/>
      <c r="S114" s="83"/>
      <c r="T114" s="83"/>
      <c r="U114" s="87">
        <f t="shared" si="17"/>
        <v>0</v>
      </c>
      <c r="V114" s="84"/>
      <c r="W114" s="84"/>
      <c r="X114" s="84"/>
      <c r="Y114" s="84"/>
      <c r="Z114" s="85"/>
      <c r="AA114" s="84"/>
      <c r="AB114" s="85"/>
      <c r="AC114" s="85"/>
      <c r="AD114" s="85"/>
      <c r="AE114" s="84"/>
      <c r="AF114" s="84"/>
      <c r="AG114" s="122"/>
      <c r="AH114" s="122"/>
      <c r="AI114" s="153"/>
    </row>
    <row r="115" spans="1:35" ht="15">
      <c r="A115" s="155"/>
      <c r="B115" s="155"/>
      <c r="C115" s="155"/>
      <c r="D115" s="155"/>
      <c r="E115" s="155"/>
      <c r="F115" s="155"/>
      <c r="G115" s="155"/>
      <c r="H115" s="85" t="s">
        <v>58</v>
      </c>
      <c r="I115" s="135"/>
      <c r="J115" s="84"/>
      <c r="K115" s="84"/>
      <c r="L115" s="86" t="b">
        <v>0</v>
      </c>
      <c r="M115" s="86" t="b">
        <v>0</v>
      </c>
      <c r="N115" s="83"/>
      <c r="O115" s="83"/>
      <c r="P115" s="87">
        <f t="shared" si="16"/>
        <v>0</v>
      </c>
      <c r="Q115" s="83"/>
      <c r="R115" s="84"/>
      <c r="S115" s="83"/>
      <c r="T115" s="83"/>
      <c r="U115" s="87">
        <f t="shared" si="17"/>
        <v>0</v>
      </c>
      <c r="V115" s="84"/>
      <c r="W115" s="84"/>
      <c r="X115" s="133"/>
      <c r="Y115" s="133"/>
      <c r="Z115" s="121"/>
      <c r="AA115" s="133"/>
      <c r="AB115" s="121"/>
      <c r="AC115" s="121"/>
      <c r="AD115" s="121"/>
      <c r="AE115" s="84"/>
      <c r="AF115" s="84"/>
      <c r="AG115" s="122"/>
      <c r="AH115" s="122"/>
      <c r="AI115" s="153"/>
    </row>
    <row r="116" spans="1:35" ht="15">
      <c r="A116" s="155"/>
      <c r="B116" s="155"/>
      <c r="C116" s="155"/>
      <c r="D116" s="157" t="s">
        <v>453</v>
      </c>
      <c r="E116" s="157" t="s">
        <v>463</v>
      </c>
      <c r="F116" s="157" t="s">
        <v>464</v>
      </c>
      <c r="G116" s="158"/>
      <c r="H116" s="5" t="s">
        <v>465</v>
      </c>
      <c r="I116" s="22"/>
      <c r="J116" s="9"/>
      <c r="K116" s="9"/>
      <c r="L116" s="11" t="b">
        <v>0</v>
      </c>
      <c r="M116" s="11" t="b">
        <v>0</v>
      </c>
      <c r="N116" s="7"/>
      <c r="O116" s="7"/>
      <c r="P116" s="8">
        <f t="shared" si="16"/>
        <v>0</v>
      </c>
      <c r="Q116" s="7"/>
      <c r="R116" s="9"/>
      <c r="S116" s="7"/>
      <c r="T116" s="7"/>
      <c r="U116" s="8">
        <f t="shared" si="17"/>
        <v>0</v>
      </c>
      <c r="V116" s="9"/>
      <c r="W116" s="9"/>
      <c r="X116" s="18"/>
      <c r="Y116" s="18"/>
      <c r="Z116" s="19"/>
      <c r="AA116" s="18"/>
      <c r="AB116" s="19"/>
      <c r="AC116" s="19"/>
      <c r="AD116" s="19"/>
      <c r="AE116" s="9"/>
      <c r="AF116" s="9"/>
      <c r="AG116" s="26"/>
      <c r="AH116" s="26"/>
      <c r="AI116" s="151"/>
    </row>
    <row r="117" spans="1:35" ht="15">
      <c r="A117" s="155"/>
      <c r="B117" s="155"/>
      <c r="C117" s="155"/>
      <c r="D117" s="155"/>
      <c r="E117" s="155"/>
      <c r="F117" s="155"/>
      <c r="G117" s="155"/>
      <c r="H117" s="5" t="s">
        <v>58</v>
      </c>
      <c r="I117" s="22"/>
      <c r="J117" s="9"/>
      <c r="K117" s="9"/>
      <c r="L117" s="11" t="b">
        <v>0</v>
      </c>
      <c r="M117" s="11" t="b">
        <v>0</v>
      </c>
      <c r="N117" s="7"/>
      <c r="O117" s="7"/>
      <c r="P117" s="8">
        <f t="shared" si="16"/>
        <v>0</v>
      </c>
      <c r="Q117" s="7"/>
      <c r="R117" s="9"/>
      <c r="S117" s="7"/>
      <c r="T117" s="7"/>
      <c r="U117" s="8">
        <f t="shared" si="17"/>
        <v>0</v>
      </c>
      <c r="V117" s="9"/>
      <c r="W117" s="9"/>
      <c r="X117" s="18"/>
      <c r="Y117" s="18"/>
      <c r="Z117" s="19"/>
      <c r="AA117" s="18"/>
      <c r="AB117" s="19"/>
      <c r="AC117" s="19"/>
      <c r="AD117" s="19"/>
      <c r="AE117" s="9"/>
      <c r="AF117" s="9"/>
      <c r="AG117" s="26"/>
      <c r="AH117" s="26"/>
      <c r="AI117" s="151"/>
    </row>
    <row r="118" spans="1:35" ht="12.75">
      <c r="A118" s="114"/>
      <c r="B118" s="114"/>
      <c r="C118" s="114"/>
      <c r="D118" s="115"/>
      <c r="E118" s="115"/>
      <c r="F118" s="115"/>
      <c r="G118" s="116"/>
      <c r="H118" s="115"/>
      <c r="I118" s="117"/>
      <c r="J118" s="116"/>
      <c r="K118" s="116"/>
      <c r="L118" s="116"/>
      <c r="M118" s="116"/>
      <c r="N118" s="118"/>
      <c r="O118" s="118"/>
      <c r="P118" s="119"/>
      <c r="Q118" s="118"/>
      <c r="R118" s="116"/>
      <c r="S118" s="118"/>
      <c r="T118" s="118"/>
      <c r="U118" s="119"/>
      <c r="V118" s="116"/>
      <c r="W118" s="116"/>
      <c r="X118" s="116"/>
      <c r="Y118" s="116"/>
      <c r="Z118" s="115"/>
      <c r="AA118" s="116"/>
      <c r="AB118" s="115"/>
      <c r="AC118" s="115"/>
      <c r="AD118" s="115"/>
      <c r="AE118" s="116"/>
      <c r="AF118" s="116"/>
      <c r="AG118" s="116"/>
      <c r="AH118" s="116"/>
      <c r="AI118" s="116"/>
    </row>
    <row r="119" spans="1:35" ht="15">
      <c r="A119" s="162" t="s">
        <v>138</v>
      </c>
      <c r="B119" s="162" t="s">
        <v>139</v>
      </c>
      <c r="C119" s="162" t="s">
        <v>140</v>
      </c>
      <c r="D119" s="162" t="s">
        <v>453</v>
      </c>
      <c r="E119" s="160" t="s">
        <v>47</v>
      </c>
      <c r="F119" s="162" t="s">
        <v>454</v>
      </c>
      <c r="G119" s="164"/>
      <c r="H119" s="77" t="s">
        <v>49</v>
      </c>
      <c r="I119" s="108"/>
      <c r="J119" s="78"/>
      <c r="K119" s="78"/>
      <c r="L119" s="79" t="b">
        <v>1</v>
      </c>
      <c r="M119" s="79" t="b">
        <v>0</v>
      </c>
      <c r="N119" s="81"/>
      <c r="O119" s="81"/>
      <c r="P119" s="80">
        <f t="shared" ref="P119:P130" si="18">N119+O119</f>
        <v>0</v>
      </c>
      <c r="Q119" s="81"/>
      <c r="R119" s="78"/>
      <c r="S119" s="81"/>
      <c r="T119" s="81"/>
      <c r="U119" s="80">
        <f t="shared" ref="U119:U130" si="19">S119+T119</f>
        <v>0</v>
      </c>
      <c r="V119" s="78">
        <v>0</v>
      </c>
      <c r="W119" s="78"/>
      <c r="X119" s="78"/>
      <c r="Y119" s="78"/>
      <c r="Z119" s="77"/>
      <c r="AA119" s="78"/>
      <c r="AB119" s="77"/>
      <c r="AC119" s="77"/>
      <c r="AD119" s="77"/>
      <c r="AE119" s="154">
        <f t="shared" ref="AE119:AE120" si="20">104*2</f>
        <v>208</v>
      </c>
      <c r="AF119" s="78"/>
      <c r="AG119" s="109"/>
      <c r="AH119" s="109"/>
      <c r="AI119" s="78" t="s">
        <v>477</v>
      </c>
    </row>
    <row r="120" spans="1:35" ht="15">
      <c r="A120" s="155"/>
      <c r="B120" s="155"/>
      <c r="C120" s="155"/>
      <c r="D120" s="155"/>
      <c r="E120" s="155"/>
      <c r="F120" s="155"/>
      <c r="G120" s="155"/>
      <c r="H120" s="85" t="s">
        <v>58</v>
      </c>
      <c r="I120" s="112"/>
      <c r="J120" s="84"/>
      <c r="K120" s="84"/>
      <c r="L120" s="86" t="b">
        <v>1</v>
      </c>
      <c r="M120" s="86" t="b">
        <v>0</v>
      </c>
      <c r="N120" s="83"/>
      <c r="O120" s="83"/>
      <c r="P120" s="87">
        <f t="shared" si="18"/>
        <v>0</v>
      </c>
      <c r="Q120" s="83"/>
      <c r="R120" s="84"/>
      <c r="S120" s="83"/>
      <c r="T120" s="83"/>
      <c r="U120" s="87">
        <f t="shared" si="19"/>
        <v>0</v>
      </c>
      <c r="V120" s="84">
        <v>0</v>
      </c>
      <c r="W120" s="84"/>
      <c r="X120" s="84"/>
      <c r="Y120" s="84"/>
      <c r="Z120" s="85"/>
      <c r="AA120" s="84"/>
      <c r="AB120" s="85"/>
      <c r="AC120" s="85"/>
      <c r="AD120" s="85"/>
      <c r="AE120" s="154">
        <f t="shared" si="20"/>
        <v>208</v>
      </c>
      <c r="AF120" s="84"/>
      <c r="AG120" s="110"/>
      <c r="AH120" s="110"/>
      <c r="AI120" s="84" t="s">
        <v>477</v>
      </c>
    </row>
    <row r="121" spans="1:35" ht="12.75">
      <c r="A121" s="155"/>
      <c r="B121" s="155"/>
      <c r="C121" s="155"/>
      <c r="D121" s="157" t="s">
        <v>453</v>
      </c>
      <c r="E121" s="157" t="s">
        <v>59</v>
      </c>
      <c r="F121" s="157" t="s">
        <v>454</v>
      </c>
      <c r="G121" s="158"/>
      <c r="H121" s="5" t="s">
        <v>49</v>
      </c>
      <c r="I121" s="17"/>
      <c r="J121" s="9"/>
      <c r="K121" s="9"/>
      <c r="L121" s="11" t="b">
        <v>0</v>
      </c>
      <c r="M121" s="11" t="b">
        <v>0</v>
      </c>
      <c r="N121" s="7"/>
      <c r="O121" s="7"/>
      <c r="P121" s="8">
        <f t="shared" si="18"/>
        <v>0</v>
      </c>
      <c r="Q121" s="7"/>
      <c r="R121" s="9"/>
      <c r="S121" s="7"/>
      <c r="T121" s="7"/>
      <c r="U121" s="8">
        <f t="shared" si="19"/>
        <v>0</v>
      </c>
      <c r="V121" s="9"/>
      <c r="W121" s="9"/>
      <c r="X121" s="18"/>
      <c r="Y121" s="18"/>
      <c r="Z121" s="19"/>
      <c r="AA121" s="18"/>
      <c r="AB121" s="19"/>
      <c r="AC121" s="19"/>
      <c r="AD121" s="19"/>
      <c r="AE121" s="9"/>
      <c r="AF121" s="9"/>
      <c r="AG121" s="26"/>
      <c r="AH121" s="26"/>
      <c r="AI121" s="89"/>
    </row>
    <row r="122" spans="1:35" ht="12.75">
      <c r="A122" s="155"/>
      <c r="B122" s="155"/>
      <c r="C122" s="155"/>
      <c r="D122" s="155"/>
      <c r="E122" s="155"/>
      <c r="F122" s="155"/>
      <c r="G122" s="155"/>
      <c r="H122" s="5" t="s">
        <v>58</v>
      </c>
      <c r="I122" s="22"/>
      <c r="J122" s="9"/>
      <c r="K122" s="9"/>
      <c r="L122" s="11" t="b">
        <v>0</v>
      </c>
      <c r="M122" s="11" t="b">
        <v>0</v>
      </c>
      <c r="N122" s="7"/>
      <c r="O122" s="7"/>
      <c r="P122" s="8">
        <f t="shared" si="18"/>
        <v>0</v>
      </c>
      <c r="Q122" s="7"/>
      <c r="R122" s="9"/>
      <c r="S122" s="7"/>
      <c r="T122" s="7"/>
      <c r="U122" s="8">
        <f t="shared" si="19"/>
        <v>0</v>
      </c>
      <c r="V122" s="9"/>
      <c r="W122" s="9"/>
      <c r="X122" s="18"/>
      <c r="Y122" s="18"/>
      <c r="Z122" s="19"/>
      <c r="AA122" s="18"/>
      <c r="AB122" s="19"/>
      <c r="AC122" s="19"/>
      <c r="AD122" s="19"/>
      <c r="AE122" s="9"/>
      <c r="AF122" s="9"/>
      <c r="AG122" s="26"/>
      <c r="AH122" s="26"/>
      <c r="AI122" s="9"/>
    </row>
    <row r="123" spans="1:35" ht="15">
      <c r="A123" s="155"/>
      <c r="B123" s="155"/>
      <c r="C123" s="155"/>
      <c r="D123" s="176" t="s">
        <v>455</v>
      </c>
      <c r="E123" s="176" t="s">
        <v>456</v>
      </c>
      <c r="F123" s="177" t="s">
        <v>457</v>
      </c>
      <c r="G123" s="178"/>
      <c r="H123" s="85" t="s">
        <v>458</v>
      </c>
      <c r="I123" s="147"/>
      <c r="J123" s="84"/>
      <c r="K123" s="84"/>
      <c r="L123" s="86" t="b">
        <v>0</v>
      </c>
      <c r="M123" s="86" t="b">
        <v>0</v>
      </c>
      <c r="N123" s="83"/>
      <c r="O123" s="83"/>
      <c r="P123" s="87">
        <f t="shared" si="18"/>
        <v>0</v>
      </c>
      <c r="Q123" s="83"/>
      <c r="R123" s="84"/>
      <c r="S123" s="83"/>
      <c r="T123" s="83"/>
      <c r="U123" s="87">
        <f t="shared" si="19"/>
        <v>0</v>
      </c>
      <c r="V123" s="84"/>
      <c r="W123" s="84"/>
      <c r="X123" s="133"/>
      <c r="Y123" s="133"/>
      <c r="Z123" s="121"/>
      <c r="AA123" s="133"/>
      <c r="AB123" s="121"/>
      <c r="AC123" s="121"/>
      <c r="AD123" s="121"/>
      <c r="AE123" s="84"/>
      <c r="AF123" s="84"/>
      <c r="AG123" s="122"/>
      <c r="AH123" s="122"/>
      <c r="AI123" s="84"/>
    </row>
    <row r="124" spans="1:35" ht="15">
      <c r="A124" s="155"/>
      <c r="B124" s="155"/>
      <c r="C124" s="155"/>
      <c r="D124" s="155"/>
      <c r="E124" s="155"/>
      <c r="F124" s="155"/>
      <c r="G124" s="155"/>
      <c r="H124" s="85" t="s">
        <v>58</v>
      </c>
      <c r="I124" s="147"/>
      <c r="J124" s="84"/>
      <c r="K124" s="84"/>
      <c r="L124" s="86" t="b">
        <v>0</v>
      </c>
      <c r="M124" s="86" t="b">
        <v>0</v>
      </c>
      <c r="N124" s="83"/>
      <c r="O124" s="83"/>
      <c r="P124" s="87">
        <f t="shared" si="18"/>
        <v>0</v>
      </c>
      <c r="Q124" s="83"/>
      <c r="R124" s="84"/>
      <c r="S124" s="83"/>
      <c r="T124" s="83"/>
      <c r="U124" s="87">
        <f t="shared" si="19"/>
        <v>0</v>
      </c>
      <c r="V124" s="84"/>
      <c r="W124" s="84"/>
      <c r="X124" s="133"/>
      <c r="Y124" s="133"/>
      <c r="Z124" s="121"/>
      <c r="AA124" s="133"/>
      <c r="AB124" s="121"/>
      <c r="AC124" s="121"/>
      <c r="AD124" s="121"/>
      <c r="AE124" s="84"/>
      <c r="AF124" s="84"/>
      <c r="AG124" s="122"/>
      <c r="AH124" s="122"/>
      <c r="AI124" s="148"/>
    </row>
    <row r="125" spans="1:35" ht="15">
      <c r="A125" s="155"/>
      <c r="B125" s="155"/>
      <c r="C125" s="155"/>
      <c r="D125" s="157" t="s">
        <v>455</v>
      </c>
      <c r="E125" s="175" t="s">
        <v>459</v>
      </c>
      <c r="F125" s="156" t="s">
        <v>457</v>
      </c>
      <c r="G125" s="158"/>
      <c r="H125" s="5" t="s">
        <v>458</v>
      </c>
      <c r="I125" s="150"/>
      <c r="J125" s="9"/>
      <c r="K125" s="9"/>
      <c r="L125" s="11" t="b">
        <v>0</v>
      </c>
      <c r="M125" s="11" t="b">
        <v>0</v>
      </c>
      <c r="N125" s="7"/>
      <c r="O125" s="7"/>
      <c r="P125" s="8">
        <f t="shared" si="18"/>
        <v>0</v>
      </c>
      <c r="Q125" s="7"/>
      <c r="R125" s="9"/>
      <c r="S125" s="7"/>
      <c r="T125" s="7"/>
      <c r="U125" s="8">
        <f t="shared" si="19"/>
        <v>0</v>
      </c>
      <c r="V125" s="9"/>
      <c r="W125" s="9"/>
      <c r="X125" s="9"/>
      <c r="Y125" s="9"/>
      <c r="Z125" s="5"/>
      <c r="AA125" s="9"/>
      <c r="AB125" s="5"/>
      <c r="AC125" s="5"/>
      <c r="AD125" s="5"/>
      <c r="AE125" s="9"/>
      <c r="AF125" s="9"/>
      <c r="AG125" s="26"/>
      <c r="AH125" s="26"/>
      <c r="AI125" s="151"/>
    </row>
    <row r="126" spans="1:35" ht="12.75">
      <c r="A126" s="155"/>
      <c r="B126" s="155"/>
      <c r="C126" s="155"/>
      <c r="D126" s="155"/>
      <c r="E126" s="155"/>
      <c r="F126" s="155"/>
      <c r="G126" s="155"/>
      <c r="H126" s="5" t="s">
        <v>58</v>
      </c>
      <c r="I126" s="152"/>
      <c r="J126" s="9"/>
      <c r="K126" s="9"/>
      <c r="L126" s="11" t="b">
        <v>0</v>
      </c>
      <c r="M126" s="11" t="b">
        <v>0</v>
      </c>
      <c r="N126" s="7"/>
      <c r="O126" s="7"/>
      <c r="P126" s="8">
        <f t="shared" si="18"/>
        <v>0</v>
      </c>
      <c r="Q126" s="7"/>
      <c r="R126" s="9"/>
      <c r="S126" s="7"/>
      <c r="T126" s="7"/>
      <c r="U126" s="8">
        <f t="shared" si="19"/>
        <v>0</v>
      </c>
      <c r="V126" s="9"/>
      <c r="W126" s="9"/>
      <c r="X126" s="9"/>
      <c r="Y126" s="9"/>
      <c r="Z126" s="5"/>
      <c r="AA126" s="9"/>
      <c r="AB126" s="5"/>
      <c r="AC126" s="5"/>
      <c r="AD126" s="5"/>
      <c r="AE126" s="9"/>
      <c r="AF126" s="9"/>
      <c r="AG126" s="26"/>
      <c r="AH126" s="26"/>
      <c r="AI126" s="26"/>
    </row>
    <row r="127" spans="1:35" ht="15">
      <c r="A127" s="155"/>
      <c r="B127" s="155"/>
      <c r="C127" s="155"/>
      <c r="D127" s="176" t="s">
        <v>460</v>
      </c>
      <c r="E127" s="177" t="s">
        <v>461</v>
      </c>
      <c r="F127" s="176" t="s">
        <v>462</v>
      </c>
      <c r="G127" s="178"/>
      <c r="H127" s="85" t="s">
        <v>49</v>
      </c>
      <c r="I127" s="135"/>
      <c r="J127" s="84"/>
      <c r="K127" s="84"/>
      <c r="L127" s="86" t="b">
        <v>0</v>
      </c>
      <c r="M127" s="86" t="b">
        <v>0</v>
      </c>
      <c r="N127" s="83"/>
      <c r="O127" s="83"/>
      <c r="P127" s="87">
        <f t="shared" si="18"/>
        <v>0</v>
      </c>
      <c r="Q127" s="83"/>
      <c r="R127" s="84"/>
      <c r="S127" s="83"/>
      <c r="T127" s="83"/>
      <c r="U127" s="87">
        <f t="shared" si="19"/>
        <v>0</v>
      </c>
      <c r="V127" s="84"/>
      <c r="W127" s="84"/>
      <c r="X127" s="84"/>
      <c r="Y127" s="84"/>
      <c r="Z127" s="85"/>
      <c r="AA127" s="84"/>
      <c r="AB127" s="85"/>
      <c r="AC127" s="85"/>
      <c r="AD127" s="85"/>
      <c r="AE127" s="84"/>
      <c r="AF127" s="84"/>
      <c r="AG127" s="122"/>
      <c r="AH127" s="122"/>
      <c r="AI127" s="153"/>
    </row>
    <row r="128" spans="1:35" ht="15">
      <c r="A128" s="155"/>
      <c r="B128" s="155"/>
      <c r="C128" s="155"/>
      <c r="D128" s="155"/>
      <c r="E128" s="155"/>
      <c r="F128" s="155"/>
      <c r="G128" s="155"/>
      <c r="H128" s="85" t="s">
        <v>58</v>
      </c>
      <c r="I128" s="135"/>
      <c r="J128" s="84"/>
      <c r="K128" s="84"/>
      <c r="L128" s="86" t="b">
        <v>0</v>
      </c>
      <c r="M128" s="86" t="b">
        <v>0</v>
      </c>
      <c r="N128" s="83"/>
      <c r="O128" s="83"/>
      <c r="P128" s="87">
        <f t="shared" si="18"/>
        <v>0</v>
      </c>
      <c r="Q128" s="83"/>
      <c r="R128" s="84"/>
      <c r="S128" s="83"/>
      <c r="T128" s="83"/>
      <c r="U128" s="87">
        <f t="shared" si="19"/>
        <v>0</v>
      </c>
      <c r="V128" s="84"/>
      <c r="W128" s="84"/>
      <c r="X128" s="133"/>
      <c r="Y128" s="133"/>
      <c r="Z128" s="121"/>
      <c r="AA128" s="133"/>
      <c r="AB128" s="121"/>
      <c r="AC128" s="121"/>
      <c r="AD128" s="121"/>
      <c r="AE128" s="84"/>
      <c r="AF128" s="84"/>
      <c r="AG128" s="122"/>
      <c r="AH128" s="122"/>
      <c r="AI128" s="153"/>
    </row>
    <row r="129" spans="1:35" ht="15">
      <c r="A129" s="155"/>
      <c r="B129" s="155"/>
      <c r="C129" s="155"/>
      <c r="D129" s="157" t="s">
        <v>453</v>
      </c>
      <c r="E129" s="157" t="s">
        <v>463</v>
      </c>
      <c r="F129" s="157" t="s">
        <v>464</v>
      </c>
      <c r="G129" s="158"/>
      <c r="H129" s="5" t="s">
        <v>465</v>
      </c>
      <c r="I129" s="22"/>
      <c r="J129" s="9"/>
      <c r="K129" s="9"/>
      <c r="L129" s="11" t="b">
        <v>0</v>
      </c>
      <c r="M129" s="11" t="b">
        <v>0</v>
      </c>
      <c r="N129" s="7"/>
      <c r="O129" s="7"/>
      <c r="P129" s="8">
        <f t="shared" si="18"/>
        <v>0</v>
      </c>
      <c r="Q129" s="7"/>
      <c r="R129" s="9"/>
      <c r="S129" s="7"/>
      <c r="T129" s="7"/>
      <c r="U129" s="8">
        <f t="shared" si="19"/>
        <v>0</v>
      </c>
      <c r="V129" s="9"/>
      <c r="W129" s="9"/>
      <c r="X129" s="18"/>
      <c r="Y129" s="18"/>
      <c r="Z129" s="19"/>
      <c r="AA129" s="18"/>
      <c r="AB129" s="19"/>
      <c r="AC129" s="19"/>
      <c r="AD129" s="19"/>
      <c r="AE129" s="9"/>
      <c r="AF129" s="9"/>
      <c r="AG129" s="26"/>
      <c r="AH129" s="26"/>
      <c r="AI129" s="151"/>
    </row>
    <row r="130" spans="1:35" ht="15">
      <c r="A130" s="155"/>
      <c r="B130" s="155"/>
      <c r="C130" s="155"/>
      <c r="D130" s="155"/>
      <c r="E130" s="155"/>
      <c r="F130" s="155"/>
      <c r="G130" s="155"/>
      <c r="H130" s="5" t="s">
        <v>58</v>
      </c>
      <c r="I130" s="22"/>
      <c r="J130" s="9"/>
      <c r="K130" s="9"/>
      <c r="L130" s="11" t="b">
        <v>0</v>
      </c>
      <c r="M130" s="11" t="b">
        <v>0</v>
      </c>
      <c r="N130" s="7"/>
      <c r="O130" s="7"/>
      <c r="P130" s="8">
        <f t="shared" si="18"/>
        <v>0</v>
      </c>
      <c r="Q130" s="7"/>
      <c r="R130" s="9"/>
      <c r="S130" s="7"/>
      <c r="T130" s="7"/>
      <c r="U130" s="8">
        <f t="shared" si="19"/>
        <v>0</v>
      </c>
      <c r="V130" s="9"/>
      <c r="W130" s="9"/>
      <c r="X130" s="18"/>
      <c r="Y130" s="18"/>
      <c r="Z130" s="19"/>
      <c r="AA130" s="18"/>
      <c r="AB130" s="19"/>
      <c r="AC130" s="19"/>
      <c r="AD130" s="19"/>
      <c r="AE130" s="9"/>
      <c r="AF130" s="9"/>
      <c r="AG130" s="26"/>
      <c r="AH130" s="26"/>
      <c r="AI130" s="151"/>
    </row>
    <row r="131" spans="1:35" ht="12.75">
      <c r="A131" s="114"/>
      <c r="B131" s="114"/>
      <c r="C131" s="114"/>
      <c r="D131" s="115"/>
      <c r="E131" s="115"/>
      <c r="F131" s="115"/>
      <c r="G131" s="116"/>
      <c r="H131" s="115"/>
      <c r="I131" s="117"/>
      <c r="J131" s="116"/>
      <c r="K131" s="116"/>
      <c r="L131" s="116"/>
      <c r="M131" s="116"/>
      <c r="N131" s="118"/>
      <c r="O131" s="118"/>
      <c r="P131" s="119"/>
      <c r="Q131" s="118"/>
      <c r="R131" s="116"/>
      <c r="S131" s="118"/>
      <c r="T131" s="118"/>
      <c r="U131" s="119"/>
      <c r="V131" s="116"/>
      <c r="W131" s="116"/>
      <c r="X131" s="116"/>
      <c r="Y131" s="116"/>
      <c r="Z131" s="115"/>
      <c r="AA131" s="116"/>
      <c r="AB131" s="115"/>
      <c r="AC131" s="115"/>
      <c r="AD131" s="115"/>
      <c r="AE131" s="116"/>
      <c r="AF131" s="116"/>
      <c r="AG131" s="116"/>
      <c r="AH131" s="116"/>
      <c r="AI131" s="116"/>
    </row>
    <row r="132" spans="1:35" ht="12.75">
      <c r="A132" s="162" t="s">
        <v>151</v>
      </c>
      <c r="B132" s="162" t="s">
        <v>152</v>
      </c>
      <c r="C132" s="162" t="s">
        <v>153</v>
      </c>
      <c r="D132" s="162" t="s">
        <v>453</v>
      </c>
      <c r="E132" s="160" t="s">
        <v>47</v>
      </c>
      <c r="F132" s="162" t="s">
        <v>454</v>
      </c>
      <c r="G132" s="164"/>
      <c r="H132" s="77" t="s">
        <v>49</v>
      </c>
      <c r="I132" s="108"/>
      <c r="J132" s="78"/>
      <c r="K132" s="78"/>
      <c r="L132" s="79" t="b">
        <v>0</v>
      </c>
      <c r="M132" s="79" t="b">
        <v>0</v>
      </c>
      <c r="N132" s="81"/>
      <c r="O132" s="81"/>
      <c r="P132" s="80">
        <f t="shared" ref="P132:P143" si="21">N132+O132</f>
        <v>0</v>
      </c>
      <c r="Q132" s="81"/>
      <c r="R132" s="78"/>
      <c r="S132" s="81"/>
      <c r="T132" s="81"/>
      <c r="U132" s="80">
        <f t="shared" ref="U132:U143" si="22">S132+T132</f>
        <v>0</v>
      </c>
      <c r="V132" s="78"/>
      <c r="W132" s="78"/>
      <c r="X132" s="78"/>
      <c r="Y132" s="78"/>
      <c r="Z132" s="77"/>
      <c r="AA132" s="78"/>
      <c r="AB132" s="77"/>
      <c r="AC132" s="77"/>
      <c r="AD132" s="77"/>
      <c r="AE132" s="78"/>
      <c r="AF132" s="78"/>
      <c r="AG132" s="109"/>
      <c r="AH132" s="109"/>
      <c r="AI132" s="78"/>
    </row>
    <row r="133" spans="1:35" ht="12.75">
      <c r="A133" s="155"/>
      <c r="B133" s="155"/>
      <c r="C133" s="155"/>
      <c r="D133" s="155"/>
      <c r="E133" s="155"/>
      <c r="F133" s="155"/>
      <c r="G133" s="155"/>
      <c r="H133" s="85" t="s">
        <v>58</v>
      </c>
      <c r="I133" s="112"/>
      <c r="J133" s="84"/>
      <c r="K133" s="84"/>
      <c r="L133" s="86" t="b">
        <v>0</v>
      </c>
      <c r="M133" s="86" t="b">
        <v>0</v>
      </c>
      <c r="N133" s="83"/>
      <c r="O133" s="83"/>
      <c r="P133" s="87">
        <f t="shared" si="21"/>
        <v>0</v>
      </c>
      <c r="Q133" s="83"/>
      <c r="R133" s="84"/>
      <c r="S133" s="83"/>
      <c r="T133" s="83"/>
      <c r="U133" s="87">
        <f t="shared" si="22"/>
        <v>0</v>
      </c>
      <c r="V133" s="84"/>
      <c r="W133" s="84"/>
      <c r="X133" s="84"/>
      <c r="Y133" s="84"/>
      <c r="Z133" s="85"/>
      <c r="AA133" s="84"/>
      <c r="AB133" s="85"/>
      <c r="AC133" s="85"/>
      <c r="AD133" s="85"/>
      <c r="AE133" s="84"/>
      <c r="AF133" s="84"/>
      <c r="AG133" s="110"/>
      <c r="AH133" s="110"/>
      <c r="AI133" s="84"/>
    </row>
    <row r="134" spans="1:35" ht="12.75">
      <c r="A134" s="155"/>
      <c r="B134" s="155"/>
      <c r="C134" s="155"/>
      <c r="D134" s="157" t="s">
        <v>453</v>
      </c>
      <c r="E134" s="157" t="s">
        <v>59</v>
      </c>
      <c r="F134" s="157" t="s">
        <v>454</v>
      </c>
      <c r="G134" s="158"/>
      <c r="H134" s="5" t="s">
        <v>49</v>
      </c>
      <c r="I134" s="17"/>
      <c r="J134" s="9"/>
      <c r="K134" s="9"/>
      <c r="L134" s="11" t="b">
        <v>0</v>
      </c>
      <c r="M134" s="11" t="b">
        <v>0</v>
      </c>
      <c r="N134" s="7"/>
      <c r="O134" s="7"/>
      <c r="P134" s="8">
        <f t="shared" si="21"/>
        <v>0</v>
      </c>
      <c r="Q134" s="7"/>
      <c r="R134" s="9"/>
      <c r="S134" s="7"/>
      <c r="T134" s="7"/>
      <c r="U134" s="8">
        <f t="shared" si="22"/>
        <v>0</v>
      </c>
      <c r="V134" s="9"/>
      <c r="W134" s="9"/>
      <c r="X134" s="18"/>
      <c r="Y134" s="18"/>
      <c r="Z134" s="19"/>
      <c r="AA134" s="18"/>
      <c r="AB134" s="19"/>
      <c r="AC134" s="19"/>
      <c r="AD134" s="19"/>
      <c r="AE134" s="9"/>
      <c r="AF134" s="9"/>
      <c r="AG134" s="26"/>
      <c r="AH134" s="26"/>
      <c r="AI134" s="89"/>
    </row>
    <row r="135" spans="1:35" ht="12.75">
      <c r="A135" s="155"/>
      <c r="B135" s="155"/>
      <c r="C135" s="155"/>
      <c r="D135" s="155"/>
      <c r="E135" s="155"/>
      <c r="F135" s="155"/>
      <c r="G135" s="155"/>
      <c r="H135" s="5" t="s">
        <v>58</v>
      </c>
      <c r="I135" s="22"/>
      <c r="J135" s="9"/>
      <c r="K135" s="9"/>
      <c r="L135" s="11" t="b">
        <v>0</v>
      </c>
      <c r="M135" s="11" t="b">
        <v>0</v>
      </c>
      <c r="N135" s="7"/>
      <c r="O135" s="7"/>
      <c r="P135" s="8">
        <f t="shared" si="21"/>
        <v>0</v>
      </c>
      <c r="Q135" s="7"/>
      <c r="R135" s="9"/>
      <c r="S135" s="7"/>
      <c r="T135" s="7"/>
      <c r="U135" s="8">
        <f t="shared" si="22"/>
        <v>0</v>
      </c>
      <c r="V135" s="9"/>
      <c r="W135" s="9"/>
      <c r="X135" s="18"/>
      <c r="Y135" s="18"/>
      <c r="Z135" s="19"/>
      <c r="AA135" s="18"/>
      <c r="AB135" s="19"/>
      <c r="AC135" s="19"/>
      <c r="AD135" s="19"/>
      <c r="AE135" s="9"/>
      <c r="AF135" s="9"/>
      <c r="AG135" s="26"/>
      <c r="AH135" s="26"/>
      <c r="AI135" s="9"/>
    </row>
    <row r="136" spans="1:35" ht="15">
      <c r="A136" s="155"/>
      <c r="B136" s="155"/>
      <c r="C136" s="155"/>
      <c r="D136" s="176" t="s">
        <v>455</v>
      </c>
      <c r="E136" s="176" t="s">
        <v>456</v>
      </c>
      <c r="F136" s="177" t="s">
        <v>457</v>
      </c>
      <c r="G136" s="178"/>
      <c r="H136" s="85" t="s">
        <v>458</v>
      </c>
      <c r="I136" s="147"/>
      <c r="J136" s="84"/>
      <c r="K136" s="84"/>
      <c r="L136" s="86" t="b">
        <v>0</v>
      </c>
      <c r="M136" s="86" t="b">
        <v>0</v>
      </c>
      <c r="N136" s="83"/>
      <c r="O136" s="83"/>
      <c r="P136" s="87">
        <f t="shared" si="21"/>
        <v>0</v>
      </c>
      <c r="Q136" s="83"/>
      <c r="R136" s="84"/>
      <c r="S136" s="83"/>
      <c r="T136" s="83"/>
      <c r="U136" s="87">
        <f t="shared" si="22"/>
        <v>0</v>
      </c>
      <c r="V136" s="84"/>
      <c r="W136" s="84"/>
      <c r="X136" s="133"/>
      <c r="Y136" s="133"/>
      <c r="Z136" s="121"/>
      <c r="AA136" s="133"/>
      <c r="AB136" s="121"/>
      <c r="AC136" s="121"/>
      <c r="AD136" s="121"/>
      <c r="AE136" s="84"/>
      <c r="AF136" s="84"/>
      <c r="AG136" s="122"/>
      <c r="AH136" s="122"/>
      <c r="AI136" s="84"/>
    </row>
    <row r="137" spans="1:35" ht="15">
      <c r="A137" s="155"/>
      <c r="B137" s="155"/>
      <c r="C137" s="155"/>
      <c r="D137" s="155"/>
      <c r="E137" s="155"/>
      <c r="F137" s="155"/>
      <c r="G137" s="155"/>
      <c r="H137" s="85" t="s">
        <v>58</v>
      </c>
      <c r="I137" s="147"/>
      <c r="J137" s="84"/>
      <c r="K137" s="84"/>
      <c r="L137" s="86" t="b">
        <v>0</v>
      </c>
      <c r="M137" s="86" t="b">
        <v>0</v>
      </c>
      <c r="N137" s="83"/>
      <c r="O137" s="83"/>
      <c r="P137" s="87">
        <f t="shared" si="21"/>
        <v>0</v>
      </c>
      <c r="Q137" s="83"/>
      <c r="R137" s="84"/>
      <c r="S137" s="83"/>
      <c r="T137" s="83"/>
      <c r="U137" s="87">
        <f t="shared" si="22"/>
        <v>0</v>
      </c>
      <c r="V137" s="84"/>
      <c r="W137" s="84"/>
      <c r="X137" s="133"/>
      <c r="Y137" s="133"/>
      <c r="Z137" s="121"/>
      <c r="AA137" s="133"/>
      <c r="AB137" s="121"/>
      <c r="AC137" s="121"/>
      <c r="AD137" s="121"/>
      <c r="AE137" s="84"/>
      <c r="AF137" s="84"/>
      <c r="AG137" s="122"/>
      <c r="AH137" s="122"/>
      <c r="AI137" s="148"/>
    </row>
    <row r="138" spans="1:35" ht="15">
      <c r="A138" s="155"/>
      <c r="B138" s="155"/>
      <c r="C138" s="155"/>
      <c r="D138" s="157" t="s">
        <v>455</v>
      </c>
      <c r="E138" s="175" t="s">
        <v>459</v>
      </c>
      <c r="F138" s="156" t="s">
        <v>457</v>
      </c>
      <c r="G138" s="158"/>
      <c r="H138" s="5" t="s">
        <v>458</v>
      </c>
      <c r="I138" s="150"/>
      <c r="J138" s="9"/>
      <c r="K138" s="9"/>
      <c r="L138" s="11" t="b">
        <v>0</v>
      </c>
      <c r="M138" s="11" t="b">
        <v>0</v>
      </c>
      <c r="N138" s="7"/>
      <c r="O138" s="7"/>
      <c r="P138" s="8">
        <f t="shared" si="21"/>
        <v>0</v>
      </c>
      <c r="Q138" s="7"/>
      <c r="R138" s="9"/>
      <c r="S138" s="7"/>
      <c r="T138" s="7"/>
      <c r="U138" s="8">
        <f t="shared" si="22"/>
        <v>0</v>
      </c>
      <c r="V138" s="9"/>
      <c r="W138" s="9"/>
      <c r="X138" s="9"/>
      <c r="Y138" s="9"/>
      <c r="Z138" s="5"/>
      <c r="AA138" s="9"/>
      <c r="AB138" s="5"/>
      <c r="AC138" s="5"/>
      <c r="AD138" s="5"/>
      <c r="AE138" s="9"/>
      <c r="AF138" s="9"/>
      <c r="AG138" s="26"/>
      <c r="AH138" s="26"/>
      <c r="AI138" s="151"/>
    </row>
    <row r="139" spans="1:35" ht="12.75">
      <c r="A139" s="155"/>
      <c r="B139" s="155"/>
      <c r="C139" s="155"/>
      <c r="D139" s="155"/>
      <c r="E139" s="155"/>
      <c r="F139" s="155"/>
      <c r="G139" s="155"/>
      <c r="H139" s="5" t="s">
        <v>58</v>
      </c>
      <c r="I139" s="152"/>
      <c r="J139" s="9"/>
      <c r="K139" s="9"/>
      <c r="L139" s="11" t="b">
        <v>0</v>
      </c>
      <c r="M139" s="11" t="b">
        <v>0</v>
      </c>
      <c r="N139" s="7"/>
      <c r="O139" s="7"/>
      <c r="P139" s="8">
        <f t="shared" si="21"/>
        <v>0</v>
      </c>
      <c r="Q139" s="7"/>
      <c r="R139" s="9"/>
      <c r="S139" s="7"/>
      <c r="T139" s="7"/>
      <c r="U139" s="8">
        <f t="shared" si="22"/>
        <v>0</v>
      </c>
      <c r="V139" s="9"/>
      <c r="W139" s="9"/>
      <c r="X139" s="9"/>
      <c r="Y139" s="9"/>
      <c r="Z139" s="5"/>
      <c r="AA139" s="9"/>
      <c r="AB139" s="5"/>
      <c r="AC139" s="5"/>
      <c r="AD139" s="5"/>
      <c r="AE139" s="9"/>
      <c r="AF139" s="9"/>
      <c r="AG139" s="26"/>
      <c r="AH139" s="26"/>
      <c r="AI139" s="26"/>
    </row>
    <row r="140" spans="1:35" ht="15">
      <c r="A140" s="155"/>
      <c r="B140" s="155"/>
      <c r="C140" s="155"/>
      <c r="D140" s="176" t="s">
        <v>460</v>
      </c>
      <c r="E140" s="177" t="s">
        <v>461</v>
      </c>
      <c r="F140" s="176" t="s">
        <v>462</v>
      </c>
      <c r="G140" s="178"/>
      <c r="H140" s="85" t="s">
        <v>49</v>
      </c>
      <c r="I140" s="135"/>
      <c r="J140" s="84"/>
      <c r="K140" s="84"/>
      <c r="L140" s="86" t="b">
        <v>0</v>
      </c>
      <c r="M140" s="86" t="b">
        <v>0</v>
      </c>
      <c r="N140" s="83"/>
      <c r="O140" s="83"/>
      <c r="P140" s="87">
        <f t="shared" si="21"/>
        <v>0</v>
      </c>
      <c r="Q140" s="83"/>
      <c r="R140" s="84"/>
      <c r="S140" s="83"/>
      <c r="T140" s="83"/>
      <c r="U140" s="87">
        <f t="shared" si="22"/>
        <v>0</v>
      </c>
      <c r="V140" s="84"/>
      <c r="W140" s="84"/>
      <c r="X140" s="84"/>
      <c r="Y140" s="84"/>
      <c r="Z140" s="85"/>
      <c r="AA140" s="84"/>
      <c r="AB140" s="85"/>
      <c r="AC140" s="85"/>
      <c r="AD140" s="85"/>
      <c r="AE140" s="84"/>
      <c r="AF140" s="84"/>
      <c r="AG140" s="122"/>
      <c r="AH140" s="122"/>
      <c r="AI140" s="153"/>
    </row>
    <row r="141" spans="1:35" ht="15">
      <c r="A141" s="155"/>
      <c r="B141" s="155"/>
      <c r="C141" s="155"/>
      <c r="D141" s="155"/>
      <c r="E141" s="155"/>
      <c r="F141" s="155"/>
      <c r="G141" s="155"/>
      <c r="H141" s="85" t="s">
        <v>58</v>
      </c>
      <c r="I141" s="135"/>
      <c r="J141" s="84"/>
      <c r="K141" s="84"/>
      <c r="L141" s="86" t="b">
        <v>0</v>
      </c>
      <c r="M141" s="86" t="b">
        <v>0</v>
      </c>
      <c r="N141" s="83"/>
      <c r="O141" s="83"/>
      <c r="P141" s="87">
        <f t="shared" si="21"/>
        <v>0</v>
      </c>
      <c r="Q141" s="83"/>
      <c r="R141" s="84"/>
      <c r="S141" s="83"/>
      <c r="T141" s="83"/>
      <c r="U141" s="87">
        <f t="shared" si="22"/>
        <v>0</v>
      </c>
      <c r="V141" s="84"/>
      <c r="W141" s="84"/>
      <c r="X141" s="133"/>
      <c r="Y141" s="133"/>
      <c r="Z141" s="121"/>
      <c r="AA141" s="133"/>
      <c r="AB141" s="121"/>
      <c r="AC141" s="121"/>
      <c r="AD141" s="121"/>
      <c r="AE141" s="84"/>
      <c r="AF141" s="84"/>
      <c r="AG141" s="122"/>
      <c r="AH141" s="122"/>
      <c r="AI141" s="153"/>
    </row>
    <row r="142" spans="1:35" ht="15">
      <c r="A142" s="155"/>
      <c r="B142" s="155"/>
      <c r="C142" s="155"/>
      <c r="D142" s="157" t="s">
        <v>453</v>
      </c>
      <c r="E142" s="157" t="s">
        <v>463</v>
      </c>
      <c r="F142" s="157" t="s">
        <v>464</v>
      </c>
      <c r="G142" s="158"/>
      <c r="H142" s="5" t="s">
        <v>465</v>
      </c>
      <c r="I142" s="22"/>
      <c r="J142" s="9"/>
      <c r="K142" s="9"/>
      <c r="L142" s="11" t="b">
        <v>0</v>
      </c>
      <c r="M142" s="11" t="b">
        <v>0</v>
      </c>
      <c r="N142" s="7"/>
      <c r="O142" s="7"/>
      <c r="P142" s="8">
        <f t="shared" si="21"/>
        <v>0</v>
      </c>
      <c r="Q142" s="7"/>
      <c r="R142" s="9"/>
      <c r="S142" s="7"/>
      <c r="T142" s="7"/>
      <c r="U142" s="8">
        <f t="shared" si="22"/>
        <v>0</v>
      </c>
      <c r="V142" s="9"/>
      <c r="W142" s="9"/>
      <c r="X142" s="18"/>
      <c r="Y142" s="18"/>
      <c r="Z142" s="19"/>
      <c r="AA142" s="18"/>
      <c r="AB142" s="19"/>
      <c r="AC142" s="19"/>
      <c r="AD142" s="19"/>
      <c r="AE142" s="9"/>
      <c r="AF142" s="9"/>
      <c r="AG142" s="26"/>
      <c r="AH142" s="26"/>
      <c r="AI142" s="151"/>
    </row>
    <row r="143" spans="1:35" ht="15">
      <c r="A143" s="155"/>
      <c r="B143" s="155"/>
      <c r="C143" s="155"/>
      <c r="D143" s="155"/>
      <c r="E143" s="155"/>
      <c r="F143" s="155"/>
      <c r="G143" s="155"/>
      <c r="H143" s="5" t="s">
        <v>58</v>
      </c>
      <c r="I143" s="22"/>
      <c r="J143" s="9"/>
      <c r="K143" s="9"/>
      <c r="L143" s="11" t="b">
        <v>0</v>
      </c>
      <c r="M143" s="11" t="b">
        <v>0</v>
      </c>
      <c r="N143" s="7"/>
      <c r="O143" s="7"/>
      <c r="P143" s="8">
        <f t="shared" si="21"/>
        <v>0</v>
      </c>
      <c r="Q143" s="7"/>
      <c r="R143" s="9"/>
      <c r="S143" s="7"/>
      <c r="T143" s="7"/>
      <c r="U143" s="8">
        <f t="shared" si="22"/>
        <v>0</v>
      </c>
      <c r="V143" s="9"/>
      <c r="W143" s="9"/>
      <c r="X143" s="18"/>
      <c r="Y143" s="18"/>
      <c r="Z143" s="19"/>
      <c r="AA143" s="18"/>
      <c r="AB143" s="19"/>
      <c r="AC143" s="19"/>
      <c r="AD143" s="19"/>
      <c r="AE143" s="9"/>
      <c r="AF143" s="9"/>
      <c r="AG143" s="26"/>
      <c r="AH143" s="26"/>
      <c r="AI143" s="151"/>
    </row>
    <row r="144" spans="1:35" ht="12.75">
      <c r="A144" s="114"/>
      <c r="B144" s="114"/>
      <c r="C144" s="114"/>
      <c r="D144" s="115"/>
      <c r="E144" s="115"/>
      <c r="F144" s="115"/>
      <c r="G144" s="116"/>
      <c r="H144" s="115"/>
      <c r="I144" s="117"/>
      <c r="J144" s="116"/>
      <c r="K144" s="116"/>
      <c r="L144" s="116"/>
      <c r="M144" s="116"/>
      <c r="N144" s="118"/>
      <c r="O144" s="118"/>
      <c r="P144" s="119"/>
      <c r="Q144" s="118"/>
      <c r="R144" s="116"/>
      <c r="S144" s="118"/>
      <c r="T144" s="118"/>
      <c r="U144" s="119"/>
      <c r="V144" s="116"/>
      <c r="W144" s="116"/>
      <c r="X144" s="116"/>
      <c r="Y144" s="116"/>
      <c r="Z144" s="115"/>
      <c r="AA144" s="116"/>
      <c r="AB144" s="115"/>
      <c r="AC144" s="115"/>
      <c r="AD144" s="115"/>
      <c r="AE144" s="116"/>
      <c r="AF144" s="116"/>
      <c r="AG144" s="116"/>
      <c r="AH144" s="116"/>
      <c r="AI144" s="116"/>
    </row>
    <row r="145" spans="1:35" ht="12.75">
      <c r="A145" s="162" t="s">
        <v>162</v>
      </c>
      <c r="B145" s="162" t="s">
        <v>163</v>
      </c>
      <c r="C145" s="162" t="s">
        <v>164</v>
      </c>
      <c r="D145" s="162" t="s">
        <v>453</v>
      </c>
      <c r="E145" s="160" t="s">
        <v>47</v>
      </c>
      <c r="F145" s="162" t="s">
        <v>454</v>
      </c>
      <c r="G145" s="164"/>
      <c r="H145" s="77" t="s">
        <v>49</v>
      </c>
      <c r="I145" s="108"/>
      <c r="J145" s="78"/>
      <c r="K145" s="78"/>
      <c r="L145" s="79" t="b">
        <v>0</v>
      </c>
      <c r="M145" s="79" t="b">
        <v>0</v>
      </c>
      <c r="N145" s="81"/>
      <c r="O145" s="81"/>
      <c r="P145" s="80">
        <f t="shared" ref="P145:P156" si="23">N145+O145</f>
        <v>0</v>
      </c>
      <c r="Q145" s="81"/>
      <c r="R145" s="78"/>
      <c r="S145" s="81"/>
      <c r="T145" s="81"/>
      <c r="U145" s="80">
        <f t="shared" ref="U145:U156" si="24">S145+T145</f>
        <v>0</v>
      </c>
      <c r="V145" s="78"/>
      <c r="W145" s="78"/>
      <c r="X145" s="78"/>
      <c r="Y145" s="78"/>
      <c r="Z145" s="77"/>
      <c r="AA145" s="78"/>
      <c r="AB145" s="77"/>
      <c r="AC145" s="77"/>
      <c r="AD145" s="77"/>
      <c r="AE145" s="78"/>
      <c r="AF145" s="78"/>
      <c r="AG145" s="109"/>
      <c r="AH145" s="109"/>
      <c r="AI145" s="78"/>
    </row>
    <row r="146" spans="1:35" ht="12.75">
      <c r="A146" s="155"/>
      <c r="B146" s="155"/>
      <c r="C146" s="155"/>
      <c r="D146" s="155"/>
      <c r="E146" s="155"/>
      <c r="F146" s="155"/>
      <c r="G146" s="155"/>
      <c r="H146" s="85" t="s">
        <v>58</v>
      </c>
      <c r="I146" s="112"/>
      <c r="J146" s="84"/>
      <c r="K146" s="84"/>
      <c r="L146" s="86" t="b">
        <v>0</v>
      </c>
      <c r="M146" s="86" t="b">
        <v>0</v>
      </c>
      <c r="N146" s="83"/>
      <c r="O146" s="83"/>
      <c r="P146" s="87">
        <f t="shared" si="23"/>
        <v>0</v>
      </c>
      <c r="Q146" s="83"/>
      <c r="R146" s="84"/>
      <c r="S146" s="83"/>
      <c r="T146" s="83"/>
      <c r="U146" s="87">
        <f t="shared" si="24"/>
        <v>0</v>
      </c>
      <c r="V146" s="84"/>
      <c r="W146" s="84"/>
      <c r="X146" s="84"/>
      <c r="Y146" s="84"/>
      <c r="Z146" s="85"/>
      <c r="AA146" s="84"/>
      <c r="AB146" s="85"/>
      <c r="AC146" s="85"/>
      <c r="AD146" s="85"/>
      <c r="AE146" s="84"/>
      <c r="AF146" s="84"/>
      <c r="AG146" s="110"/>
      <c r="AH146" s="110"/>
      <c r="AI146" s="84"/>
    </row>
    <row r="147" spans="1:35" ht="12.75">
      <c r="A147" s="155"/>
      <c r="B147" s="155"/>
      <c r="C147" s="155"/>
      <c r="D147" s="157" t="s">
        <v>453</v>
      </c>
      <c r="E147" s="157" t="s">
        <v>59</v>
      </c>
      <c r="F147" s="157" t="s">
        <v>454</v>
      </c>
      <c r="G147" s="158"/>
      <c r="H147" s="5" t="s">
        <v>49</v>
      </c>
      <c r="I147" s="17"/>
      <c r="J147" s="9"/>
      <c r="K147" s="9"/>
      <c r="L147" s="11" t="b">
        <v>0</v>
      </c>
      <c r="M147" s="11" t="b">
        <v>0</v>
      </c>
      <c r="N147" s="7"/>
      <c r="O147" s="7"/>
      <c r="P147" s="8">
        <f t="shared" si="23"/>
        <v>0</v>
      </c>
      <c r="Q147" s="7"/>
      <c r="R147" s="9"/>
      <c r="S147" s="7"/>
      <c r="T147" s="7"/>
      <c r="U147" s="8">
        <f t="shared" si="24"/>
        <v>0</v>
      </c>
      <c r="V147" s="9"/>
      <c r="W147" s="9"/>
      <c r="X147" s="18"/>
      <c r="Y147" s="18"/>
      <c r="Z147" s="19"/>
      <c r="AA147" s="18"/>
      <c r="AB147" s="19"/>
      <c r="AC147" s="19"/>
      <c r="AD147" s="19"/>
      <c r="AE147" s="9"/>
      <c r="AF147" s="9"/>
      <c r="AG147" s="26"/>
      <c r="AH147" s="26"/>
      <c r="AI147" s="89"/>
    </row>
    <row r="148" spans="1:35" ht="12.75">
      <c r="A148" s="155"/>
      <c r="B148" s="155"/>
      <c r="C148" s="155"/>
      <c r="D148" s="155"/>
      <c r="E148" s="155"/>
      <c r="F148" s="155"/>
      <c r="G148" s="155"/>
      <c r="H148" s="5" t="s">
        <v>58</v>
      </c>
      <c r="I148" s="22"/>
      <c r="J148" s="9"/>
      <c r="K148" s="9"/>
      <c r="L148" s="11" t="b">
        <v>0</v>
      </c>
      <c r="M148" s="11" t="b">
        <v>0</v>
      </c>
      <c r="N148" s="7"/>
      <c r="O148" s="7"/>
      <c r="P148" s="8">
        <f t="shared" si="23"/>
        <v>0</v>
      </c>
      <c r="Q148" s="7"/>
      <c r="R148" s="9"/>
      <c r="S148" s="7"/>
      <c r="T148" s="7"/>
      <c r="U148" s="8">
        <f t="shared" si="24"/>
        <v>0</v>
      </c>
      <c r="V148" s="9"/>
      <c r="W148" s="9"/>
      <c r="X148" s="18"/>
      <c r="Y148" s="18"/>
      <c r="Z148" s="19"/>
      <c r="AA148" s="18"/>
      <c r="AB148" s="19"/>
      <c r="AC148" s="19"/>
      <c r="AD148" s="19"/>
      <c r="AE148" s="9"/>
      <c r="AF148" s="9"/>
      <c r="AG148" s="26"/>
      <c r="AH148" s="26"/>
      <c r="AI148" s="9"/>
    </row>
    <row r="149" spans="1:35" ht="15">
      <c r="A149" s="155"/>
      <c r="B149" s="155"/>
      <c r="C149" s="155"/>
      <c r="D149" s="176" t="s">
        <v>455</v>
      </c>
      <c r="E149" s="176" t="s">
        <v>456</v>
      </c>
      <c r="F149" s="177" t="s">
        <v>457</v>
      </c>
      <c r="G149" s="178"/>
      <c r="H149" s="85" t="s">
        <v>458</v>
      </c>
      <c r="I149" s="147"/>
      <c r="J149" s="84"/>
      <c r="K149" s="84"/>
      <c r="L149" s="86" t="b">
        <v>0</v>
      </c>
      <c r="M149" s="86" t="b">
        <v>0</v>
      </c>
      <c r="N149" s="83"/>
      <c r="O149" s="83"/>
      <c r="P149" s="87">
        <f t="shared" si="23"/>
        <v>0</v>
      </c>
      <c r="Q149" s="83"/>
      <c r="R149" s="84"/>
      <c r="S149" s="83"/>
      <c r="T149" s="83"/>
      <c r="U149" s="87">
        <f t="shared" si="24"/>
        <v>0</v>
      </c>
      <c r="V149" s="84"/>
      <c r="W149" s="84"/>
      <c r="X149" s="133"/>
      <c r="Y149" s="133"/>
      <c r="Z149" s="121"/>
      <c r="AA149" s="133"/>
      <c r="AB149" s="121"/>
      <c r="AC149" s="121"/>
      <c r="AD149" s="121"/>
      <c r="AE149" s="84"/>
      <c r="AF149" s="84"/>
      <c r="AG149" s="122"/>
      <c r="AH149" s="122"/>
      <c r="AI149" s="84"/>
    </row>
    <row r="150" spans="1:35" ht="15">
      <c r="A150" s="155"/>
      <c r="B150" s="155"/>
      <c r="C150" s="155"/>
      <c r="D150" s="155"/>
      <c r="E150" s="155"/>
      <c r="F150" s="155"/>
      <c r="G150" s="155"/>
      <c r="H150" s="85" t="s">
        <v>58</v>
      </c>
      <c r="I150" s="147"/>
      <c r="J150" s="84"/>
      <c r="K150" s="84"/>
      <c r="L150" s="86" t="b">
        <v>0</v>
      </c>
      <c r="M150" s="86" t="b">
        <v>0</v>
      </c>
      <c r="N150" s="83"/>
      <c r="O150" s="83"/>
      <c r="P150" s="87">
        <f t="shared" si="23"/>
        <v>0</v>
      </c>
      <c r="Q150" s="83"/>
      <c r="R150" s="84"/>
      <c r="S150" s="83"/>
      <c r="T150" s="83"/>
      <c r="U150" s="87">
        <f t="shared" si="24"/>
        <v>0</v>
      </c>
      <c r="V150" s="84"/>
      <c r="W150" s="84"/>
      <c r="X150" s="133"/>
      <c r="Y150" s="133"/>
      <c r="Z150" s="121"/>
      <c r="AA150" s="133"/>
      <c r="AB150" s="121"/>
      <c r="AC150" s="121"/>
      <c r="AD150" s="121"/>
      <c r="AE150" s="84"/>
      <c r="AF150" s="84"/>
      <c r="AG150" s="122"/>
      <c r="AH150" s="122"/>
      <c r="AI150" s="148"/>
    </row>
    <row r="151" spans="1:35" ht="15">
      <c r="A151" s="155"/>
      <c r="B151" s="155"/>
      <c r="C151" s="155"/>
      <c r="D151" s="157" t="s">
        <v>455</v>
      </c>
      <c r="E151" s="175" t="s">
        <v>459</v>
      </c>
      <c r="F151" s="156" t="s">
        <v>457</v>
      </c>
      <c r="G151" s="158"/>
      <c r="H151" s="5" t="s">
        <v>458</v>
      </c>
      <c r="I151" s="150"/>
      <c r="J151" s="9"/>
      <c r="K151" s="9"/>
      <c r="L151" s="11" t="b">
        <v>0</v>
      </c>
      <c r="M151" s="11" t="b">
        <v>0</v>
      </c>
      <c r="N151" s="7"/>
      <c r="O151" s="7"/>
      <c r="P151" s="8">
        <f t="shared" si="23"/>
        <v>0</v>
      </c>
      <c r="Q151" s="7"/>
      <c r="R151" s="9"/>
      <c r="S151" s="7"/>
      <c r="T151" s="7"/>
      <c r="U151" s="8">
        <f t="shared" si="24"/>
        <v>0</v>
      </c>
      <c r="V151" s="9"/>
      <c r="W151" s="9"/>
      <c r="X151" s="9"/>
      <c r="Y151" s="9"/>
      <c r="Z151" s="5"/>
      <c r="AA151" s="9"/>
      <c r="AB151" s="5"/>
      <c r="AC151" s="5"/>
      <c r="AD151" s="5"/>
      <c r="AE151" s="9"/>
      <c r="AF151" s="9"/>
      <c r="AG151" s="26"/>
      <c r="AH151" s="26"/>
      <c r="AI151" s="151"/>
    </row>
    <row r="152" spans="1:35" ht="12.75">
      <c r="A152" s="155"/>
      <c r="B152" s="155"/>
      <c r="C152" s="155"/>
      <c r="D152" s="155"/>
      <c r="E152" s="155"/>
      <c r="F152" s="155"/>
      <c r="G152" s="155"/>
      <c r="H152" s="5" t="s">
        <v>58</v>
      </c>
      <c r="I152" s="152"/>
      <c r="J152" s="9"/>
      <c r="K152" s="9"/>
      <c r="L152" s="11" t="b">
        <v>0</v>
      </c>
      <c r="M152" s="11" t="b">
        <v>0</v>
      </c>
      <c r="N152" s="7"/>
      <c r="O152" s="7"/>
      <c r="P152" s="8">
        <f t="shared" si="23"/>
        <v>0</v>
      </c>
      <c r="Q152" s="7"/>
      <c r="R152" s="9"/>
      <c r="S152" s="7"/>
      <c r="T152" s="7"/>
      <c r="U152" s="8">
        <f t="shared" si="24"/>
        <v>0</v>
      </c>
      <c r="V152" s="9"/>
      <c r="W152" s="9"/>
      <c r="X152" s="9"/>
      <c r="Y152" s="9"/>
      <c r="Z152" s="5"/>
      <c r="AA152" s="9"/>
      <c r="AB152" s="5"/>
      <c r="AC152" s="5"/>
      <c r="AD152" s="5"/>
      <c r="AE152" s="9"/>
      <c r="AF152" s="9"/>
      <c r="AG152" s="26"/>
      <c r="AH152" s="26"/>
      <c r="AI152" s="26"/>
    </row>
    <row r="153" spans="1:35" ht="15">
      <c r="A153" s="155"/>
      <c r="B153" s="155"/>
      <c r="C153" s="155"/>
      <c r="D153" s="176" t="s">
        <v>460</v>
      </c>
      <c r="E153" s="177" t="s">
        <v>461</v>
      </c>
      <c r="F153" s="176" t="s">
        <v>462</v>
      </c>
      <c r="G153" s="178"/>
      <c r="H153" s="85" t="s">
        <v>49</v>
      </c>
      <c r="I153" s="135"/>
      <c r="J153" s="84"/>
      <c r="K153" s="84"/>
      <c r="L153" s="86" t="b">
        <v>0</v>
      </c>
      <c r="M153" s="86" t="b">
        <v>0</v>
      </c>
      <c r="N153" s="83"/>
      <c r="O153" s="83"/>
      <c r="P153" s="87">
        <f t="shared" si="23"/>
        <v>0</v>
      </c>
      <c r="Q153" s="83"/>
      <c r="R153" s="84"/>
      <c r="S153" s="83"/>
      <c r="T153" s="83"/>
      <c r="U153" s="87">
        <f t="shared" si="24"/>
        <v>0</v>
      </c>
      <c r="V153" s="84"/>
      <c r="W153" s="84"/>
      <c r="X153" s="84"/>
      <c r="Y153" s="84"/>
      <c r="Z153" s="85"/>
      <c r="AA153" s="84"/>
      <c r="AB153" s="85"/>
      <c r="AC153" s="85"/>
      <c r="AD153" s="85"/>
      <c r="AE153" s="84"/>
      <c r="AF153" s="84"/>
      <c r="AG153" s="122"/>
      <c r="AH153" s="122"/>
      <c r="AI153" s="153"/>
    </row>
    <row r="154" spans="1:35" ht="15">
      <c r="A154" s="155"/>
      <c r="B154" s="155"/>
      <c r="C154" s="155"/>
      <c r="D154" s="155"/>
      <c r="E154" s="155"/>
      <c r="F154" s="155"/>
      <c r="G154" s="155"/>
      <c r="H154" s="85" t="s">
        <v>58</v>
      </c>
      <c r="I154" s="135"/>
      <c r="J154" s="84"/>
      <c r="K154" s="84"/>
      <c r="L154" s="86" t="b">
        <v>0</v>
      </c>
      <c r="M154" s="86" t="b">
        <v>0</v>
      </c>
      <c r="N154" s="83"/>
      <c r="O154" s="83"/>
      <c r="P154" s="87">
        <f t="shared" si="23"/>
        <v>0</v>
      </c>
      <c r="Q154" s="83"/>
      <c r="R154" s="84"/>
      <c r="S154" s="83"/>
      <c r="T154" s="83"/>
      <c r="U154" s="87">
        <f t="shared" si="24"/>
        <v>0</v>
      </c>
      <c r="V154" s="84"/>
      <c r="W154" s="84"/>
      <c r="X154" s="133"/>
      <c r="Y154" s="133"/>
      <c r="Z154" s="121"/>
      <c r="AA154" s="133"/>
      <c r="AB154" s="121"/>
      <c r="AC154" s="121"/>
      <c r="AD154" s="121"/>
      <c r="AE154" s="84"/>
      <c r="AF154" s="84"/>
      <c r="AG154" s="122"/>
      <c r="AH154" s="122"/>
      <c r="AI154" s="153"/>
    </row>
    <row r="155" spans="1:35" ht="15">
      <c r="A155" s="155"/>
      <c r="B155" s="155"/>
      <c r="C155" s="155"/>
      <c r="D155" s="157" t="s">
        <v>453</v>
      </c>
      <c r="E155" s="157" t="s">
        <v>463</v>
      </c>
      <c r="F155" s="157" t="s">
        <v>464</v>
      </c>
      <c r="G155" s="158"/>
      <c r="H155" s="5" t="s">
        <v>465</v>
      </c>
      <c r="I155" s="22"/>
      <c r="J155" s="9"/>
      <c r="K155" s="9"/>
      <c r="L155" s="11" t="b">
        <v>0</v>
      </c>
      <c r="M155" s="11" t="b">
        <v>0</v>
      </c>
      <c r="N155" s="7"/>
      <c r="O155" s="7"/>
      <c r="P155" s="8">
        <f t="shared" si="23"/>
        <v>0</v>
      </c>
      <c r="Q155" s="7"/>
      <c r="R155" s="9"/>
      <c r="S155" s="7"/>
      <c r="T155" s="7"/>
      <c r="U155" s="8">
        <f t="shared" si="24"/>
        <v>0</v>
      </c>
      <c r="V155" s="9"/>
      <c r="W155" s="9"/>
      <c r="X155" s="18"/>
      <c r="Y155" s="18"/>
      <c r="Z155" s="19"/>
      <c r="AA155" s="18"/>
      <c r="AB155" s="19"/>
      <c r="AC155" s="19"/>
      <c r="AD155" s="19"/>
      <c r="AE155" s="9"/>
      <c r="AF155" s="9"/>
      <c r="AG155" s="26"/>
      <c r="AH155" s="26"/>
      <c r="AI155" s="151"/>
    </row>
    <row r="156" spans="1:35" ht="15">
      <c r="A156" s="155"/>
      <c r="B156" s="155"/>
      <c r="C156" s="155"/>
      <c r="D156" s="155"/>
      <c r="E156" s="155"/>
      <c r="F156" s="155"/>
      <c r="G156" s="155"/>
      <c r="H156" s="5" t="s">
        <v>58</v>
      </c>
      <c r="I156" s="22"/>
      <c r="J156" s="9"/>
      <c r="K156" s="9"/>
      <c r="L156" s="11" t="b">
        <v>0</v>
      </c>
      <c r="M156" s="11" t="b">
        <v>0</v>
      </c>
      <c r="N156" s="7"/>
      <c r="O156" s="7"/>
      <c r="P156" s="8">
        <f t="shared" si="23"/>
        <v>0</v>
      </c>
      <c r="Q156" s="7"/>
      <c r="R156" s="9"/>
      <c r="S156" s="7"/>
      <c r="T156" s="7"/>
      <c r="U156" s="8">
        <f t="shared" si="24"/>
        <v>0</v>
      </c>
      <c r="V156" s="9"/>
      <c r="W156" s="9"/>
      <c r="X156" s="18"/>
      <c r="Y156" s="18"/>
      <c r="Z156" s="19"/>
      <c r="AA156" s="18"/>
      <c r="AB156" s="19"/>
      <c r="AC156" s="19"/>
      <c r="AD156" s="19"/>
      <c r="AE156" s="9"/>
      <c r="AF156" s="9"/>
      <c r="AG156" s="26"/>
      <c r="AH156" s="26"/>
      <c r="AI156" s="151"/>
    </row>
    <row r="157" spans="1:35" ht="12.75">
      <c r="A157" s="114"/>
      <c r="B157" s="114"/>
      <c r="C157" s="114"/>
      <c r="D157" s="115"/>
      <c r="E157" s="115"/>
      <c r="F157" s="115"/>
      <c r="G157" s="116"/>
      <c r="H157" s="115"/>
      <c r="I157" s="117"/>
      <c r="J157" s="116"/>
      <c r="K157" s="116"/>
      <c r="L157" s="116"/>
      <c r="M157" s="116"/>
      <c r="N157" s="118"/>
      <c r="O157" s="118"/>
      <c r="P157" s="119"/>
      <c r="Q157" s="118"/>
      <c r="R157" s="116"/>
      <c r="S157" s="118"/>
      <c r="T157" s="118"/>
      <c r="U157" s="119"/>
      <c r="V157" s="116"/>
      <c r="W157" s="116"/>
      <c r="X157" s="116"/>
      <c r="Y157" s="116"/>
      <c r="Z157" s="115"/>
      <c r="AA157" s="116"/>
      <c r="AB157" s="115"/>
      <c r="AC157" s="115"/>
      <c r="AD157" s="115"/>
      <c r="AE157" s="116"/>
      <c r="AF157" s="116"/>
      <c r="AG157" s="116"/>
      <c r="AH157" s="116"/>
      <c r="AI157" s="116"/>
    </row>
    <row r="158" spans="1:35" ht="12.75">
      <c r="A158" s="162" t="s">
        <v>177</v>
      </c>
      <c r="B158" s="162" t="s">
        <v>178</v>
      </c>
      <c r="C158" s="162" t="s">
        <v>177</v>
      </c>
      <c r="D158" s="162" t="s">
        <v>453</v>
      </c>
      <c r="E158" s="160" t="s">
        <v>47</v>
      </c>
      <c r="F158" s="162" t="s">
        <v>454</v>
      </c>
      <c r="G158" s="164"/>
      <c r="H158" s="77" t="s">
        <v>49</v>
      </c>
      <c r="I158" s="108"/>
      <c r="J158" s="78"/>
      <c r="K158" s="78"/>
      <c r="L158" s="79" t="b">
        <v>0</v>
      </c>
      <c r="M158" s="79" t="b">
        <v>0</v>
      </c>
      <c r="N158" s="81"/>
      <c r="O158" s="81"/>
      <c r="P158" s="80">
        <f t="shared" ref="P158:P169" si="25">N158+O158</f>
        <v>0</v>
      </c>
      <c r="Q158" s="81"/>
      <c r="R158" s="78"/>
      <c r="S158" s="81"/>
      <c r="T158" s="81"/>
      <c r="U158" s="80">
        <f t="shared" ref="U158:U169" si="26">S158+T158</f>
        <v>0</v>
      </c>
      <c r="V158" s="78"/>
      <c r="W158" s="78"/>
      <c r="X158" s="78"/>
      <c r="Y158" s="78"/>
      <c r="Z158" s="77"/>
      <c r="AA158" s="78"/>
      <c r="AB158" s="77"/>
      <c r="AC158" s="77"/>
      <c r="AD158" s="77"/>
      <c r="AE158" s="78"/>
      <c r="AF158" s="78"/>
      <c r="AG158" s="109"/>
      <c r="AH158" s="109"/>
      <c r="AI158" s="78"/>
    </row>
    <row r="159" spans="1:35" ht="12.75">
      <c r="A159" s="155"/>
      <c r="B159" s="155"/>
      <c r="C159" s="155"/>
      <c r="D159" s="155"/>
      <c r="E159" s="155"/>
      <c r="F159" s="155"/>
      <c r="G159" s="155"/>
      <c r="H159" s="85" t="s">
        <v>58</v>
      </c>
      <c r="I159" s="112"/>
      <c r="J159" s="84"/>
      <c r="K159" s="84"/>
      <c r="L159" s="86" t="b">
        <v>0</v>
      </c>
      <c r="M159" s="86" t="b">
        <v>0</v>
      </c>
      <c r="N159" s="83"/>
      <c r="O159" s="83"/>
      <c r="P159" s="87">
        <f t="shared" si="25"/>
        <v>0</v>
      </c>
      <c r="Q159" s="83"/>
      <c r="R159" s="84"/>
      <c r="S159" s="83"/>
      <c r="T159" s="83"/>
      <c r="U159" s="87">
        <f t="shared" si="26"/>
        <v>0</v>
      </c>
      <c r="V159" s="84"/>
      <c r="W159" s="84"/>
      <c r="X159" s="84"/>
      <c r="Y159" s="84"/>
      <c r="Z159" s="85"/>
      <c r="AA159" s="84"/>
      <c r="AB159" s="85"/>
      <c r="AC159" s="85"/>
      <c r="AD159" s="85"/>
      <c r="AE159" s="84"/>
      <c r="AF159" s="84"/>
      <c r="AG159" s="110"/>
      <c r="AH159" s="110"/>
      <c r="AI159" s="84"/>
    </row>
    <row r="160" spans="1:35" ht="12.75">
      <c r="A160" s="155"/>
      <c r="B160" s="155"/>
      <c r="C160" s="155"/>
      <c r="D160" s="157" t="s">
        <v>453</v>
      </c>
      <c r="E160" s="157" t="s">
        <v>59</v>
      </c>
      <c r="F160" s="157" t="s">
        <v>454</v>
      </c>
      <c r="G160" s="158"/>
      <c r="H160" s="5" t="s">
        <v>49</v>
      </c>
      <c r="I160" s="17"/>
      <c r="J160" s="9"/>
      <c r="K160" s="9"/>
      <c r="L160" s="11" t="b">
        <v>0</v>
      </c>
      <c r="M160" s="11" t="b">
        <v>0</v>
      </c>
      <c r="N160" s="7"/>
      <c r="O160" s="7"/>
      <c r="P160" s="8">
        <f t="shared" si="25"/>
        <v>0</v>
      </c>
      <c r="Q160" s="7"/>
      <c r="R160" s="9"/>
      <c r="S160" s="7"/>
      <c r="T160" s="7"/>
      <c r="U160" s="8">
        <f t="shared" si="26"/>
        <v>0</v>
      </c>
      <c r="V160" s="9"/>
      <c r="W160" s="9"/>
      <c r="X160" s="18"/>
      <c r="Y160" s="18"/>
      <c r="Z160" s="19"/>
      <c r="AA160" s="18"/>
      <c r="AB160" s="19"/>
      <c r="AC160" s="19"/>
      <c r="AD160" s="19"/>
      <c r="AE160" s="9"/>
      <c r="AF160" s="9"/>
      <c r="AG160" s="26"/>
      <c r="AH160" s="26"/>
      <c r="AI160" s="89"/>
    </row>
    <row r="161" spans="1:35" ht="12.75">
      <c r="A161" s="155"/>
      <c r="B161" s="155"/>
      <c r="C161" s="155"/>
      <c r="D161" s="155"/>
      <c r="E161" s="155"/>
      <c r="F161" s="155"/>
      <c r="G161" s="155"/>
      <c r="H161" s="5" t="s">
        <v>58</v>
      </c>
      <c r="I161" s="22"/>
      <c r="J161" s="9"/>
      <c r="K161" s="9"/>
      <c r="L161" s="11" t="b">
        <v>0</v>
      </c>
      <c r="M161" s="11" t="b">
        <v>0</v>
      </c>
      <c r="N161" s="7"/>
      <c r="O161" s="7"/>
      <c r="P161" s="8">
        <f t="shared" si="25"/>
        <v>0</v>
      </c>
      <c r="Q161" s="7"/>
      <c r="R161" s="9"/>
      <c r="S161" s="7"/>
      <c r="T161" s="7"/>
      <c r="U161" s="8">
        <f t="shared" si="26"/>
        <v>0</v>
      </c>
      <c r="V161" s="9"/>
      <c r="W161" s="9"/>
      <c r="X161" s="18"/>
      <c r="Y161" s="18"/>
      <c r="Z161" s="19"/>
      <c r="AA161" s="18"/>
      <c r="AB161" s="19"/>
      <c r="AC161" s="19"/>
      <c r="AD161" s="19"/>
      <c r="AE161" s="9"/>
      <c r="AF161" s="9"/>
      <c r="AG161" s="26"/>
      <c r="AH161" s="26"/>
      <c r="AI161" s="9"/>
    </row>
    <row r="162" spans="1:35" ht="15">
      <c r="A162" s="155"/>
      <c r="B162" s="155"/>
      <c r="C162" s="155"/>
      <c r="D162" s="176" t="s">
        <v>455</v>
      </c>
      <c r="E162" s="176" t="s">
        <v>456</v>
      </c>
      <c r="F162" s="177" t="s">
        <v>457</v>
      </c>
      <c r="G162" s="178"/>
      <c r="H162" s="85" t="s">
        <v>458</v>
      </c>
      <c r="I162" s="147"/>
      <c r="J162" s="84"/>
      <c r="K162" s="84"/>
      <c r="L162" s="86" t="b">
        <v>0</v>
      </c>
      <c r="M162" s="86" t="b">
        <v>0</v>
      </c>
      <c r="N162" s="83"/>
      <c r="O162" s="83"/>
      <c r="P162" s="87">
        <f t="shared" si="25"/>
        <v>0</v>
      </c>
      <c r="Q162" s="83"/>
      <c r="R162" s="84"/>
      <c r="S162" s="83"/>
      <c r="T162" s="83"/>
      <c r="U162" s="87">
        <f t="shared" si="26"/>
        <v>0</v>
      </c>
      <c r="V162" s="84"/>
      <c r="W162" s="84"/>
      <c r="X162" s="133"/>
      <c r="Y162" s="133"/>
      <c r="Z162" s="121"/>
      <c r="AA162" s="133"/>
      <c r="AB162" s="121"/>
      <c r="AC162" s="121"/>
      <c r="AD162" s="121"/>
      <c r="AE162" s="84"/>
      <c r="AF162" s="84"/>
      <c r="AG162" s="122"/>
      <c r="AH162" s="122"/>
      <c r="AI162" s="84"/>
    </row>
    <row r="163" spans="1:35" ht="15">
      <c r="A163" s="155"/>
      <c r="B163" s="155"/>
      <c r="C163" s="155"/>
      <c r="D163" s="155"/>
      <c r="E163" s="155"/>
      <c r="F163" s="155"/>
      <c r="G163" s="155"/>
      <c r="H163" s="85" t="s">
        <v>58</v>
      </c>
      <c r="I163" s="147"/>
      <c r="J163" s="84"/>
      <c r="K163" s="84"/>
      <c r="L163" s="86" t="b">
        <v>0</v>
      </c>
      <c r="M163" s="86" t="b">
        <v>0</v>
      </c>
      <c r="N163" s="83"/>
      <c r="O163" s="83"/>
      <c r="P163" s="87">
        <f t="shared" si="25"/>
        <v>0</v>
      </c>
      <c r="Q163" s="83"/>
      <c r="R163" s="84"/>
      <c r="S163" s="83"/>
      <c r="T163" s="83"/>
      <c r="U163" s="87">
        <f t="shared" si="26"/>
        <v>0</v>
      </c>
      <c r="V163" s="84"/>
      <c r="W163" s="84"/>
      <c r="X163" s="133"/>
      <c r="Y163" s="133"/>
      <c r="Z163" s="121"/>
      <c r="AA163" s="133"/>
      <c r="AB163" s="121"/>
      <c r="AC163" s="121"/>
      <c r="AD163" s="121"/>
      <c r="AE163" s="84"/>
      <c r="AF163" s="84"/>
      <c r="AG163" s="122"/>
      <c r="AH163" s="122"/>
      <c r="AI163" s="148"/>
    </row>
    <row r="164" spans="1:35" ht="15">
      <c r="A164" s="155"/>
      <c r="B164" s="155"/>
      <c r="C164" s="155"/>
      <c r="D164" s="157" t="s">
        <v>455</v>
      </c>
      <c r="E164" s="175" t="s">
        <v>459</v>
      </c>
      <c r="F164" s="156" t="s">
        <v>457</v>
      </c>
      <c r="G164" s="158"/>
      <c r="H164" s="5" t="s">
        <v>458</v>
      </c>
      <c r="I164" s="150"/>
      <c r="J164" s="9"/>
      <c r="K164" s="9"/>
      <c r="L164" s="11" t="b">
        <v>0</v>
      </c>
      <c r="M164" s="11" t="b">
        <v>0</v>
      </c>
      <c r="N164" s="7"/>
      <c r="O164" s="7"/>
      <c r="P164" s="8">
        <f t="shared" si="25"/>
        <v>0</v>
      </c>
      <c r="Q164" s="7"/>
      <c r="R164" s="9"/>
      <c r="S164" s="7"/>
      <c r="T164" s="7"/>
      <c r="U164" s="8">
        <f t="shared" si="26"/>
        <v>0</v>
      </c>
      <c r="V164" s="9"/>
      <c r="W164" s="9"/>
      <c r="X164" s="9"/>
      <c r="Y164" s="9"/>
      <c r="Z164" s="5"/>
      <c r="AA164" s="9"/>
      <c r="AB164" s="5"/>
      <c r="AC164" s="5"/>
      <c r="AD164" s="5"/>
      <c r="AE164" s="9"/>
      <c r="AF164" s="9"/>
      <c r="AG164" s="26"/>
      <c r="AH164" s="26"/>
      <c r="AI164" s="151"/>
    </row>
    <row r="165" spans="1:35" ht="12.75">
      <c r="A165" s="155"/>
      <c r="B165" s="155"/>
      <c r="C165" s="155"/>
      <c r="D165" s="155"/>
      <c r="E165" s="155"/>
      <c r="F165" s="155"/>
      <c r="G165" s="155"/>
      <c r="H165" s="5" t="s">
        <v>58</v>
      </c>
      <c r="I165" s="152"/>
      <c r="J165" s="9"/>
      <c r="K165" s="9"/>
      <c r="L165" s="11" t="b">
        <v>0</v>
      </c>
      <c r="M165" s="11" t="b">
        <v>0</v>
      </c>
      <c r="N165" s="7"/>
      <c r="O165" s="7"/>
      <c r="P165" s="8">
        <f t="shared" si="25"/>
        <v>0</v>
      </c>
      <c r="Q165" s="7"/>
      <c r="R165" s="9"/>
      <c r="S165" s="7"/>
      <c r="T165" s="7"/>
      <c r="U165" s="8">
        <f t="shared" si="26"/>
        <v>0</v>
      </c>
      <c r="V165" s="9"/>
      <c r="W165" s="9"/>
      <c r="X165" s="9"/>
      <c r="Y165" s="9"/>
      <c r="Z165" s="5"/>
      <c r="AA165" s="9"/>
      <c r="AB165" s="5"/>
      <c r="AC165" s="5"/>
      <c r="AD165" s="5"/>
      <c r="AE165" s="9"/>
      <c r="AF165" s="9"/>
      <c r="AG165" s="26"/>
      <c r="AH165" s="26"/>
      <c r="AI165" s="26"/>
    </row>
    <row r="166" spans="1:35" ht="15">
      <c r="A166" s="155"/>
      <c r="B166" s="155"/>
      <c r="C166" s="155"/>
      <c r="D166" s="176" t="s">
        <v>460</v>
      </c>
      <c r="E166" s="177" t="s">
        <v>461</v>
      </c>
      <c r="F166" s="176" t="s">
        <v>462</v>
      </c>
      <c r="G166" s="178"/>
      <c r="H166" s="85" t="s">
        <v>49</v>
      </c>
      <c r="I166" s="135"/>
      <c r="J166" s="84"/>
      <c r="K166" s="84"/>
      <c r="L166" s="86" t="b">
        <v>0</v>
      </c>
      <c r="M166" s="86" t="b">
        <v>0</v>
      </c>
      <c r="N166" s="83"/>
      <c r="O166" s="83"/>
      <c r="P166" s="87">
        <f t="shared" si="25"/>
        <v>0</v>
      </c>
      <c r="Q166" s="83"/>
      <c r="R166" s="84"/>
      <c r="S166" s="83"/>
      <c r="T166" s="83"/>
      <c r="U166" s="87">
        <f t="shared" si="26"/>
        <v>0</v>
      </c>
      <c r="V166" s="84"/>
      <c r="W166" s="84"/>
      <c r="X166" s="84"/>
      <c r="Y166" s="84"/>
      <c r="Z166" s="85"/>
      <c r="AA166" s="84"/>
      <c r="AB166" s="85"/>
      <c r="AC166" s="85"/>
      <c r="AD166" s="85"/>
      <c r="AE166" s="84"/>
      <c r="AF166" s="84"/>
      <c r="AG166" s="122"/>
      <c r="AH166" s="122"/>
      <c r="AI166" s="153"/>
    </row>
    <row r="167" spans="1:35" ht="15">
      <c r="A167" s="155"/>
      <c r="B167" s="155"/>
      <c r="C167" s="155"/>
      <c r="D167" s="155"/>
      <c r="E167" s="155"/>
      <c r="F167" s="155"/>
      <c r="G167" s="155"/>
      <c r="H167" s="85" t="s">
        <v>58</v>
      </c>
      <c r="I167" s="135"/>
      <c r="J167" s="84"/>
      <c r="K167" s="84"/>
      <c r="L167" s="86" t="b">
        <v>0</v>
      </c>
      <c r="M167" s="86" t="b">
        <v>0</v>
      </c>
      <c r="N167" s="83"/>
      <c r="O167" s="83"/>
      <c r="P167" s="87">
        <f t="shared" si="25"/>
        <v>0</v>
      </c>
      <c r="Q167" s="83"/>
      <c r="R167" s="84"/>
      <c r="S167" s="83"/>
      <c r="T167" s="83"/>
      <c r="U167" s="87">
        <f t="shared" si="26"/>
        <v>0</v>
      </c>
      <c r="V167" s="84"/>
      <c r="W167" s="84"/>
      <c r="X167" s="133"/>
      <c r="Y167" s="133"/>
      <c r="Z167" s="121"/>
      <c r="AA167" s="133"/>
      <c r="AB167" s="121"/>
      <c r="AC167" s="121"/>
      <c r="AD167" s="121"/>
      <c r="AE167" s="84"/>
      <c r="AF167" s="84"/>
      <c r="AG167" s="122"/>
      <c r="AH167" s="122"/>
      <c r="AI167" s="153"/>
    </row>
    <row r="168" spans="1:35" ht="15">
      <c r="A168" s="155"/>
      <c r="B168" s="155"/>
      <c r="C168" s="155"/>
      <c r="D168" s="157" t="s">
        <v>453</v>
      </c>
      <c r="E168" s="157" t="s">
        <v>463</v>
      </c>
      <c r="F168" s="157" t="s">
        <v>464</v>
      </c>
      <c r="G168" s="158"/>
      <c r="H168" s="5" t="s">
        <v>465</v>
      </c>
      <c r="I168" s="22"/>
      <c r="J168" s="9"/>
      <c r="K168" s="9"/>
      <c r="L168" s="11" t="b">
        <v>0</v>
      </c>
      <c r="M168" s="11" t="b">
        <v>0</v>
      </c>
      <c r="N168" s="7"/>
      <c r="O168" s="7"/>
      <c r="P168" s="8">
        <f t="shared" si="25"/>
        <v>0</v>
      </c>
      <c r="Q168" s="7"/>
      <c r="R168" s="9"/>
      <c r="S168" s="7"/>
      <c r="T168" s="7"/>
      <c r="U168" s="8">
        <f t="shared" si="26"/>
        <v>0</v>
      </c>
      <c r="V168" s="9"/>
      <c r="W168" s="9"/>
      <c r="X168" s="18"/>
      <c r="Y168" s="18"/>
      <c r="Z168" s="19"/>
      <c r="AA168" s="18"/>
      <c r="AB168" s="19"/>
      <c r="AC168" s="19"/>
      <c r="AD168" s="19"/>
      <c r="AE168" s="9"/>
      <c r="AF168" s="9"/>
      <c r="AG168" s="26"/>
      <c r="AH168" s="26"/>
      <c r="AI168" s="151"/>
    </row>
    <row r="169" spans="1:35" ht="15">
      <c r="A169" s="155"/>
      <c r="B169" s="155"/>
      <c r="C169" s="155"/>
      <c r="D169" s="155"/>
      <c r="E169" s="155"/>
      <c r="F169" s="155"/>
      <c r="G169" s="155"/>
      <c r="H169" s="5" t="s">
        <v>58</v>
      </c>
      <c r="I169" s="22"/>
      <c r="J169" s="9"/>
      <c r="K169" s="9"/>
      <c r="L169" s="11" t="b">
        <v>0</v>
      </c>
      <c r="M169" s="11" t="b">
        <v>0</v>
      </c>
      <c r="N169" s="7"/>
      <c r="O169" s="7"/>
      <c r="P169" s="8">
        <f t="shared" si="25"/>
        <v>0</v>
      </c>
      <c r="Q169" s="7"/>
      <c r="R169" s="9"/>
      <c r="S169" s="7"/>
      <c r="T169" s="7"/>
      <c r="U169" s="8">
        <f t="shared" si="26"/>
        <v>0</v>
      </c>
      <c r="V169" s="9"/>
      <c r="W169" s="9"/>
      <c r="X169" s="18"/>
      <c r="Y169" s="18"/>
      <c r="Z169" s="19"/>
      <c r="AA169" s="18"/>
      <c r="AB169" s="19"/>
      <c r="AC169" s="19"/>
      <c r="AD169" s="19"/>
      <c r="AE169" s="9"/>
      <c r="AF169" s="9"/>
      <c r="AG169" s="26"/>
      <c r="AH169" s="26"/>
      <c r="AI169" s="151"/>
    </row>
    <row r="170" spans="1:35" ht="12.75">
      <c r="A170" s="114"/>
      <c r="B170" s="114"/>
      <c r="C170" s="114"/>
      <c r="D170" s="115"/>
      <c r="E170" s="115"/>
      <c r="F170" s="115"/>
      <c r="G170" s="116"/>
      <c r="H170" s="115"/>
      <c r="I170" s="117"/>
      <c r="J170" s="116"/>
      <c r="K170" s="116"/>
      <c r="L170" s="116"/>
      <c r="M170" s="116"/>
      <c r="N170" s="118"/>
      <c r="O170" s="118"/>
      <c r="P170" s="119"/>
      <c r="Q170" s="118"/>
      <c r="R170" s="116"/>
      <c r="S170" s="118"/>
      <c r="T170" s="118"/>
      <c r="U170" s="119"/>
      <c r="V170" s="116"/>
      <c r="W170" s="116"/>
      <c r="X170" s="116"/>
      <c r="Y170" s="116"/>
      <c r="Z170" s="115"/>
      <c r="AA170" s="116"/>
      <c r="AB170" s="115"/>
      <c r="AC170" s="115"/>
      <c r="AD170" s="115"/>
      <c r="AE170" s="116"/>
      <c r="AF170" s="116"/>
      <c r="AG170" s="116"/>
      <c r="AH170" s="116"/>
      <c r="AI170" s="116"/>
    </row>
    <row r="171" spans="1:35" ht="12.75">
      <c r="A171" s="162" t="s">
        <v>186</v>
      </c>
      <c r="B171" s="162" t="s">
        <v>178</v>
      </c>
      <c r="C171" s="162" t="s">
        <v>187</v>
      </c>
      <c r="D171" s="162" t="s">
        <v>453</v>
      </c>
      <c r="E171" s="160" t="s">
        <v>47</v>
      </c>
      <c r="F171" s="162" t="s">
        <v>454</v>
      </c>
      <c r="G171" s="164"/>
      <c r="H171" s="77" t="s">
        <v>49</v>
      </c>
      <c r="I171" s="108"/>
      <c r="J171" s="78"/>
      <c r="K171" s="78"/>
      <c r="L171" s="79" t="b">
        <v>0</v>
      </c>
      <c r="M171" s="79" t="b">
        <v>0</v>
      </c>
      <c r="N171" s="81"/>
      <c r="O171" s="81"/>
      <c r="P171" s="80">
        <f t="shared" ref="P171:P182" si="27">N171+O171</f>
        <v>0</v>
      </c>
      <c r="Q171" s="81"/>
      <c r="R171" s="78"/>
      <c r="S171" s="81"/>
      <c r="T171" s="81"/>
      <c r="U171" s="80">
        <f t="shared" ref="U171:U182" si="28">S171+T171</f>
        <v>0</v>
      </c>
      <c r="V171" s="78"/>
      <c r="W171" s="78"/>
      <c r="X171" s="78"/>
      <c r="Y171" s="78"/>
      <c r="Z171" s="77"/>
      <c r="AA171" s="78"/>
      <c r="AB171" s="77"/>
      <c r="AC171" s="77"/>
      <c r="AD171" s="77"/>
      <c r="AE171" s="78"/>
      <c r="AF171" s="78"/>
      <c r="AG171" s="109"/>
      <c r="AH171" s="109"/>
      <c r="AI171" s="78"/>
    </row>
    <row r="172" spans="1:35" ht="12.75">
      <c r="A172" s="155"/>
      <c r="B172" s="155"/>
      <c r="C172" s="155"/>
      <c r="D172" s="155"/>
      <c r="E172" s="155"/>
      <c r="F172" s="155"/>
      <c r="G172" s="155"/>
      <c r="H172" s="85" t="s">
        <v>58</v>
      </c>
      <c r="I172" s="112"/>
      <c r="J172" s="84"/>
      <c r="K172" s="84"/>
      <c r="L172" s="86" t="b">
        <v>0</v>
      </c>
      <c r="M172" s="86" t="b">
        <v>0</v>
      </c>
      <c r="N172" s="83"/>
      <c r="O172" s="83"/>
      <c r="P172" s="87">
        <f t="shared" si="27"/>
        <v>0</v>
      </c>
      <c r="Q172" s="83"/>
      <c r="R172" s="84"/>
      <c r="S172" s="83"/>
      <c r="T172" s="83"/>
      <c r="U172" s="87">
        <f t="shared" si="28"/>
        <v>0</v>
      </c>
      <c r="V172" s="84"/>
      <c r="W172" s="84"/>
      <c r="X172" s="84"/>
      <c r="Y172" s="84"/>
      <c r="Z172" s="85"/>
      <c r="AA172" s="84"/>
      <c r="AB172" s="85"/>
      <c r="AC172" s="85"/>
      <c r="AD172" s="85"/>
      <c r="AE172" s="84"/>
      <c r="AF172" s="84"/>
      <c r="AG172" s="110"/>
      <c r="AH172" s="110"/>
      <c r="AI172" s="84"/>
    </row>
    <row r="173" spans="1:35" ht="12.75">
      <c r="A173" s="155"/>
      <c r="B173" s="155"/>
      <c r="C173" s="155"/>
      <c r="D173" s="157" t="s">
        <v>453</v>
      </c>
      <c r="E173" s="157" t="s">
        <v>59</v>
      </c>
      <c r="F173" s="157" t="s">
        <v>454</v>
      </c>
      <c r="G173" s="158"/>
      <c r="H173" s="5" t="s">
        <v>49</v>
      </c>
      <c r="I173" s="17"/>
      <c r="J173" s="9"/>
      <c r="K173" s="9"/>
      <c r="L173" s="11" t="b">
        <v>0</v>
      </c>
      <c r="M173" s="11" t="b">
        <v>0</v>
      </c>
      <c r="N173" s="7"/>
      <c r="O173" s="7"/>
      <c r="P173" s="8">
        <f t="shared" si="27"/>
        <v>0</v>
      </c>
      <c r="Q173" s="7"/>
      <c r="R173" s="9"/>
      <c r="S173" s="7"/>
      <c r="T173" s="7"/>
      <c r="U173" s="8">
        <f t="shared" si="28"/>
        <v>0</v>
      </c>
      <c r="V173" s="9"/>
      <c r="W173" s="9"/>
      <c r="X173" s="18"/>
      <c r="Y173" s="18"/>
      <c r="Z173" s="19"/>
      <c r="AA173" s="18"/>
      <c r="AB173" s="19"/>
      <c r="AC173" s="19"/>
      <c r="AD173" s="19"/>
      <c r="AE173" s="9"/>
      <c r="AF173" s="9"/>
      <c r="AG173" s="26"/>
      <c r="AH173" s="26"/>
      <c r="AI173" s="89"/>
    </row>
    <row r="174" spans="1:35" ht="12.75">
      <c r="A174" s="155"/>
      <c r="B174" s="155"/>
      <c r="C174" s="155"/>
      <c r="D174" s="155"/>
      <c r="E174" s="155"/>
      <c r="F174" s="155"/>
      <c r="G174" s="155"/>
      <c r="H174" s="5" t="s">
        <v>58</v>
      </c>
      <c r="I174" s="22"/>
      <c r="J174" s="9"/>
      <c r="K174" s="9"/>
      <c r="L174" s="11" t="b">
        <v>0</v>
      </c>
      <c r="M174" s="11" t="b">
        <v>0</v>
      </c>
      <c r="N174" s="7"/>
      <c r="O174" s="7"/>
      <c r="P174" s="8">
        <f t="shared" si="27"/>
        <v>0</v>
      </c>
      <c r="Q174" s="7"/>
      <c r="R174" s="9"/>
      <c r="S174" s="7"/>
      <c r="T174" s="7"/>
      <c r="U174" s="8">
        <f t="shared" si="28"/>
        <v>0</v>
      </c>
      <c r="V174" s="9"/>
      <c r="W174" s="9"/>
      <c r="X174" s="18"/>
      <c r="Y174" s="18"/>
      <c r="Z174" s="19"/>
      <c r="AA174" s="18"/>
      <c r="AB174" s="19"/>
      <c r="AC174" s="19"/>
      <c r="AD174" s="19"/>
      <c r="AE174" s="9"/>
      <c r="AF174" s="9"/>
      <c r="AG174" s="26"/>
      <c r="AH174" s="26"/>
      <c r="AI174" s="9"/>
    </row>
    <row r="175" spans="1:35" ht="15">
      <c r="A175" s="155"/>
      <c r="B175" s="155"/>
      <c r="C175" s="155"/>
      <c r="D175" s="176" t="s">
        <v>455</v>
      </c>
      <c r="E175" s="176" t="s">
        <v>456</v>
      </c>
      <c r="F175" s="177" t="s">
        <v>457</v>
      </c>
      <c r="G175" s="178"/>
      <c r="H175" s="85" t="s">
        <v>458</v>
      </c>
      <c r="I175" s="147"/>
      <c r="J175" s="84"/>
      <c r="K175" s="84"/>
      <c r="L175" s="86" t="b">
        <v>0</v>
      </c>
      <c r="M175" s="86" t="b">
        <v>0</v>
      </c>
      <c r="N175" s="83"/>
      <c r="O175" s="83"/>
      <c r="P175" s="87">
        <f t="shared" si="27"/>
        <v>0</v>
      </c>
      <c r="Q175" s="83"/>
      <c r="R175" s="84"/>
      <c r="S175" s="83"/>
      <c r="T175" s="83"/>
      <c r="U175" s="87">
        <f t="shared" si="28"/>
        <v>0</v>
      </c>
      <c r="V175" s="84"/>
      <c r="W175" s="84"/>
      <c r="X175" s="133"/>
      <c r="Y175" s="133"/>
      <c r="Z175" s="121"/>
      <c r="AA175" s="133"/>
      <c r="AB175" s="121"/>
      <c r="AC175" s="121"/>
      <c r="AD175" s="121"/>
      <c r="AE175" s="84"/>
      <c r="AF175" s="84"/>
      <c r="AG175" s="122"/>
      <c r="AH175" s="122"/>
      <c r="AI175" s="84"/>
    </row>
    <row r="176" spans="1:35" ht="15">
      <c r="A176" s="155"/>
      <c r="B176" s="155"/>
      <c r="C176" s="155"/>
      <c r="D176" s="155"/>
      <c r="E176" s="155"/>
      <c r="F176" s="155"/>
      <c r="G176" s="155"/>
      <c r="H176" s="85" t="s">
        <v>58</v>
      </c>
      <c r="I176" s="147"/>
      <c r="J176" s="84"/>
      <c r="K176" s="84"/>
      <c r="L176" s="86" t="b">
        <v>0</v>
      </c>
      <c r="M176" s="86" t="b">
        <v>0</v>
      </c>
      <c r="N176" s="83"/>
      <c r="O176" s="83"/>
      <c r="P176" s="87">
        <f t="shared" si="27"/>
        <v>0</v>
      </c>
      <c r="Q176" s="83"/>
      <c r="R176" s="84"/>
      <c r="S176" s="83"/>
      <c r="T176" s="83"/>
      <c r="U176" s="87">
        <f t="shared" si="28"/>
        <v>0</v>
      </c>
      <c r="V176" s="84"/>
      <c r="W176" s="84"/>
      <c r="X176" s="133"/>
      <c r="Y176" s="133"/>
      <c r="Z176" s="121"/>
      <c r="AA176" s="133"/>
      <c r="AB176" s="121"/>
      <c r="AC176" s="121"/>
      <c r="AD176" s="121"/>
      <c r="AE176" s="84"/>
      <c r="AF176" s="84"/>
      <c r="AG176" s="122"/>
      <c r="AH176" s="122"/>
      <c r="AI176" s="148"/>
    </row>
    <row r="177" spans="1:35" ht="15">
      <c r="A177" s="155"/>
      <c r="B177" s="155"/>
      <c r="C177" s="155"/>
      <c r="D177" s="157" t="s">
        <v>455</v>
      </c>
      <c r="E177" s="175" t="s">
        <v>459</v>
      </c>
      <c r="F177" s="156" t="s">
        <v>457</v>
      </c>
      <c r="G177" s="158"/>
      <c r="H177" s="5" t="s">
        <v>458</v>
      </c>
      <c r="I177" s="150"/>
      <c r="J177" s="9"/>
      <c r="K177" s="9"/>
      <c r="L177" s="11" t="b">
        <v>0</v>
      </c>
      <c r="M177" s="11" t="b">
        <v>0</v>
      </c>
      <c r="N177" s="7"/>
      <c r="O177" s="7"/>
      <c r="P177" s="8">
        <f t="shared" si="27"/>
        <v>0</v>
      </c>
      <c r="Q177" s="7"/>
      <c r="R177" s="9"/>
      <c r="S177" s="7"/>
      <c r="T177" s="7"/>
      <c r="U177" s="8">
        <f t="shared" si="28"/>
        <v>0</v>
      </c>
      <c r="V177" s="9"/>
      <c r="W177" s="9"/>
      <c r="X177" s="9"/>
      <c r="Y177" s="9"/>
      <c r="Z177" s="5"/>
      <c r="AA177" s="9"/>
      <c r="AB177" s="5"/>
      <c r="AC177" s="5"/>
      <c r="AD177" s="5"/>
      <c r="AE177" s="9"/>
      <c r="AF177" s="9"/>
      <c r="AG177" s="26"/>
      <c r="AH177" s="26"/>
      <c r="AI177" s="151"/>
    </row>
    <row r="178" spans="1:35" ht="12.75">
      <c r="A178" s="155"/>
      <c r="B178" s="155"/>
      <c r="C178" s="155"/>
      <c r="D178" s="155"/>
      <c r="E178" s="155"/>
      <c r="F178" s="155"/>
      <c r="G178" s="155"/>
      <c r="H178" s="5" t="s">
        <v>58</v>
      </c>
      <c r="I178" s="152"/>
      <c r="J178" s="9"/>
      <c r="K178" s="9"/>
      <c r="L178" s="11" t="b">
        <v>0</v>
      </c>
      <c r="M178" s="11" t="b">
        <v>0</v>
      </c>
      <c r="N178" s="7"/>
      <c r="O178" s="7"/>
      <c r="P178" s="8">
        <f t="shared" si="27"/>
        <v>0</v>
      </c>
      <c r="Q178" s="7"/>
      <c r="R178" s="9"/>
      <c r="S178" s="7"/>
      <c r="T178" s="7"/>
      <c r="U178" s="8">
        <f t="shared" si="28"/>
        <v>0</v>
      </c>
      <c r="V178" s="9"/>
      <c r="W178" s="9"/>
      <c r="X178" s="9"/>
      <c r="Y178" s="9"/>
      <c r="Z178" s="5"/>
      <c r="AA178" s="9"/>
      <c r="AB178" s="5"/>
      <c r="AC178" s="5"/>
      <c r="AD178" s="5"/>
      <c r="AE178" s="9"/>
      <c r="AF178" s="9"/>
      <c r="AG178" s="26"/>
      <c r="AH178" s="26"/>
      <c r="AI178" s="26"/>
    </row>
    <row r="179" spans="1:35" ht="15">
      <c r="A179" s="155"/>
      <c r="B179" s="155"/>
      <c r="C179" s="155"/>
      <c r="D179" s="176" t="s">
        <v>460</v>
      </c>
      <c r="E179" s="177" t="s">
        <v>461</v>
      </c>
      <c r="F179" s="176" t="s">
        <v>462</v>
      </c>
      <c r="G179" s="178"/>
      <c r="H179" s="85" t="s">
        <v>49</v>
      </c>
      <c r="I179" s="135"/>
      <c r="J179" s="84"/>
      <c r="K179" s="84"/>
      <c r="L179" s="86" t="b">
        <v>0</v>
      </c>
      <c r="M179" s="86" t="b">
        <v>0</v>
      </c>
      <c r="N179" s="83"/>
      <c r="O179" s="83"/>
      <c r="P179" s="87">
        <f t="shared" si="27"/>
        <v>0</v>
      </c>
      <c r="Q179" s="83"/>
      <c r="R179" s="84"/>
      <c r="S179" s="83"/>
      <c r="T179" s="83"/>
      <c r="U179" s="87">
        <f t="shared" si="28"/>
        <v>0</v>
      </c>
      <c r="V179" s="84"/>
      <c r="W179" s="84"/>
      <c r="X179" s="84"/>
      <c r="Y179" s="84"/>
      <c r="Z179" s="85"/>
      <c r="AA179" s="84"/>
      <c r="AB179" s="85"/>
      <c r="AC179" s="85"/>
      <c r="AD179" s="85"/>
      <c r="AE179" s="84"/>
      <c r="AF179" s="84"/>
      <c r="AG179" s="122"/>
      <c r="AH179" s="122"/>
      <c r="AI179" s="153"/>
    </row>
    <row r="180" spans="1:35" ht="15">
      <c r="A180" s="155"/>
      <c r="B180" s="155"/>
      <c r="C180" s="155"/>
      <c r="D180" s="155"/>
      <c r="E180" s="155"/>
      <c r="F180" s="155"/>
      <c r="G180" s="155"/>
      <c r="H180" s="85" t="s">
        <v>58</v>
      </c>
      <c r="I180" s="135"/>
      <c r="J180" s="84"/>
      <c r="K180" s="84"/>
      <c r="L180" s="86" t="b">
        <v>0</v>
      </c>
      <c r="M180" s="86" t="b">
        <v>0</v>
      </c>
      <c r="N180" s="83"/>
      <c r="O180" s="83"/>
      <c r="P180" s="87">
        <f t="shared" si="27"/>
        <v>0</v>
      </c>
      <c r="Q180" s="83"/>
      <c r="R180" s="84"/>
      <c r="S180" s="83"/>
      <c r="T180" s="83"/>
      <c r="U180" s="87">
        <f t="shared" si="28"/>
        <v>0</v>
      </c>
      <c r="V180" s="84"/>
      <c r="W180" s="84"/>
      <c r="X180" s="133"/>
      <c r="Y180" s="133"/>
      <c r="Z180" s="121"/>
      <c r="AA180" s="133"/>
      <c r="AB180" s="121"/>
      <c r="AC180" s="121"/>
      <c r="AD180" s="121"/>
      <c r="AE180" s="84"/>
      <c r="AF180" s="84"/>
      <c r="AG180" s="122"/>
      <c r="AH180" s="122"/>
      <c r="AI180" s="153"/>
    </row>
    <row r="181" spans="1:35" ht="15">
      <c r="A181" s="155"/>
      <c r="B181" s="155"/>
      <c r="C181" s="155"/>
      <c r="D181" s="157" t="s">
        <v>453</v>
      </c>
      <c r="E181" s="157" t="s">
        <v>463</v>
      </c>
      <c r="F181" s="157" t="s">
        <v>464</v>
      </c>
      <c r="G181" s="158"/>
      <c r="H181" s="5" t="s">
        <v>465</v>
      </c>
      <c r="I181" s="22"/>
      <c r="J181" s="9"/>
      <c r="K181" s="9"/>
      <c r="L181" s="11" t="b">
        <v>0</v>
      </c>
      <c r="M181" s="11" t="b">
        <v>0</v>
      </c>
      <c r="N181" s="7"/>
      <c r="O181" s="7"/>
      <c r="P181" s="8">
        <f t="shared" si="27"/>
        <v>0</v>
      </c>
      <c r="Q181" s="7"/>
      <c r="R181" s="9"/>
      <c r="S181" s="7"/>
      <c r="T181" s="7"/>
      <c r="U181" s="8">
        <f t="shared" si="28"/>
        <v>0</v>
      </c>
      <c r="V181" s="9"/>
      <c r="W181" s="9"/>
      <c r="X181" s="18"/>
      <c r="Y181" s="18"/>
      <c r="Z181" s="19"/>
      <c r="AA181" s="18"/>
      <c r="AB181" s="19"/>
      <c r="AC181" s="19"/>
      <c r="AD181" s="19"/>
      <c r="AE181" s="9"/>
      <c r="AF181" s="9"/>
      <c r="AG181" s="26"/>
      <c r="AH181" s="26"/>
      <c r="AI181" s="151"/>
    </row>
    <row r="182" spans="1:35" ht="15">
      <c r="A182" s="155"/>
      <c r="B182" s="155"/>
      <c r="C182" s="155"/>
      <c r="D182" s="155"/>
      <c r="E182" s="155"/>
      <c r="F182" s="155"/>
      <c r="G182" s="155"/>
      <c r="H182" s="5" t="s">
        <v>58</v>
      </c>
      <c r="I182" s="22"/>
      <c r="J182" s="9"/>
      <c r="K182" s="9"/>
      <c r="L182" s="11" t="b">
        <v>0</v>
      </c>
      <c r="M182" s="11" t="b">
        <v>0</v>
      </c>
      <c r="N182" s="7"/>
      <c r="O182" s="7"/>
      <c r="P182" s="8">
        <f t="shared" si="27"/>
        <v>0</v>
      </c>
      <c r="Q182" s="7"/>
      <c r="R182" s="9"/>
      <c r="S182" s="7"/>
      <c r="T182" s="7"/>
      <c r="U182" s="8">
        <f t="shared" si="28"/>
        <v>0</v>
      </c>
      <c r="V182" s="9"/>
      <c r="W182" s="9"/>
      <c r="X182" s="18"/>
      <c r="Y182" s="18"/>
      <c r="Z182" s="19"/>
      <c r="AA182" s="18"/>
      <c r="AB182" s="19"/>
      <c r="AC182" s="19"/>
      <c r="AD182" s="19"/>
      <c r="AE182" s="9"/>
      <c r="AF182" s="9"/>
      <c r="AG182" s="26"/>
      <c r="AH182" s="26"/>
      <c r="AI182" s="151"/>
    </row>
    <row r="183" spans="1:35" ht="12.75">
      <c r="A183" s="114"/>
      <c r="B183" s="114"/>
      <c r="C183" s="114"/>
      <c r="D183" s="115"/>
      <c r="E183" s="115"/>
      <c r="F183" s="115"/>
      <c r="G183" s="116"/>
      <c r="H183" s="115"/>
      <c r="I183" s="117"/>
      <c r="J183" s="116"/>
      <c r="K183" s="116"/>
      <c r="L183" s="116"/>
      <c r="M183" s="116"/>
      <c r="N183" s="118"/>
      <c r="O183" s="118"/>
      <c r="P183" s="119"/>
      <c r="Q183" s="118"/>
      <c r="R183" s="116"/>
      <c r="S183" s="118"/>
      <c r="T183" s="118"/>
      <c r="U183" s="119"/>
      <c r="V183" s="116"/>
      <c r="W183" s="116"/>
      <c r="X183" s="116"/>
      <c r="Y183" s="116"/>
      <c r="Z183" s="115"/>
      <c r="AA183" s="116"/>
      <c r="AB183" s="115"/>
      <c r="AC183" s="115"/>
      <c r="AD183" s="115"/>
      <c r="AE183" s="116"/>
      <c r="AF183" s="116"/>
      <c r="AG183" s="116"/>
      <c r="AH183" s="116"/>
      <c r="AI183" s="116"/>
    </row>
    <row r="184" spans="1:35" ht="12.75">
      <c r="A184" s="162" t="s">
        <v>197</v>
      </c>
      <c r="B184" s="162" t="s">
        <v>178</v>
      </c>
      <c r="C184" s="162" t="s">
        <v>198</v>
      </c>
      <c r="D184" s="162" t="s">
        <v>453</v>
      </c>
      <c r="E184" s="160" t="s">
        <v>47</v>
      </c>
      <c r="F184" s="162" t="s">
        <v>454</v>
      </c>
      <c r="G184" s="164"/>
      <c r="H184" s="77" t="s">
        <v>49</v>
      </c>
      <c r="I184" s="108"/>
      <c r="J184" s="78"/>
      <c r="K184" s="78"/>
      <c r="L184" s="79" t="b">
        <v>0</v>
      </c>
      <c r="M184" s="79" t="b">
        <v>0</v>
      </c>
      <c r="N184" s="81"/>
      <c r="O184" s="81"/>
      <c r="P184" s="80">
        <f t="shared" ref="P184:P195" si="29">N184+O184</f>
        <v>0</v>
      </c>
      <c r="Q184" s="81"/>
      <c r="R184" s="78"/>
      <c r="S184" s="81"/>
      <c r="T184" s="81"/>
      <c r="U184" s="80">
        <f t="shared" ref="U184:U195" si="30">S184+T184</f>
        <v>0</v>
      </c>
      <c r="V184" s="78"/>
      <c r="W184" s="78"/>
      <c r="X184" s="78"/>
      <c r="Y184" s="78"/>
      <c r="Z184" s="77"/>
      <c r="AA184" s="78"/>
      <c r="AB184" s="77"/>
      <c r="AC184" s="77"/>
      <c r="AD184" s="77"/>
      <c r="AE184" s="78"/>
      <c r="AF184" s="78"/>
      <c r="AG184" s="109"/>
      <c r="AH184" s="109"/>
      <c r="AI184" s="78"/>
    </row>
    <row r="185" spans="1:35" ht="12.75">
      <c r="A185" s="155"/>
      <c r="B185" s="155"/>
      <c r="C185" s="155"/>
      <c r="D185" s="155"/>
      <c r="E185" s="155"/>
      <c r="F185" s="155"/>
      <c r="G185" s="155"/>
      <c r="H185" s="85" t="s">
        <v>58</v>
      </c>
      <c r="I185" s="112"/>
      <c r="J185" s="84"/>
      <c r="K185" s="84"/>
      <c r="L185" s="86" t="b">
        <v>0</v>
      </c>
      <c r="M185" s="86" t="b">
        <v>0</v>
      </c>
      <c r="N185" s="83"/>
      <c r="O185" s="83"/>
      <c r="P185" s="87">
        <f t="shared" si="29"/>
        <v>0</v>
      </c>
      <c r="Q185" s="83"/>
      <c r="R185" s="84"/>
      <c r="S185" s="83"/>
      <c r="T185" s="83"/>
      <c r="U185" s="87">
        <f t="shared" si="30"/>
        <v>0</v>
      </c>
      <c r="V185" s="84"/>
      <c r="W185" s="84"/>
      <c r="X185" s="84"/>
      <c r="Y185" s="84"/>
      <c r="Z185" s="85"/>
      <c r="AA185" s="84"/>
      <c r="AB185" s="85"/>
      <c r="AC185" s="85"/>
      <c r="AD185" s="85"/>
      <c r="AE185" s="84"/>
      <c r="AF185" s="84"/>
      <c r="AG185" s="110"/>
      <c r="AH185" s="110"/>
      <c r="AI185" s="84"/>
    </row>
    <row r="186" spans="1:35" ht="12.75">
      <c r="A186" s="155"/>
      <c r="B186" s="155"/>
      <c r="C186" s="155"/>
      <c r="D186" s="157" t="s">
        <v>453</v>
      </c>
      <c r="E186" s="157" t="s">
        <v>59</v>
      </c>
      <c r="F186" s="157" t="s">
        <v>454</v>
      </c>
      <c r="G186" s="158"/>
      <c r="H186" s="5" t="s">
        <v>49</v>
      </c>
      <c r="I186" s="17"/>
      <c r="J186" s="9"/>
      <c r="K186" s="9"/>
      <c r="L186" s="11" t="b">
        <v>0</v>
      </c>
      <c r="M186" s="11" t="b">
        <v>0</v>
      </c>
      <c r="N186" s="7"/>
      <c r="O186" s="7"/>
      <c r="P186" s="8">
        <f t="shared" si="29"/>
        <v>0</v>
      </c>
      <c r="Q186" s="7"/>
      <c r="R186" s="9"/>
      <c r="S186" s="7"/>
      <c r="T186" s="7"/>
      <c r="U186" s="8">
        <f t="shared" si="30"/>
        <v>0</v>
      </c>
      <c r="V186" s="9"/>
      <c r="W186" s="9"/>
      <c r="X186" s="18"/>
      <c r="Y186" s="18"/>
      <c r="Z186" s="19"/>
      <c r="AA186" s="18"/>
      <c r="AB186" s="19"/>
      <c r="AC186" s="19"/>
      <c r="AD186" s="19"/>
      <c r="AE186" s="9"/>
      <c r="AF186" s="9"/>
      <c r="AG186" s="26"/>
      <c r="AH186" s="26"/>
      <c r="AI186" s="89"/>
    </row>
    <row r="187" spans="1:35" ht="12.75">
      <c r="A187" s="155"/>
      <c r="B187" s="155"/>
      <c r="C187" s="155"/>
      <c r="D187" s="155"/>
      <c r="E187" s="155"/>
      <c r="F187" s="155"/>
      <c r="G187" s="155"/>
      <c r="H187" s="5" t="s">
        <v>58</v>
      </c>
      <c r="I187" s="22"/>
      <c r="J187" s="9"/>
      <c r="K187" s="9"/>
      <c r="L187" s="11" t="b">
        <v>0</v>
      </c>
      <c r="M187" s="11" t="b">
        <v>0</v>
      </c>
      <c r="N187" s="7"/>
      <c r="O187" s="7"/>
      <c r="P187" s="8">
        <f t="shared" si="29"/>
        <v>0</v>
      </c>
      <c r="Q187" s="7"/>
      <c r="R187" s="9"/>
      <c r="S187" s="7"/>
      <c r="T187" s="7"/>
      <c r="U187" s="8">
        <f t="shared" si="30"/>
        <v>0</v>
      </c>
      <c r="V187" s="9"/>
      <c r="W187" s="9"/>
      <c r="X187" s="18"/>
      <c r="Y187" s="18"/>
      <c r="Z187" s="19"/>
      <c r="AA187" s="18"/>
      <c r="AB187" s="19"/>
      <c r="AC187" s="19"/>
      <c r="AD187" s="19"/>
      <c r="AE187" s="9"/>
      <c r="AF187" s="9"/>
      <c r="AG187" s="26"/>
      <c r="AH187" s="26"/>
      <c r="AI187" s="9"/>
    </row>
    <row r="188" spans="1:35" ht="15">
      <c r="A188" s="155"/>
      <c r="B188" s="155"/>
      <c r="C188" s="155"/>
      <c r="D188" s="176" t="s">
        <v>455</v>
      </c>
      <c r="E188" s="176" t="s">
        <v>456</v>
      </c>
      <c r="F188" s="177" t="s">
        <v>457</v>
      </c>
      <c r="G188" s="178"/>
      <c r="H188" s="85" t="s">
        <v>458</v>
      </c>
      <c r="I188" s="147"/>
      <c r="J188" s="84"/>
      <c r="K188" s="84"/>
      <c r="L188" s="86" t="b">
        <v>0</v>
      </c>
      <c r="M188" s="86" t="b">
        <v>0</v>
      </c>
      <c r="N188" s="83"/>
      <c r="O188" s="83"/>
      <c r="P188" s="87">
        <f t="shared" si="29"/>
        <v>0</v>
      </c>
      <c r="Q188" s="83"/>
      <c r="R188" s="84"/>
      <c r="S188" s="83"/>
      <c r="T188" s="83"/>
      <c r="U188" s="87">
        <f t="shared" si="30"/>
        <v>0</v>
      </c>
      <c r="V188" s="84"/>
      <c r="W188" s="84"/>
      <c r="X188" s="133"/>
      <c r="Y188" s="133"/>
      <c r="Z188" s="121"/>
      <c r="AA188" s="133"/>
      <c r="AB188" s="121"/>
      <c r="AC188" s="121"/>
      <c r="AD188" s="121"/>
      <c r="AE188" s="84"/>
      <c r="AF188" s="84"/>
      <c r="AG188" s="122"/>
      <c r="AH188" s="122"/>
      <c r="AI188" s="84"/>
    </row>
    <row r="189" spans="1:35" ht="15">
      <c r="A189" s="155"/>
      <c r="B189" s="155"/>
      <c r="C189" s="155"/>
      <c r="D189" s="155"/>
      <c r="E189" s="155"/>
      <c r="F189" s="155"/>
      <c r="G189" s="155"/>
      <c r="H189" s="85" t="s">
        <v>58</v>
      </c>
      <c r="I189" s="147"/>
      <c r="J189" s="84"/>
      <c r="K189" s="84"/>
      <c r="L189" s="86" t="b">
        <v>0</v>
      </c>
      <c r="M189" s="86" t="b">
        <v>0</v>
      </c>
      <c r="N189" s="83"/>
      <c r="O189" s="83"/>
      <c r="P189" s="87">
        <f t="shared" si="29"/>
        <v>0</v>
      </c>
      <c r="Q189" s="83"/>
      <c r="R189" s="84"/>
      <c r="S189" s="83"/>
      <c r="T189" s="83"/>
      <c r="U189" s="87">
        <f t="shared" si="30"/>
        <v>0</v>
      </c>
      <c r="V189" s="84"/>
      <c r="W189" s="84"/>
      <c r="X189" s="133"/>
      <c r="Y189" s="133"/>
      <c r="Z189" s="121"/>
      <c r="AA189" s="133"/>
      <c r="AB189" s="121"/>
      <c r="AC189" s="121"/>
      <c r="AD189" s="121"/>
      <c r="AE189" s="84"/>
      <c r="AF189" s="84"/>
      <c r="AG189" s="122"/>
      <c r="AH189" s="122"/>
      <c r="AI189" s="148"/>
    </row>
    <row r="190" spans="1:35" ht="15">
      <c r="A190" s="155"/>
      <c r="B190" s="155"/>
      <c r="C190" s="155"/>
      <c r="D190" s="157" t="s">
        <v>455</v>
      </c>
      <c r="E190" s="175" t="s">
        <v>459</v>
      </c>
      <c r="F190" s="156" t="s">
        <v>457</v>
      </c>
      <c r="G190" s="158"/>
      <c r="H190" s="5" t="s">
        <v>458</v>
      </c>
      <c r="I190" s="150"/>
      <c r="J190" s="9"/>
      <c r="K190" s="9"/>
      <c r="L190" s="11" t="b">
        <v>0</v>
      </c>
      <c r="M190" s="11" t="b">
        <v>0</v>
      </c>
      <c r="N190" s="7"/>
      <c r="O190" s="7"/>
      <c r="P190" s="8">
        <f t="shared" si="29"/>
        <v>0</v>
      </c>
      <c r="Q190" s="7"/>
      <c r="R190" s="9"/>
      <c r="S190" s="7"/>
      <c r="T190" s="7"/>
      <c r="U190" s="8">
        <f t="shared" si="30"/>
        <v>0</v>
      </c>
      <c r="V190" s="9"/>
      <c r="W190" s="9"/>
      <c r="X190" s="9"/>
      <c r="Y190" s="9"/>
      <c r="Z190" s="5"/>
      <c r="AA190" s="9"/>
      <c r="AB190" s="5"/>
      <c r="AC190" s="5"/>
      <c r="AD190" s="5"/>
      <c r="AE190" s="9"/>
      <c r="AF190" s="9"/>
      <c r="AG190" s="26"/>
      <c r="AH190" s="26"/>
      <c r="AI190" s="151"/>
    </row>
    <row r="191" spans="1:35" ht="12.75">
      <c r="A191" s="155"/>
      <c r="B191" s="155"/>
      <c r="C191" s="155"/>
      <c r="D191" s="155"/>
      <c r="E191" s="155"/>
      <c r="F191" s="155"/>
      <c r="G191" s="155"/>
      <c r="H191" s="5" t="s">
        <v>58</v>
      </c>
      <c r="I191" s="152"/>
      <c r="J191" s="9"/>
      <c r="K191" s="9"/>
      <c r="L191" s="11" t="b">
        <v>0</v>
      </c>
      <c r="M191" s="11" t="b">
        <v>0</v>
      </c>
      <c r="N191" s="7"/>
      <c r="O191" s="7"/>
      <c r="P191" s="8">
        <f t="shared" si="29"/>
        <v>0</v>
      </c>
      <c r="Q191" s="7"/>
      <c r="R191" s="9"/>
      <c r="S191" s="7"/>
      <c r="T191" s="7"/>
      <c r="U191" s="8">
        <f t="shared" si="30"/>
        <v>0</v>
      </c>
      <c r="V191" s="9"/>
      <c r="W191" s="9"/>
      <c r="X191" s="9"/>
      <c r="Y191" s="9"/>
      <c r="Z191" s="5"/>
      <c r="AA191" s="9"/>
      <c r="AB191" s="5"/>
      <c r="AC191" s="5"/>
      <c r="AD191" s="5"/>
      <c r="AE191" s="9"/>
      <c r="AF191" s="9"/>
      <c r="AG191" s="26"/>
      <c r="AH191" s="26"/>
      <c r="AI191" s="26"/>
    </row>
    <row r="192" spans="1:35" ht="15">
      <c r="A192" s="155"/>
      <c r="B192" s="155"/>
      <c r="C192" s="155"/>
      <c r="D192" s="176" t="s">
        <v>460</v>
      </c>
      <c r="E192" s="177" t="s">
        <v>461</v>
      </c>
      <c r="F192" s="176" t="s">
        <v>462</v>
      </c>
      <c r="G192" s="178"/>
      <c r="H192" s="85" t="s">
        <v>49</v>
      </c>
      <c r="I192" s="135"/>
      <c r="J192" s="84"/>
      <c r="K192" s="84"/>
      <c r="L192" s="86" t="b">
        <v>0</v>
      </c>
      <c r="M192" s="86" t="b">
        <v>0</v>
      </c>
      <c r="N192" s="83"/>
      <c r="O192" s="83"/>
      <c r="P192" s="87">
        <f t="shared" si="29"/>
        <v>0</v>
      </c>
      <c r="Q192" s="83"/>
      <c r="R192" s="84"/>
      <c r="S192" s="83"/>
      <c r="T192" s="83"/>
      <c r="U192" s="87">
        <f t="shared" si="30"/>
        <v>0</v>
      </c>
      <c r="V192" s="84"/>
      <c r="W192" s="84"/>
      <c r="X192" s="84"/>
      <c r="Y192" s="84"/>
      <c r="Z192" s="85"/>
      <c r="AA192" s="84"/>
      <c r="AB192" s="85"/>
      <c r="AC192" s="85"/>
      <c r="AD192" s="85"/>
      <c r="AE192" s="84"/>
      <c r="AF192" s="84"/>
      <c r="AG192" s="122"/>
      <c r="AH192" s="122"/>
      <c r="AI192" s="153"/>
    </row>
    <row r="193" spans="1:35" ht="15">
      <c r="A193" s="155"/>
      <c r="B193" s="155"/>
      <c r="C193" s="155"/>
      <c r="D193" s="155"/>
      <c r="E193" s="155"/>
      <c r="F193" s="155"/>
      <c r="G193" s="155"/>
      <c r="H193" s="85" t="s">
        <v>58</v>
      </c>
      <c r="I193" s="135"/>
      <c r="J193" s="84"/>
      <c r="K193" s="84"/>
      <c r="L193" s="86" t="b">
        <v>0</v>
      </c>
      <c r="M193" s="86" t="b">
        <v>0</v>
      </c>
      <c r="N193" s="83"/>
      <c r="O193" s="83"/>
      <c r="P193" s="87">
        <f t="shared" si="29"/>
        <v>0</v>
      </c>
      <c r="Q193" s="83"/>
      <c r="R193" s="84"/>
      <c r="S193" s="83"/>
      <c r="T193" s="83"/>
      <c r="U193" s="87">
        <f t="shared" si="30"/>
        <v>0</v>
      </c>
      <c r="V193" s="84"/>
      <c r="W193" s="84"/>
      <c r="X193" s="133"/>
      <c r="Y193" s="133"/>
      <c r="Z193" s="121"/>
      <c r="AA193" s="133"/>
      <c r="AB193" s="121"/>
      <c r="AC193" s="121"/>
      <c r="AD193" s="121"/>
      <c r="AE193" s="84"/>
      <c r="AF193" s="84"/>
      <c r="AG193" s="122"/>
      <c r="AH193" s="122"/>
      <c r="AI193" s="153"/>
    </row>
    <row r="194" spans="1:35" ht="15">
      <c r="A194" s="155"/>
      <c r="B194" s="155"/>
      <c r="C194" s="155"/>
      <c r="D194" s="157" t="s">
        <v>453</v>
      </c>
      <c r="E194" s="157" t="s">
        <v>463</v>
      </c>
      <c r="F194" s="157" t="s">
        <v>464</v>
      </c>
      <c r="G194" s="158"/>
      <c r="H194" s="5" t="s">
        <v>465</v>
      </c>
      <c r="I194" s="22"/>
      <c r="J194" s="9"/>
      <c r="K194" s="9"/>
      <c r="L194" s="11" t="b">
        <v>0</v>
      </c>
      <c r="M194" s="11" t="b">
        <v>0</v>
      </c>
      <c r="N194" s="7"/>
      <c r="O194" s="7"/>
      <c r="P194" s="8">
        <f t="shared" si="29"/>
        <v>0</v>
      </c>
      <c r="Q194" s="7"/>
      <c r="R194" s="9"/>
      <c r="S194" s="7"/>
      <c r="T194" s="7"/>
      <c r="U194" s="8">
        <f t="shared" si="30"/>
        <v>0</v>
      </c>
      <c r="V194" s="9"/>
      <c r="W194" s="9"/>
      <c r="X194" s="18"/>
      <c r="Y194" s="18"/>
      <c r="Z194" s="19"/>
      <c r="AA194" s="18"/>
      <c r="AB194" s="19"/>
      <c r="AC194" s="19"/>
      <c r="AD194" s="19"/>
      <c r="AE194" s="9"/>
      <c r="AF194" s="9"/>
      <c r="AG194" s="26"/>
      <c r="AH194" s="26"/>
      <c r="AI194" s="151"/>
    </row>
    <row r="195" spans="1:35" ht="15">
      <c r="A195" s="155"/>
      <c r="B195" s="155"/>
      <c r="C195" s="155"/>
      <c r="D195" s="155"/>
      <c r="E195" s="155"/>
      <c r="F195" s="155"/>
      <c r="G195" s="155"/>
      <c r="H195" s="5" t="s">
        <v>58</v>
      </c>
      <c r="I195" s="22"/>
      <c r="J195" s="9"/>
      <c r="K195" s="9"/>
      <c r="L195" s="11" t="b">
        <v>0</v>
      </c>
      <c r="M195" s="11" t="b">
        <v>0</v>
      </c>
      <c r="N195" s="7"/>
      <c r="O195" s="7"/>
      <c r="P195" s="8">
        <f t="shared" si="29"/>
        <v>0</v>
      </c>
      <c r="Q195" s="7"/>
      <c r="R195" s="9"/>
      <c r="S195" s="7"/>
      <c r="T195" s="7"/>
      <c r="U195" s="8">
        <f t="shared" si="30"/>
        <v>0</v>
      </c>
      <c r="V195" s="9"/>
      <c r="W195" s="9"/>
      <c r="X195" s="18"/>
      <c r="Y195" s="18"/>
      <c r="Z195" s="19"/>
      <c r="AA195" s="18"/>
      <c r="AB195" s="19"/>
      <c r="AC195" s="19"/>
      <c r="AD195" s="19"/>
      <c r="AE195" s="9"/>
      <c r="AF195" s="9"/>
      <c r="AG195" s="26"/>
      <c r="AH195" s="26"/>
      <c r="AI195" s="151"/>
    </row>
    <row r="196" spans="1:35" ht="12.75">
      <c r="A196" s="114"/>
      <c r="B196" s="114"/>
      <c r="C196" s="114"/>
      <c r="D196" s="115"/>
      <c r="E196" s="115"/>
      <c r="F196" s="115"/>
      <c r="G196" s="116"/>
      <c r="H196" s="115"/>
      <c r="I196" s="117"/>
      <c r="J196" s="116"/>
      <c r="K196" s="116"/>
      <c r="L196" s="116"/>
      <c r="M196" s="116"/>
      <c r="N196" s="118"/>
      <c r="O196" s="118"/>
      <c r="P196" s="119"/>
      <c r="Q196" s="118"/>
      <c r="R196" s="116"/>
      <c r="S196" s="118"/>
      <c r="T196" s="118"/>
      <c r="U196" s="119"/>
      <c r="V196" s="116"/>
      <c r="W196" s="116"/>
      <c r="X196" s="116"/>
      <c r="Y196" s="116"/>
      <c r="Z196" s="115"/>
      <c r="AA196" s="116"/>
      <c r="AB196" s="115"/>
      <c r="AC196" s="115"/>
      <c r="AD196" s="115"/>
      <c r="AE196" s="116"/>
      <c r="AF196" s="116"/>
      <c r="AG196" s="116"/>
      <c r="AH196" s="116"/>
      <c r="AI196" s="116"/>
    </row>
    <row r="197" spans="1:35" ht="12.75">
      <c r="A197" s="162" t="s">
        <v>209</v>
      </c>
      <c r="B197" s="162" t="s">
        <v>178</v>
      </c>
      <c r="C197" s="162" t="s">
        <v>210</v>
      </c>
      <c r="D197" s="162" t="s">
        <v>453</v>
      </c>
      <c r="E197" s="160" t="s">
        <v>47</v>
      </c>
      <c r="F197" s="162" t="s">
        <v>454</v>
      </c>
      <c r="G197" s="164"/>
      <c r="H197" s="77" t="s">
        <v>49</v>
      </c>
      <c r="I197" s="108"/>
      <c r="J197" s="78"/>
      <c r="K197" s="78"/>
      <c r="L197" s="79" t="b">
        <v>0</v>
      </c>
      <c r="M197" s="79" t="b">
        <v>0</v>
      </c>
      <c r="N197" s="81"/>
      <c r="O197" s="81"/>
      <c r="P197" s="80">
        <f t="shared" ref="P197:P208" si="31">N197+O197</f>
        <v>0</v>
      </c>
      <c r="Q197" s="81"/>
      <c r="R197" s="78"/>
      <c r="S197" s="81"/>
      <c r="T197" s="81"/>
      <c r="U197" s="80">
        <f t="shared" ref="U197:U208" si="32">S197+T197</f>
        <v>0</v>
      </c>
      <c r="V197" s="78"/>
      <c r="W197" s="78"/>
      <c r="X197" s="78"/>
      <c r="Y197" s="78"/>
      <c r="Z197" s="77"/>
      <c r="AA197" s="78"/>
      <c r="AB197" s="77"/>
      <c r="AC197" s="77"/>
      <c r="AD197" s="77"/>
      <c r="AE197" s="78"/>
      <c r="AF197" s="78"/>
      <c r="AG197" s="109"/>
      <c r="AH197" s="109"/>
      <c r="AI197" s="78"/>
    </row>
    <row r="198" spans="1:35" ht="12.75">
      <c r="A198" s="155"/>
      <c r="B198" s="155"/>
      <c r="C198" s="155"/>
      <c r="D198" s="155"/>
      <c r="E198" s="155"/>
      <c r="F198" s="155"/>
      <c r="G198" s="155"/>
      <c r="H198" s="85" t="s">
        <v>58</v>
      </c>
      <c r="I198" s="112"/>
      <c r="J198" s="84"/>
      <c r="K198" s="84"/>
      <c r="L198" s="86" t="b">
        <v>0</v>
      </c>
      <c r="M198" s="86" t="b">
        <v>0</v>
      </c>
      <c r="N198" s="83"/>
      <c r="O198" s="83"/>
      <c r="P198" s="87">
        <f t="shared" si="31"/>
        <v>0</v>
      </c>
      <c r="Q198" s="83"/>
      <c r="R198" s="84"/>
      <c r="S198" s="83"/>
      <c r="T198" s="83"/>
      <c r="U198" s="87">
        <f t="shared" si="32"/>
        <v>0</v>
      </c>
      <c r="V198" s="84"/>
      <c r="W198" s="84"/>
      <c r="X198" s="84"/>
      <c r="Y198" s="84"/>
      <c r="Z198" s="85"/>
      <c r="AA198" s="84"/>
      <c r="AB198" s="85"/>
      <c r="AC198" s="85"/>
      <c r="AD198" s="85"/>
      <c r="AE198" s="84"/>
      <c r="AF198" s="84"/>
      <c r="AG198" s="110"/>
      <c r="AH198" s="110"/>
      <c r="AI198" s="84"/>
    </row>
    <row r="199" spans="1:35" ht="12.75">
      <c r="A199" s="155"/>
      <c r="B199" s="155"/>
      <c r="C199" s="155"/>
      <c r="D199" s="157" t="s">
        <v>453</v>
      </c>
      <c r="E199" s="157" t="s">
        <v>59</v>
      </c>
      <c r="F199" s="157" t="s">
        <v>454</v>
      </c>
      <c r="G199" s="158"/>
      <c r="H199" s="5" t="s">
        <v>49</v>
      </c>
      <c r="I199" s="17"/>
      <c r="J199" s="9"/>
      <c r="K199" s="9"/>
      <c r="L199" s="11" t="b">
        <v>0</v>
      </c>
      <c r="M199" s="11" t="b">
        <v>0</v>
      </c>
      <c r="N199" s="7"/>
      <c r="O199" s="7"/>
      <c r="P199" s="8">
        <f t="shared" si="31"/>
        <v>0</v>
      </c>
      <c r="Q199" s="7"/>
      <c r="R199" s="9"/>
      <c r="S199" s="7"/>
      <c r="T199" s="7"/>
      <c r="U199" s="8">
        <f t="shared" si="32"/>
        <v>0</v>
      </c>
      <c r="V199" s="9"/>
      <c r="W199" s="9"/>
      <c r="X199" s="18"/>
      <c r="Y199" s="18"/>
      <c r="Z199" s="19"/>
      <c r="AA199" s="18"/>
      <c r="AB199" s="19"/>
      <c r="AC199" s="19"/>
      <c r="AD199" s="19"/>
      <c r="AE199" s="9"/>
      <c r="AF199" s="9"/>
      <c r="AG199" s="26"/>
      <c r="AH199" s="26"/>
      <c r="AI199" s="89"/>
    </row>
    <row r="200" spans="1:35" ht="12.75">
      <c r="A200" s="155"/>
      <c r="B200" s="155"/>
      <c r="C200" s="155"/>
      <c r="D200" s="155"/>
      <c r="E200" s="155"/>
      <c r="F200" s="155"/>
      <c r="G200" s="155"/>
      <c r="H200" s="5" t="s">
        <v>58</v>
      </c>
      <c r="I200" s="22"/>
      <c r="J200" s="9"/>
      <c r="K200" s="9"/>
      <c r="L200" s="11" t="b">
        <v>0</v>
      </c>
      <c r="M200" s="11" t="b">
        <v>0</v>
      </c>
      <c r="N200" s="7"/>
      <c r="O200" s="7"/>
      <c r="P200" s="8">
        <f t="shared" si="31"/>
        <v>0</v>
      </c>
      <c r="Q200" s="7"/>
      <c r="R200" s="9"/>
      <c r="S200" s="7"/>
      <c r="T200" s="7"/>
      <c r="U200" s="8">
        <f t="shared" si="32"/>
        <v>0</v>
      </c>
      <c r="V200" s="9"/>
      <c r="W200" s="9"/>
      <c r="X200" s="18"/>
      <c r="Y200" s="18"/>
      <c r="Z200" s="19"/>
      <c r="AA200" s="18"/>
      <c r="AB200" s="19"/>
      <c r="AC200" s="19"/>
      <c r="AD200" s="19"/>
      <c r="AE200" s="9"/>
      <c r="AF200" s="9"/>
      <c r="AG200" s="26"/>
      <c r="AH200" s="26"/>
      <c r="AI200" s="9"/>
    </row>
    <row r="201" spans="1:35" ht="15">
      <c r="A201" s="155"/>
      <c r="B201" s="155"/>
      <c r="C201" s="155"/>
      <c r="D201" s="176" t="s">
        <v>455</v>
      </c>
      <c r="E201" s="176" t="s">
        <v>456</v>
      </c>
      <c r="F201" s="177" t="s">
        <v>457</v>
      </c>
      <c r="G201" s="178"/>
      <c r="H201" s="85" t="s">
        <v>458</v>
      </c>
      <c r="I201" s="147"/>
      <c r="J201" s="84"/>
      <c r="K201" s="84"/>
      <c r="L201" s="86" t="b">
        <v>0</v>
      </c>
      <c r="M201" s="86" t="b">
        <v>0</v>
      </c>
      <c r="N201" s="83"/>
      <c r="O201" s="83"/>
      <c r="P201" s="87">
        <f t="shared" si="31"/>
        <v>0</v>
      </c>
      <c r="Q201" s="83"/>
      <c r="R201" s="84"/>
      <c r="S201" s="83"/>
      <c r="T201" s="83"/>
      <c r="U201" s="87">
        <f t="shared" si="32"/>
        <v>0</v>
      </c>
      <c r="V201" s="84"/>
      <c r="W201" s="84"/>
      <c r="X201" s="133"/>
      <c r="Y201" s="133"/>
      <c r="Z201" s="121"/>
      <c r="AA201" s="133"/>
      <c r="AB201" s="121"/>
      <c r="AC201" s="121"/>
      <c r="AD201" s="121"/>
      <c r="AE201" s="84"/>
      <c r="AF201" s="84"/>
      <c r="AG201" s="122"/>
      <c r="AH201" s="122"/>
      <c r="AI201" s="84"/>
    </row>
    <row r="202" spans="1:35" ht="15">
      <c r="A202" s="155"/>
      <c r="B202" s="155"/>
      <c r="C202" s="155"/>
      <c r="D202" s="155"/>
      <c r="E202" s="155"/>
      <c r="F202" s="155"/>
      <c r="G202" s="155"/>
      <c r="H202" s="85" t="s">
        <v>58</v>
      </c>
      <c r="I202" s="147"/>
      <c r="J202" s="84"/>
      <c r="K202" s="84"/>
      <c r="L202" s="86" t="b">
        <v>0</v>
      </c>
      <c r="M202" s="86" t="b">
        <v>0</v>
      </c>
      <c r="N202" s="83"/>
      <c r="O202" s="83"/>
      <c r="P202" s="87">
        <f t="shared" si="31"/>
        <v>0</v>
      </c>
      <c r="Q202" s="83"/>
      <c r="R202" s="84"/>
      <c r="S202" s="83"/>
      <c r="T202" s="83"/>
      <c r="U202" s="87">
        <f t="shared" si="32"/>
        <v>0</v>
      </c>
      <c r="V202" s="84"/>
      <c r="W202" s="84"/>
      <c r="X202" s="133"/>
      <c r="Y202" s="133"/>
      <c r="Z202" s="121"/>
      <c r="AA202" s="133"/>
      <c r="AB202" s="121"/>
      <c r="AC202" s="121"/>
      <c r="AD202" s="121"/>
      <c r="AE202" s="84"/>
      <c r="AF202" s="84"/>
      <c r="AG202" s="122"/>
      <c r="AH202" s="122"/>
      <c r="AI202" s="148"/>
    </row>
    <row r="203" spans="1:35" ht="15">
      <c r="A203" s="155"/>
      <c r="B203" s="155"/>
      <c r="C203" s="155"/>
      <c r="D203" s="157" t="s">
        <v>455</v>
      </c>
      <c r="E203" s="175" t="s">
        <v>459</v>
      </c>
      <c r="F203" s="156" t="s">
        <v>457</v>
      </c>
      <c r="G203" s="158"/>
      <c r="H203" s="5" t="s">
        <v>458</v>
      </c>
      <c r="I203" s="150"/>
      <c r="J203" s="9"/>
      <c r="K203" s="9"/>
      <c r="L203" s="11" t="b">
        <v>0</v>
      </c>
      <c r="M203" s="11" t="b">
        <v>0</v>
      </c>
      <c r="N203" s="7"/>
      <c r="O203" s="7"/>
      <c r="P203" s="8">
        <f t="shared" si="31"/>
        <v>0</v>
      </c>
      <c r="Q203" s="7"/>
      <c r="R203" s="9"/>
      <c r="S203" s="7"/>
      <c r="T203" s="7"/>
      <c r="U203" s="8">
        <f t="shared" si="32"/>
        <v>0</v>
      </c>
      <c r="V203" s="9"/>
      <c r="W203" s="9"/>
      <c r="X203" s="9"/>
      <c r="Y203" s="9"/>
      <c r="Z203" s="5"/>
      <c r="AA203" s="9"/>
      <c r="AB203" s="5"/>
      <c r="AC203" s="5"/>
      <c r="AD203" s="5"/>
      <c r="AE203" s="9"/>
      <c r="AF203" s="9"/>
      <c r="AG203" s="26"/>
      <c r="AH203" s="26"/>
      <c r="AI203" s="151"/>
    </row>
    <row r="204" spans="1:35" ht="12.75">
      <c r="A204" s="155"/>
      <c r="B204" s="155"/>
      <c r="C204" s="155"/>
      <c r="D204" s="155"/>
      <c r="E204" s="155"/>
      <c r="F204" s="155"/>
      <c r="G204" s="155"/>
      <c r="H204" s="5" t="s">
        <v>58</v>
      </c>
      <c r="I204" s="152"/>
      <c r="J204" s="9"/>
      <c r="K204" s="9"/>
      <c r="L204" s="11" t="b">
        <v>0</v>
      </c>
      <c r="M204" s="11" t="b">
        <v>0</v>
      </c>
      <c r="N204" s="7"/>
      <c r="O204" s="7"/>
      <c r="P204" s="8">
        <f t="shared" si="31"/>
        <v>0</v>
      </c>
      <c r="Q204" s="7"/>
      <c r="R204" s="9"/>
      <c r="S204" s="7"/>
      <c r="T204" s="7"/>
      <c r="U204" s="8">
        <f t="shared" si="32"/>
        <v>0</v>
      </c>
      <c r="V204" s="9"/>
      <c r="W204" s="9"/>
      <c r="X204" s="9"/>
      <c r="Y204" s="9"/>
      <c r="Z204" s="5"/>
      <c r="AA204" s="9"/>
      <c r="AB204" s="5"/>
      <c r="AC204" s="5"/>
      <c r="AD204" s="5"/>
      <c r="AE204" s="9"/>
      <c r="AF204" s="9"/>
      <c r="AG204" s="26"/>
      <c r="AH204" s="26"/>
      <c r="AI204" s="26"/>
    </row>
    <row r="205" spans="1:35" ht="15">
      <c r="A205" s="155"/>
      <c r="B205" s="155"/>
      <c r="C205" s="155"/>
      <c r="D205" s="176" t="s">
        <v>460</v>
      </c>
      <c r="E205" s="177" t="s">
        <v>461</v>
      </c>
      <c r="F205" s="176" t="s">
        <v>462</v>
      </c>
      <c r="G205" s="178"/>
      <c r="H205" s="85" t="s">
        <v>49</v>
      </c>
      <c r="I205" s="135"/>
      <c r="J205" s="84"/>
      <c r="K205" s="84"/>
      <c r="L205" s="86" t="b">
        <v>0</v>
      </c>
      <c r="M205" s="86" t="b">
        <v>0</v>
      </c>
      <c r="N205" s="83"/>
      <c r="O205" s="83"/>
      <c r="P205" s="87">
        <f t="shared" si="31"/>
        <v>0</v>
      </c>
      <c r="Q205" s="83"/>
      <c r="R205" s="84"/>
      <c r="S205" s="83"/>
      <c r="T205" s="83"/>
      <c r="U205" s="87">
        <f t="shared" si="32"/>
        <v>0</v>
      </c>
      <c r="V205" s="84"/>
      <c r="W205" s="84"/>
      <c r="X205" s="84"/>
      <c r="Y205" s="84"/>
      <c r="Z205" s="85"/>
      <c r="AA205" s="84"/>
      <c r="AB205" s="85"/>
      <c r="AC205" s="85"/>
      <c r="AD205" s="85"/>
      <c r="AE205" s="84"/>
      <c r="AF205" s="84"/>
      <c r="AG205" s="122"/>
      <c r="AH205" s="122"/>
      <c r="AI205" s="153"/>
    </row>
    <row r="206" spans="1:35" ht="15">
      <c r="A206" s="155"/>
      <c r="B206" s="155"/>
      <c r="C206" s="155"/>
      <c r="D206" s="155"/>
      <c r="E206" s="155"/>
      <c r="F206" s="155"/>
      <c r="G206" s="155"/>
      <c r="H206" s="85" t="s">
        <v>58</v>
      </c>
      <c r="I206" s="135"/>
      <c r="J206" s="84"/>
      <c r="K206" s="84"/>
      <c r="L206" s="86" t="b">
        <v>0</v>
      </c>
      <c r="M206" s="86" t="b">
        <v>0</v>
      </c>
      <c r="N206" s="83"/>
      <c r="O206" s="83"/>
      <c r="P206" s="87">
        <f t="shared" si="31"/>
        <v>0</v>
      </c>
      <c r="Q206" s="83"/>
      <c r="R206" s="84"/>
      <c r="S206" s="83"/>
      <c r="T206" s="83"/>
      <c r="U206" s="87">
        <f t="shared" si="32"/>
        <v>0</v>
      </c>
      <c r="V206" s="84"/>
      <c r="W206" s="84"/>
      <c r="X206" s="133"/>
      <c r="Y206" s="133"/>
      <c r="Z206" s="121"/>
      <c r="AA206" s="133"/>
      <c r="AB206" s="121"/>
      <c r="AC206" s="121"/>
      <c r="AD206" s="121"/>
      <c r="AE206" s="84"/>
      <c r="AF206" s="84"/>
      <c r="AG206" s="122"/>
      <c r="AH206" s="122"/>
      <c r="AI206" s="153"/>
    </row>
    <row r="207" spans="1:35" ht="15">
      <c r="A207" s="155"/>
      <c r="B207" s="155"/>
      <c r="C207" s="155"/>
      <c r="D207" s="157" t="s">
        <v>453</v>
      </c>
      <c r="E207" s="157" t="s">
        <v>463</v>
      </c>
      <c r="F207" s="157" t="s">
        <v>464</v>
      </c>
      <c r="G207" s="158"/>
      <c r="H207" s="5" t="s">
        <v>465</v>
      </c>
      <c r="I207" s="22"/>
      <c r="J207" s="9"/>
      <c r="K207" s="9"/>
      <c r="L207" s="11" t="b">
        <v>0</v>
      </c>
      <c r="M207" s="11" t="b">
        <v>0</v>
      </c>
      <c r="N207" s="7"/>
      <c r="O207" s="7"/>
      <c r="P207" s="8">
        <f t="shared" si="31"/>
        <v>0</v>
      </c>
      <c r="Q207" s="7"/>
      <c r="R207" s="9"/>
      <c r="S207" s="7"/>
      <c r="T207" s="7"/>
      <c r="U207" s="8">
        <f t="shared" si="32"/>
        <v>0</v>
      </c>
      <c r="V207" s="9"/>
      <c r="W207" s="9"/>
      <c r="X207" s="18"/>
      <c r="Y207" s="18"/>
      <c r="Z207" s="19"/>
      <c r="AA207" s="18"/>
      <c r="AB207" s="19"/>
      <c r="AC207" s="19"/>
      <c r="AD207" s="19"/>
      <c r="AE207" s="9"/>
      <c r="AF207" s="9"/>
      <c r="AG207" s="26"/>
      <c r="AH207" s="26"/>
      <c r="AI207" s="151"/>
    </row>
    <row r="208" spans="1:35" ht="15">
      <c r="A208" s="155"/>
      <c r="B208" s="155"/>
      <c r="C208" s="155"/>
      <c r="D208" s="155"/>
      <c r="E208" s="155"/>
      <c r="F208" s="155"/>
      <c r="G208" s="155"/>
      <c r="H208" s="5" t="s">
        <v>58</v>
      </c>
      <c r="I208" s="22"/>
      <c r="J208" s="9"/>
      <c r="K208" s="9"/>
      <c r="L208" s="11" t="b">
        <v>0</v>
      </c>
      <c r="M208" s="11" t="b">
        <v>0</v>
      </c>
      <c r="N208" s="7"/>
      <c r="O208" s="7"/>
      <c r="P208" s="8">
        <f t="shared" si="31"/>
        <v>0</v>
      </c>
      <c r="Q208" s="7"/>
      <c r="R208" s="9"/>
      <c r="S208" s="7"/>
      <c r="T208" s="7"/>
      <c r="U208" s="8">
        <f t="shared" si="32"/>
        <v>0</v>
      </c>
      <c r="V208" s="9"/>
      <c r="W208" s="9"/>
      <c r="X208" s="18"/>
      <c r="Y208" s="18"/>
      <c r="Z208" s="19"/>
      <c r="AA208" s="18"/>
      <c r="AB208" s="19"/>
      <c r="AC208" s="19"/>
      <c r="AD208" s="19"/>
      <c r="AE208" s="9"/>
      <c r="AF208" s="9"/>
      <c r="AG208" s="26"/>
      <c r="AH208" s="26"/>
      <c r="AI208" s="151"/>
    </row>
    <row r="209" spans="1:35" ht="12.75">
      <c r="A209" s="114"/>
      <c r="B209" s="114"/>
      <c r="C209" s="114"/>
      <c r="D209" s="115"/>
      <c r="E209" s="115"/>
      <c r="F209" s="115"/>
      <c r="G209" s="116"/>
      <c r="H209" s="115"/>
      <c r="I209" s="117"/>
      <c r="J209" s="116"/>
      <c r="K209" s="116"/>
      <c r="L209" s="116"/>
      <c r="M209" s="116"/>
      <c r="N209" s="118"/>
      <c r="O209" s="118"/>
      <c r="P209" s="119"/>
      <c r="Q209" s="118"/>
      <c r="R209" s="116"/>
      <c r="S209" s="118"/>
      <c r="T209" s="118"/>
      <c r="U209" s="119"/>
      <c r="V209" s="116"/>
      <c r="W209" s="116"/>
      <c r="X209" s="116"/>
      <c r="Y209" s="116"/>
      <c r="Z209" s="115"/>
      <c r="AA209" s="116"/>
      <c r="AB209" s="115"/>
      <c r="AC209" s="115"/>
      <c r="AD209" s="115"/>
      <c r="AE209" s="116"/>
      <c r="AF209" s="116"/>
      <c r="AG209" s="116"/>
      <c r="AH209" s="116"/>
      <c r="AI209" s="116"/>
    </row>
    <row r="210" spans="1:35" ht="12.75">
      <c r="A210" s="162" t="s">
        <v>220</v>
      </c>
      <c r="B210" s="162" t="s">
        <v>178</v>
      </c>
      <c r="C210" s="162" t="s">
        <v>220</v>
      </c>
      <c r="D210" s="162" t="s">
        <v>453</v>
      </c>
      <c r="E210" s="160" t="s">
        <v>47</v>
      </c>
      <c r="F210" s="162" t="s">
        <v>454</v>
      </c>
      <c r="G210" s="164"/>
      <c r="H210" s="77" t="s">
        <v>49</v>
      </c>
      <c r="I210" s="108"/>
      <c r="J210" s="78"/>
      <c r="K210" s="78"/>
      <c r="L210" s="79" t="b">
        <v>0</v>
      </c>
      <c r="M210" s="79" t="b">
        <v>0</v>
      </c>
      <c r="N210" s="81"/>
      <c r="O210" s="81"/>
      <c r="P210" s="80">
        <f t="shared" ref="P210:P221" si="33">N210+O210</f>
        <v>0</v>
      </c>
      <c r="Q210" s="81"/>
      <c r="R210" s="78"/>
      <c r="S210" s="81"/>
      <c r="T210" s="81"/>
      <c r="U210" s="80">
        <f t="shared" ref="U210:U221" si="34">S210+T210</f>
        <v>0</v>
      </c>
      <c r="V210" s="78"/>
      <c r="W210" s="78"/>
      <c r="X210" s="78"/>
      <c r="Y210" s="78"/>
      <c r="Z210" s="77"/>
      <c r="AA210" s="78"/>
      <c r="AB210" s="77"/>
      <c r="AC210" s="77"/>
      <c r="AD210" s="77"/>
      <c r="AE210" s="78"/>
      <c r="AF210" s="78"/>
      <c r="AG210" s="109"/>
      <c r="AH210" s="109"/>
      <c r="AI210" s="78"/>
    </row>
    <row r="211" spans="1:35" ht="12.75">
      <c r="A211" s="155"/>
      <c r="B211" s="155"/>
      <c r="C211" s="155"/>
      <c r="D211" s="155"/>
      <c r="E211" s="155"/>
      <c r="F211" s="155"/>
      <c r="G211" s="155"/>
      <c r="H211" s="85" t="s">
        <v>58</v>
      </c>
      <c r="I211" s="112"/>
      <c r="J211" s="84"/>
      <c r="K211" s="84"/>
      <c r="L211" s="86" t="b">
        <v>0</v>
      </c>
      <c r="M211" s="86" t="b">
        <v>0</v>
      </c>
      <c r="N211" s="83"/>
      <c r="O211" s="83"/>
      <c r="P211" s="87">
        <f t="shared" si="33"/>
        <v>0</v>
      </c>
      <c r="Q211" s="83"/>
      <c r="R211" s="84"/>
      <c r="S211" s="83"/>
      <c r="T211" s="83"/>
      <c r="U211" s="87">
        <f t="shared" si="34"/>
        <v>0</v>
      </c>
      <c r="V211" s="84"/>
      <c r="W211" s="84"/>
      <c r="X211" s="84"/>
      <c r="Y211" s="84"/>
      <c r="Z211" s="85"/>
      <c r="AA211" s="84"/>
      <c r="AB211" s="85"/>
      <c r="AC211" s="85"/>
      <c r="AD211" s="85"/>
      <c r="AE211" s="84"/>
      <c r="AF211" s="84"/>
      <c r="AG211" s="110"/>
      <c r="AH211" s="110"/>
      <c r="AI211" s="84"/>
    </row>
    <row r="212" spans="1:35" ht="12.75">
      <c r="A212" s="155"/>
      <c r="B212" s="155"/>
      <c r="C212" s="155"/>
      <c r="D212" s="157" t="s">
        <v>453</v>
      </c>
      <c r="E212" s="157" t="s">
        <v>59</v>
      </c>
      <c r="F212" s="157" t="s">
        <v>454</v>
      </c>
      <c r="G212" s="158"/>
      <c r="H212" s="5" t="s">
        <v>49</v>
      </c>
      <c r="I212" s="17"/>
      <c r="J212" s="9"/>
      <c r="K212" s="9"/>
      <c r="L212" s="11" t="b">
        <v>0</v>
      </c>
      <c r="M212" s="11" t="b">
        <v>0</v>
      </c>
      <c r="N212" s="7"/>
      <c r="O212" s="7"/>
      <c r="P212" s="8">
        <f t="shared" si="33"/>
        <v>0</v>
      </c>
      <c r="Q212" s="7"/>
      <c r="R212" s="9"/>
      <c r="S212" s="7"/>
      <c r="T212" s="7"/>
      <c r="U212" s="8">
        <f t="shared" si="34"/>
        <v>0</v>
      </c>
      <c r="V212" s="9"/>
      <c r="W212" s="9"/>
      <c r="X212" s="18"/>
      <c r="Y212" s="18"/>
      <c r="Z212" s="19"/>
      <c r="AA212" s="18"/>
      <c r="AB212" s="19"/>
      <c r="AC212" s="19"/>
      <c r="AD212" s="19"/>
      <c r="AE212" s="9"/>
      <c r="AF212" s="9"/>
      <c r="AG212" s="26"/>
      <c r="AH212" s="26"/>
      <c r="AI212" s="89"/>
    </row>
    <row r="213" spans="1:35" ht="12.75">
      <c r="A213" s="155"/>
      <c r="B213" s="155"/>
      <c r="C213" s="155"/>
      <c r="D213" s="155"/>
      <c r="E213" s="155"/>
      <c r="F213" s="155"/>
      <c r="G213" s="155"/>
      <c r="H213" s="5" t="s">
        <v>58</v>
      </c>
      <c r="I213" s="22"/>
      <c r="J213" s="9"/>
      <c r="K213" s="9"/>
      <c r="L213" s="11" t="b">
        <v>0</v>
      </c>
      <c r="M213" s="11" t="b">
        <v>0</v>
      </c>
      <c r="N213" s="7"/>
      <c r="O213" s="7"/>
      <c r="P213" s="8">
        <f t="shared" si="33"/>
        <v>0</v>
      </c>
      <c r="Q213" s="7"/>
      <c r="R213" s="9"/>
      <c r="S213" s="7"/>
      <c r="T213" s="7"/>
      <c r="U213" s="8">
        <f t="shared" si="34"/>
        <v>0</v>
      </c>
      <c r="V213" s="9"/>
      <c r="W213" s="9"/>
      <c r="X213" s="18"/>
      <c r="Y213" s="18"/>
      <c r="Z213" s="19"/>
      <c r="AA213" s="18"/>
      <c r="AB213" s="19"/>
      <c r="AC213" s="19"/>
      <c r="AD213" s="19"/>
      <c r="AE213" s="9"/>
      <c r="AF213" s="9"/>
      <c r="AG213" s="26"/>
      <c r="AH213" s="26"/>
      <c r="AI213" s="9"/>
    </row>
    <row r="214" spans="1:35" ht="15">
      <c r="A214" s="155"/>
      <c r="B214" s="155"/>
      <c r="C214" s="155"/>
      <c r="D214" s="176" t="s">
        <v>455</v>
      </c>
      <c r="E214" s="176" t="s">
        <v>456</v>
      </c>
      <c r="F214" s="177" t="s">
        <v>457</v>
      </c>
      <c r="G214" s="178"/>
      <c r="H214" s="85" t="s">
        <v>458</v>
      </c>
      <c r="I214" s="147"/>
      <c r="J214" s="84"/>
      <c r="K214" s="84"/>
      <c r="L214" s="86" t="b">
        <v>0</v>
      </c>
      <c r="M214" s="86" t="b">
        <v>0</v>
      </c>
      <c r="N214" s="83"/>
      <c r="O214" s="83"/>
      <c r="P214" s="87">
        <f t="shared" si="33"/>
        <v>0</v>
      </c>
      <c r="Q214" s="83"/>
      <c r="R214" s="84"/>
      <c r="S214" s="83"/>
      <c r="T214" s="83"/>
      <c r="U214" s="87">
        <f t="shared" si="34"/>
        <v>0</v>
      </c>
      <c r="V214" s="84"/>
      <c r="W214" s="84"/>
      <c r="X214" s="133"/>
      <c r="Y214" s="133"/>
      <c r="Z214" s="121"/>
      <c r="AA214" s="133"/>
      <c r="AB214" s="121"/>
      <c r="AC214" s="121"/>
      <c r="AD214" s="121"/>
      <c r="AE214" s="84"/>
      <c r="AF214" s="84"/>
      <c r="AG214" s="122"/>
      <c r="AH214" s="122"/>
      <c r="AI214" s="84"/>
    </row>
    <row r="215" spans="1:35" ht="15">
      <c r="A215" s="155"/>
      <c r="B215" s="155"/>
      <c r="C215" s="155"/>
      <c r="D215" s="155"/>
      <c r="E215" s="155"/>
      <c r="F215" s="155"/>
      <c r="G215" s="155"/>
      <c r="H215" s="85" t="s">
        <v>58</v>
      </c>
      <c r="I215" s="147"/>
      <c r="J215" s="84"/>
      <c r="K215" s="84"/>
      <c r="L215" s="86" t="b">
        <v>0</v>
      </c>
      <c r="M215" s="86" t="b">
        <v>0</v>
      </c>
      <c r="N215" s="83"/>
      <c r="O215" s="83"/>
      <c r="P215" s="87">
        <f t="shared" si="33"/>
        <v>0</v>
      </c>
      <c r="Q215" s="83"/>
      <c r="R215" s="84"/>
      <c r="S215" s="83"/>
      <c r="T215" s="83"/>
      <c r="U215" s="87">
        <f t="shared" si="34"/>
        <v>0</v>
      </c>
      <c r="V215" s="84"/>
      <c r="W215" s="84"/>
      <c r="X215" s="133"/>
      <c r="Y215" s="133"/>
      <c r="Z215" s="121"/>
      <c r="AA215" s="133"/>
      <c r="AB215" s="121"/>
      <c r="AC215" s="121"/>
      <c r="AD215" s="121"/>
      <c r="AE215" s="84"/>
      <c r="AF215" s="84"/>
      <c r="AG215" s="122"/>
      <c r="AH215" s="122"/>
      <c r="AI215" s="148"/>
    </row>
    <row r="216" spans="1:35" ht="15">
      <c r="A216" s="155"/>
      <c r="B216" s="155"/>
      <c r="C216" s="155"/>
      <c r="D216" s="157" t="s">
        <v>455</v>
      </c>
      <c r="E216" s="175" t="s">
        <v>459</v>
      </c>
      <c r="F216" s="156" t="s">
        <v>457</v>
      </c>
      <c r="G216" s="158"/>
      <c r="H216" s="5" t="s">
        <v>458</v>
      </c>
      <c r="I216" s="150"/>
      <c r="J216" s="9"/>
      <c r="K216" s="9"/>
      <c r="L216" s="11" t="b">
        <v>0</v>
      </c>
      <c r="M216" s="11" t="b">
        <v>0</v>
      </c>
      <c r="N216" s="7"/>
      <c r="O216" s="7"/>
      <c r="P216" s="8">
        <f t="shared" si="33"/>
        <v>0</v>
      </c>
      <c r="Q216" s="7"/>
      <c r="R216" s="9"/>
      <c r="S216" s="7"/>
      <c r="T216" s="7"/>
      <c r="U216" s="8">
        <f t="shared" si="34"/>
        <v>0</v>
      </c>
      <c r="V216" s="9"/>
      <c r="W216" s="9"/>
      <c r="X216" s="9"/>
      <c r="Y216" s="9"/>
      <c r="Z216" s="5"/>
      <c r="AA216" s="9"/>
      <c r="AB216" s="5"/>
      <c r="AC216" s="5"/>
      <c r="AD216" s="5"/>
      <c r="AE216" s="9"/>
      <c r="AF216" s="9"/>
      <c r="AG216" s="26"/>
      <c r="AH216" s="26"/>
      <c r="AI216" s="151"/>
    </row>
    <row r="217" spans="1:35" ht="12.75">
      <c r="A217" s="155"/>
      <c r="B217" s="155"/>
      <c r="C217" s="155"/>
      <c r="D217" s="155"/>
      <c r="E217" s="155"/>
      <c r="F217" s="155"/>
      <c r="G217" s="155"/>
      <c r="H217" s="5" t="s">
        <v>58</v>
      </c>
      <c r="I217" s="152"/>
      <c r="J217" s="9"/>
      <c r="K217" s="9"/>
      <c r="L217" s="11" t="b">
        <v>0</v>
      </c>
      <c r="M217" s="11" t="b">
        <v>0</v>
      </c>
      <c r="N217" s="7"/>
      <c r="O217" s="7"/>
      <c r="P217" s="8">
        <f t="shared" si="33"/>
        <v>0</v>
      </c>
      <c r="Q217" s="7"/>
      <c r="R217" s="9"/>
      <c r="S217" s="7"/>
      <c r="T217" s="7"/>
      <c r="U217" s="8">
        <f t="shared" si="34"/>
        <v>0</v>
      </c>
      <c r="V217" s="9"/>
      <c r="W217" s="9"/>
      <c r="X217" s="9"/>
      <c r="Y217" s="9"/>
      <c r="Z217" s="5"/>
      <c r="AA217" s="9"/>
      <c r="AB217" s="5"/>
      <c r="AC217" s="5"/>
      <c r="AD217" s="5"/>
      <c r="AE217" s="9"/>
      <c r="AF217" s="9"/>
      <c r="AG217" s="26"/>
      <c r="AH217" s="26"/>
      <c r="AI217" s="26"/>
    </row>
    <row r="218" spans="1:35" ht="15">
      <c r="A218" s="155"/>
      <c r="B218" s="155"/>
      <c r="C218" s="155"/>
      <c r="D218" s="176" t="s">
        <v>460</v>
      </c>
      <c r="E218" s="177" t="s">
        <v>461</v>
      </c>
      <c r="F218" s="176" t="s">
        <v>462</v>
      </c>
      <c r="G218" s="178"/>
      <c r="H218" s="85" t="s">
        <v>49</v>
      </c>
      <c r="I218" s="135"/>
      <c r="J218" s="84"/>
      <c r="K218" s="84"/>
      <c r="L218" s="86" t="b">
        <v>0</v>
      </c>
      <c r="M218" s="86" t="b">
        <v>0</v>
      </c>
      <c r="N218" s="83"/>
      <c r="O218" s="83"/>
      <c r="P218" s="87">
        <f t="shared" si="33"/>
        <v>0</v>
      </c>
      <c r="Q218" s="83"/>
      <c r="R218" s="84"/>
      <c r="S218" s="83"/>
      <c r="T218" s="83"/>
      <c r="U218" s="87">
        <f t="shared" si="34"/>
        <v>0</v>
      </c>
      <c r="V218" s="84"/>
      <c r="W218" s="84"/>
      <c r="X218" s="84"/>
      <c r="Y218" s="84"/>
      <c r="Z218" s="85"/>
      <c r="AA218" s="84"/>
      <c r="AB218" s="85"/>
      <c r="AC218" s="85"/>
      <c r="AD218" s="85"/>
      <c r="AE218" s="84"/>
      <c r="AF218" s="84"/>
      <c r="AG218" s="122"/>
      <c r="AH218" s="122"/>
      <c r="AI218" s="153"/>
    </row>
    <row r="219" spans="1:35" ht="15">
      <c r="A219" s="155"/>
      <c r="B219" s="155"/>
      <c r="C219" s="155"/>
      <c r="D219" s="155"/>
      <c r="E219" s="155"/>
      <c r="F219" s="155"/>
      <c r="G219" s="155"/>
      <c r="H219" s="85" t="s">
        <v>58</v>
      </c>
      <c r="I219" s="135"/>
      <c r="J219" s="84"/>
      <c r="K219" s="84"/>
      <c r="L219" s="86" t="b">
        <v>0</v>
      </c>
      <c r="M219" s="86" t="b">
        <v>0</v>
      </c>
      <c r="N219" s="83"/>
      <c r="O219" s="83"/>
      <c r="P219" s="87">
        <f t="shared" si="33"/>
        <v>0</v>
      </c>
      <c r="Q219" s="83"/>
      <c r="R219" s="84"/>
      <c r="S219" s="83"/>
      <c r="T219" s="83"/>
      <c r="U219" s="87">
        <f t="shared" si="34"/>
        <v>0</v>
      </c>
      <c r="V219" s="84"/>
      <c r="W219" s="84"/>
      <c r="X219" s="133"/>
      <c r="Y219" s="133"/>
      <c r="Z219" s="121"/>
      <c r="AA219" s="133"/>
      <c r="AB219" s="121"/>
      <c r="AC219" s="121"/>
      <c r="AD219" s="121"/>
      <c r="AE219" s="84"/>
      <c r="AF219" s="84"/>
      <c r="AG219" s="122"/>
      <c r="AH219" s="122"/>
      <c r="AI219" s="153"/>
    </row>
    <row r="220" spans="1:35" ht="15">
      <c r="A220" s="155"/>
      <c r="B220" s="155"/>
      <c r="C220" s="155"/>
      <c r="D220" s="157" t="s">
        <v>453</v>
      </c>
      <c r="E220" s="157" t="s">
        <v>463</v>
      </c>
      <c r="F220" s="157" t="s">
        <v>464</v>
      </c>
      <c r="G220" s="158"/>
      <c r="H220" s="5" t="s">
        <v>465</v>
      </c>
      <c r="I220" s="22"/>
      <c r="J220" s="9"/>
      <c r="K220" s="9"/>
      <c r="L220" s="11" t="b">
        <v>0</v>
      </c>
      <c r="M220" s="11" t="b">
        <v>0</v>
      </c>
      <c r="N220" s="7"/>
      <c r="O220" s="7"/>
      <c r="P220" s="8">
        <f t="shared" si="33"/>
        <v>0</v>
      </c>
      <c r="Q220" s="7"/>
      <c r="R220" s="9"/>
      <c r="S220" s="7"/>
      <c r="T220" s="7"/>
      <c r="U220" s="8">
        <f t="shared" si="34"/>
        <v>0</v>
      </c>
      <c r="V220" s="9"/>
      <c r="W220" s="9"/>
      <c r="X220" s="18"/>
      <c r="Y220" s="18"/>
      <c r="Z220" s="19"/>
      <c r="AA220" s="18"/>
      <c r="AB220" s="19"/>
      <c r="AC220" s="19"/>
      <c r="AD220" s="19"/>
      <c r="AE220" s="9"/>
      <c r="AF220" s="9"/>
      <c r="AG220" s="26"/>
      <c r="AH220" s="26"/>
      <c r="AI220" s="151"/>
    </row>
    <row r="221" spans="1:35" ht="15">
      <c r="A221" s="155"/>
      <c r="B221" s="155"/>
      <c r="C221" s="155"/>
      <c r="D221" s="155"/>
      <c r="E221" s="155"/>
      <c r="F221" s="155"/>
      <c r="G221" s="155"/>
      <c r="H221" s="5" t="s">
        <v>58</v>
      </c>
      <c r="I221" s="22"/>
      <c r="J221" s="9"/>
      <c r="K221" s="9"/>
      <c r="L221" s="11" t="b">
        <v>0</v>
      </c>
      <c r="M221" s="11" t="b">
        <v>0</v>
      </c>
      <c r="N221" s="7"/>
      <c r="O221" s="7"/>
      <c r="P221" s="8">
        <f t="shared" si="33"/>
        <v>0</v>
      </c>
      <c r="Q221" s="7"/>
      <c r="R221" s="9"/>
      <c r="S221" s="7"/>
      <c r="T221" s="7"/>
      <c r="U221" s="8">
        <f t="shared" si="34"/>
        <v>0</v>
      </c>
      <c r="V221" s="9"/>
      <c r="W221" s="9"/>
      <c r="X221" s="18"/>
      <c r="Y221" s="18"/>
      <c r="Z221" s="19"/>
      <c r="AA221" s="18"/>
      <c r="AB221" s="19"/>
      <c r="AC221" s="19"/>
      <c r="AD221" s="19"/>
      <c r="AE221" s="9"/>
      <c r="AF221" s="9"/>
      <c r="AG221" s="26"/>
      <c r="AH221" s="26"/>
      <c r="AI221" s="151"/>
    </row>
    <row r="222" spans="1:35" ht="12.75">
      <c r="A222" s="123"/>
      <c r="B222" s="123"/>
      <c r="C222" s="123"/>
      <c r="D222" s="124"/>
      <c r="E222" s="124"/>
      <c r="F222" s="124"/>
      <c r="G222" s="125"/>
      <c r="H222" s="124"/>
      <c r="I222" s="126"/>
      <c r="J222" s="125"/>
      <c r="K222" s="125"/>
      <c r="L222" s="125"/>
      <c r="M222" s="125"/>
      <c r="N222" s="127"/>
      <c r="O222" s="127"/>
      <c r="P222" s="128"/>
      <c r="Q222" s="127"/>
      <c r="R222" s="125"/>
      <c r="S222" s="127"/>
      <c r="T222" s="127"/>
      <c r="U222" s="128"/>
      <c r="V222" s="125"/>
      <c r="W222" s="125"/>
      <c r="X222" s="125"/>
      <c r="Y222" s="125"/>
      <c r="Z222" s="124"/>
      <c r="AA222" s="125"/>
      <c r="AB222" s="124"/>
      <c r="AC222" s="124"/>
      <c r="AD222" s="124"/>
      <c r="AE222" s="125"/>
      <c r="AF222" s="125"/>
      <c r="AG222" s="125"/>
      <c r="AH222" s="125"/>
      <c r="AI222" s="125"/>
    </row>
    <row r="223" spans="1:35" ht="12.75">
      <c r="A223" s="173" t="s">
        <v>231</v>
      </c>
      <c r="B223" s="173" t="s">
        <v>163</v>
      </c>
      <c r="C223" s="174" t="s">
        <v>232</v>
      </c>
      <c r="D223" s="162" t="s">
        <v>453</v>
      </c>
      <c r="E223" s="160" t="s">
        <v>47</v>
      </c>
      <c r="F223" s="162" t="s">
        <v>454</v>
      </c>
      <c r="G223" s="164"/>
      <c r="H223" s="77" t="s">
        <v>49</v>
      </c>
      <c r="I223" s="108"/>
      <c r="J223" s="78"/>
      <c r="K223" s="78"/>
      <c r="L223" s="79" t="b">
        <v>0</v>
      </c>
      <c r="M223" s="79" t="b">
        <v>0</v>
      </c>
      <c r="N223" s="81"/>
      <c r="O223" s="81"/>
      <c r="P223" s="80">
        <f t="shared" ref="P223:P234" si="35">N223+O223</f>
        <v>0</v>
      </c>
      <c r="Q223" s="81"/>
      <c r="R223" s="78"/>
      <c r="S223" s="81"/>
      <c r="T223" s="81"/>
      <c r="U223" s="80">
        <f t="shared" ref="U223:U234" si="36">S223+T223</f>
        <v>0</v>
      </c>
      <c r="V223" s="78"/>
      <c r="W223" s="78"/>
      <c r="X223" s="78"/>
      <c r="Y223" s="78"/>
      <c r="Z223" s="77"/>
      <c r="AA223" s="78"/>
      <c r="AB223" s="77"/>
      <c r="AC223" s="77"/>
      <c r="AD223" s="77"/>
      <c r="AE223" s="78"/>
      <c r="AF223" s="78"/>
      <c r="AG223" s="109"/>
      <c r="AH223" s="109"/>
      <c r="AI223" s="78"/>
    </row>
    <row r="224" spans="1:35" ht="12.75">
      <c r="A224" s="155"/>
      <c r="B224" s="155"/>
      <c r="C224" s="155"/>
      <c r="D224" s="155"/>
      <c r="E224" s="155"/>
      <c r="F224" s="155"/>
      <c r="G224" s="155"/>
      <c r="H224" s="85" t="s">
        <v>58</v>
      </c>
      <c r="I224" s="112"/>
      <c r="J224" s="84"/>
      <c r="K224" s="84"/>
      <c r="L224" s="86" t="b">
        <v>0</v>
      </c>
      <c r="M224" s="86" t="b">
        <v>0</v>
      </c>
      <c r="N224" s="83"/>
      <c r="O224" s="83"/>
      <c r="P224" s="87">
        <f t="shared" si="35"/>
        <v>0</v>
      </c>
      <c r="Q224" s="83"/>
      <c r="R224" s="84"/>
      <c r="S224" s="83"/>
      <c r="T224" s="83"/>
      <c r="U224" s="87">
        <f t="shared" si="36"/>
        <v>0</v>
      </c>
      <c r="V224" s="84"/>
      <c r="W224" s="84"/>
      <c r="X224" s="84"/>
      <c r="Y224" s="84"/>
      <c r="Z224" s="85"/>
      <c r="AA224" s="84"/>
      <c r="AB224" s="85"/>
      <c r="AC224" s="85"/>
      <c r="AD224" s="85"/>
      <c r="AE224" s="84"/>
      <c r="AF224" s="84"/>
      <c r="AG224" s="110"/>
      <c r="AH224" s="110"/>
      <c r="AI224" s="84"/>
    </row>
    <row r="225" spans="1:35" ht="12.75">
      <c r="A225" s="155"/>
      <c r="B225" s="155"/>
      <c r="C225" s="155"/>
      <c r="D225" s="157" t="s">
        <v>453</v>
      </c>
      <c r="E225" s="157" t="s">
        <v>59</v>
      </c>
      <c r="F225" s="157" t="s">
        <v>454</v>
      </c>
      <c r="G225" s="158"/>
      <c r="H225" s="5" t="s">
        <v>49</v>
      </c>
      <c r="I225" s="17"/>
      <c r="J225" s="9"/>
      <c r="K225" s="9"/>
      <c r="L225" s="11" t="b">
        <v>0</v>
      </c>
      <c r="M225" s="11" t="b">
        <v>0</v>
      </c>
      <c r="N225" s="7"/>
      <c r="O225" s="7"/>
      <c r="P225" s="8">
        <f t="shared" si="35"/>
        <v>0</v>
      </c>
      <c r="Q225" s="7"/>
      <c r="R225" s="9"/>
      <c r="S225" s="7"/>
      <c r="T225" s="7"/>
      <c r="U225" s="8">
        <f t="shared" si="36"/>
        <v>0</v>
      </c>
      <c r="V225" s="9"/>
      <c r="W225" s="9"/>
      <c r="X225" s="18"/>
      <c r="Y225" s="18"/>
      <c r="Z225" s="19"/>
      <c r="AA225" s="18"/>
      <c r="AB225" s="19"/>
      <c r="AC225" s="19"/>
      <c r="AD225" s="19"/>
      <c r="AE225" s="9"/>
      <c r="AF225" s="9"/>
      <c r="AG225" s="26"/>
      <c r="AH225" s="26"/>
      <c r="AI225" s="89"/>
    </row>
    <row r="226" spans="1:35" ht="12.75">
      <c r="A226" s="155"/>
      <c r="B226" s="155"/>
      <c r="C226" s="155"/>
      <c r="D226" s="155"/>
      <c r="E226" s="155"/>
      <c r="F226" s="155"/>
      <c r="G226" s="155"/>
      <c r="H226" s="5" t="s">
        <v>58</v>
      </c>
      <c r="I226" s="22"/>
      <c r="J226" s="9"/>
      <c r="K226" s="9"/>
      <c r="L226" s="11" t="b">
        <v>0</v>
      </c>
      <c r="M226" s="11" t="b">
        <v>0</v>
      </c>
      <c r="N226" s="7"/>
      <c r="O226" s="7"/>
      <c r="P226" s="8">
        <f t="shared" si="35"/>
        <v>0</v>
      </c>
      <c r="Q226" s="7"/>
      <c r="R226" s="9"/>
      <c r="S226" s="7"/>
      <c r="T226" s="7"/>
      <c r="U226" s="8">
        <f t="shared" si="36"/>
        <v>0</v>
      </c>
      <c r="V226" s="9"/>
      <c r="W226" s="9"/>
      <c r="X226" s="18"/>
      <c r="Y226" s="18"/>
      <c r="Z226" s="19"/>
      <c r="AA226" s="18"/>
      <c r="AB226" s="19"/>
      <c r="AC226" s="19"/>
      <c r="AD226" s="19"/>
      <c r="AE226" s="9"/>
      <c r="AF226" s="9"/>
      <c r="AG226" s="26"/>
      <c r="AH226" s="26"/>
      <c r="AI226" s="9"/>
    </row>
    <row r="227" spans="1:35" ht="15">
      <c r="A227" s="155"/>
      <c r="B227" s="155"/>
      <c r="C227" s="155"/>
      <c r="D227" s="176" t="s">
        <v>455</v>
      </c>
      <c r="E227" s="176" t="s">
        <v>456</v>
      </c>
      <c r="F227" s="177" t="s">
        <v>457</v>
      </c>
      <c r="G227" s="178"/>
      <c r="H227" s="85" t="s">
        <v>458</v>
      </c>
      <c r="I227" s="147"/>
      <c r="J227" s="84"/>
      <c r="K227" s="84"/>
      <c r="L227" s="86" t="b">
        <v>0</v>
      </c>
      <c r="M227" s="86" t="b">
        <v>0</v>
      </c>
      <c r="N227" s="83"/>
      <c r="O227" s="83"/>
      <c r="P227" s="87">
        <f t="shared" si="35"/>
        <v>0</v>
      </c>
      <c r="Q227" s="83"/>
      <c r="R227" s="84"/>
      <c r="S227" s="83"/>
      <c r="T227" s="83"/>
      <c r="U227" s="87">
        <f t="shared" si="36"/>
        <v>0</v>
      </c>
      <c r="V227" s="84"/>
      <c r="W227" s="84"/>
      <c r="X227" s="133"/>
      <c r="Y227" s="133"/>
      <c r="Z227" s="121"/>
      <c r="AA227" s="133"/>
      <c r="AB227" s="121"/>
      <c r="AC227" s="121"/>
      <c r="AD227" s="121"/>
      <c r="AE227" s="84"/>
      <c r="AF227" s="84"/>
      <c r="AG227" s="122"/>
      <c r="AH227" s="122"/>
      <c r="AI227" s="84"/>
    </row>
    <row r="228" spans="1:35" ht="15">
      <c r="A228" s="155"/>
      <c r="B228" s="155"/>
      <c r="C228" s="155"/>
      <c r="D228" s="155"/>
      <c r="E228" s="155"/>
      <c r="F228" s="155"/>
      <c r="G228" s="155"/>
      <c r="H228" s="85" t="s">
        <v>58</v>
      </c>
      <c r="I228" s="147"/>
      <c r="J228" s="84"/>
      <c r="K228" s="84"/>
      <c r="L228" s="86" t="b">
        <v>0</v>
      </c>
      <c r="M228" s="86" t="b">
        <v>0</v>
      </c>
      <c r="N228" s="83"/>
      <c r="O228" s="83"/>
      <c r="P228" s="87">
        <f t="shared" si="35"/>
        <v>0</v>
      </c>
      <c r="Q228" s="83"/>
      <c r="R228" s="84"/>
      <c r="S228" s="83"/>
      <c r="T228" s="83"/>
      <c r="U228" s="87">
        <f t="shared" si="36"/>
        <v>0</v>
      </c>
      <c r="V228" s="84"/>
      <c r="W228" s="84"/>
      <c r="X228" s="133"/>
      <c r="Y228" s="133"/>
      <c r="Z228" s="121"/>
      <c r="AA228" s="133"/>
      <c r="AB228" s="121"/>
      <c r="AC228" s="121"/>
      <c r="AD228" s="121"/>
      <c r="AE228" s="84"/>
      <c r="AF228" s="84"/>
      <c r="AG228" s="122"/>
      <c r="AH228" s="122"/>
      <c r="AI228" s="148"/>
    </row>
    <row r="229" spans="1:35" ht="15">
      <c r="A229" s="155"/>
      <c r="B229" s="155"/>
      <c r="C229" s="155"/>
      <c r="D229" s="157" t="s">
        <v>455</v>
      </c>
      <c r="E229" s="175" t="s">
        <v>459</v>
      </c>
      <c r="F229" s="156" t="s">
        <v>457</v>
      </c>
      <c r="G229" s="158"/>
      <c r="H229" s="5" t="s">
        <v>458</v>
      </c>
      <c r="I229" s="150"/>
      <c r="J229" s="9"/>
      <c r="K229" s="9"/>
      <c r="L229" s="11" t="b">
        <v>0</v>
      </c>
      <c r="M229" s="11" t="b">
        <v>0</v>
      </c>
      <c r="N229" s="7"/>
      <c r="O229" s="7"/>
      <c r="P229" s="8">
        <f t="shared" si="35"/>
        <v>0</v>
      </c>
      <c r="Q229" s="7"/>
      <c r="R229" s="9"/>
      <c r="S229" s="7"/>
      <c r="T229" s="7"/>
      <c r="U229" s="8">
        <f t="shared" si="36"/>
        <v>0</v>
      </c>
      <c r="V229" s="9"/>
      <c r="W229" s="9"/>
      <c r="X229" s="9"/>
      <c r="Y229" s="9"/>
      <c r="Z229" s="5"/>
      <c r="AA229" s="9"/>
      <c r="AB229" s="5"/>
      <c r="AC229" s="5"/>
      <c r="AD229" s="5"/>
      <c r="AE229" s="9"/>
      <c r="AF229" s="9"/>
      <c r="AG229" s="26"/>
      <c r="AH229" s="26"/>
      <c r="AI229" s="151"/>
    </row>
    <row r="230" spans="1:35" ht="12.75">
      <c r="A230" s="155"/>
      <c r="B230" s="155"/>
      <c r="C230" s="155"/>
      <c r="D230" s="155"/>
      <c r="E230" s="155"/>
      <c r="F230" s="155"/>
      <c r="G230" s="155"/>
      <c r="H230" s="5" t="s">
        <v>58</v>
      </c>
      <c r="I230" s="152"/>
      <c r="J230" s="9"/>
      <c r="K230" s="9"/>
      <c r="L230" s="11" t="b">
        <v>0</v>
      </c>
      <c r="M230" s="11" t="b">
        <v>0</v>
      </c>
      <c r="N230" s="7"/>
      <c r="O230" s="7"/>
      <c r="P230" s="8">
        <f t="shared" si="35"/>
        <v>0</v>
      </c>
      <c r="Q230" s="7"/>
      <c r="R230" s="9"/>
      <c r="S230" s="7"/>
      <c r="T230" s="7"/>
      <c r="U230" s="8">
        <f t="shared" si="36"/>
        <v>0</v>
      </c>
      <c r="V230" s="9"/>
      <c r="W230" s="9"/>
      <c r="X230" s="9"/>
      <c r="Y230" s="9"/>
      <c r="Z230" s="5"/>
      <c r="AA230" s="9"/>
      <c r="AB230" s="5"/>
      <c r="AC230" s="5"/>
      <c r="AD230" s="5"/>
      <c r="AE230" s="9"/>
      <c r="AF230" s="9"/>
      <c r="AG230" s="26"/>
      <c r="AH230" s="26"/>
      <c r="AI230" s="26"/>
    </row>
    <row r="231" spans="1:35" ht="15">
      <c r="A231" s="155"/>
      <c r="B231" s="155"/>
      <c r="C231" s="155"/>
      <c r="D231" s="176" t="s">
        <v>460</v>
      </c>
      <c r="E231" s="177" t="s">
        <v>461</v>
      </c>
      <c r="F231" s="176" t="s">
        <v>462</v>
      </c>
      <c r="G231" s="178"/>
      <c r="H231" s="85" t="s">
        <v>49</v>
      </c>
      <c r="I231" s="135"/>
      <c r="J231" s="84"/>
      <c r="K231" s="84"/>
      <c r="L231" s="86" t="b">
        <v>0</v>
      </c>
      <c r="M231" s="86" t="b">
        <v>0</v>
      </c>
      <c r="N231" s="83"/>
      <c r="O231" s="83"/>
      <c r="P231" s="87">
        <f t="shared" si="35"/>
        <v>0</v>
      </c>
      <c r="Q231" s="83"/>
      <c r="R231" s="84"/>
      <c r="S231" s="83"/>
      <c r="T231" s="83"/>
      <c r="U231" s="87">
        <f t="shared" si="36"/>
        <v>0</v>
      </c>
      <c r="V231" s="84"/>
      <c r="W231" s="84"/>
      <c r="X231" s="84"/>
      <c r="Y231" s="84"/>
      <c r="Z231" s="85"/>
      <c r="AA231" s="84"/>
      <c r="AB231" s="85"/>
      <c r="AC231" s="85"/>
      <c r="AD231" s="85"/>
      <c r="AE231" s="84"/>
      <c r="AF231" s="84"/>
      <c r="AG231" s="122"/>
      <c r="AH231" s="122"/>
      <c r="AI231" s="153"/>
    </row>
    <row r="232" spans="1:35" ht="15">
      <c r="A232" s="155"/>
      <c r="B232" s="155"/>
      <c r="C232" s="155"/>
      <c r="D232" s="155"/>
      <c r="E232" s="155"/>
      <c r="F232" s="155"/>
      <c r="G232" s="155"/>
      <c r="H232" s="85" t="s">
        <v>58</v>
      </c>
      <c r="I232" s="135"/>
      <c r="J232" s="84"/>
      <c r="K232" s="84"/>
      <c r="L232" s="86" t="b">
        <v>0</v>
      </c>
      <c r="M232" s="86" t="b">
        <v>0</v>
      </c>
      <c r="N232" s="83"/>
      <c r="O232" s="83"/>
      <c r="P232" s="87">
        <f t="shared" si="35"/>
        <v>0</v>
      </c>
      <c r="Q232" s="83"/>
      <c r="R232" s="84"/>
      <c r="S232" s="83"/>
      <c r="T232" s="83"/>
      <c r="U232" s="87">
        <f t="shared" si="36"/>
        <v>0</v>
      </c>
      <c r="V232" s="84"/>
      <c r="W232" s="84"/>
      <c r="X232" s="133"/>
      <c r="Y232" s="133"/>
      <c r="Z232" s="121"/>
      <c r="AA232" s="133"/>
      <c r="AB232" s="121"/>
      <c r="AC232" s="121"/>
      <c r="AD232" s="121"/>
      <c r="AE232" s="84"/>
      <c r="AF232" s="84"/>
      <c r="AG232" s="122"/>
      <c r="AH232" s="122"/>
      <c r="AI232" s="153"/>
    </row>
    <row r="233" spans="1:35" ht="15">
      <c r="A233" s="155"/>
      <c r="B233" s="155"/>
      <c r="C233" s="155"/>
      <c r="D233" s="157" t="s">
        <v>453</v>
      </c>
      <c r="E233" s="157" t="s">
        <v>463</v>
      </c>
      <c r="F233" s="157" t="s">
        <v>464</v>
      </c>
      <c r="G233" s="158"/>
      <c r="H233" s="5" t="s">
        <v>465</v>
      </c>
      <c r="I233" s="22"/>
      <c r="J233" s="9"/>
      <c r="K233" s="9"/>
      <c r="L233" s="11" t="b">
        <v>0</v>
      </c>
      <c r="M233" s="11" t="b">
        <v>0</v>
      </c>
      <c r="N233" s="7"/>
      <c r="O233" s="7"/>
      <c r="P233" s="8">
        <f t="shared" si="35"/>
        <v>0</v>
      </c>
      <c r="Q233" s="7"/>
      <c r="R233" s="9"/>
      <c r="S233" s="7"/>
      <c r="T233" s="7"/>
      <c r="U233" s="8">
        <f t="shared" si="36"/>
        <v>0</v>
      </c>
      <c r="V233" s="9"/>
      <c r="W233" s="9"/>
      <c r="X233" s="18"/>
      <c r="Y233" s="18"/>
      <c r="Z233" s="19"/>
      <c r="AA233" s="18"/>
      <c r="AB233" s="19"/>
      <c r="AC233" s="19"/>
      <c r="AD233" s="19"/>
      <c r="AE233" s="9"/>
      <c r="AF233" s="9"/>
      <c r="AG233" s="26"/>
      <c r="AH233" s="26"/>
      <c r="AI233" s="151"/>
    </row>
    <row r="234" spans="1:35" ht="15">
      <c r="A234" s="155"/>
      <c r="B234" s="155"/>
      <c r="C234" s="155"/>
      <c r="D234" s="155"/>
      <c r="E234" s="155"/>
      <c r="F234" s="155"/>
      <c r="G234" s="155"/>
      <c r="H234" s="5" t="s">
        <v>58</v>
      </c>
      <c r="I234" s="22"/>
      <c r="J234" s="9"/>
      <c r="K234" s="9"/>
      <c r="L234" s="11" t="b">
        <v>0</v>
      </c>
      <c r="M234" s="11" t="b">
        <v>0</v>
      </c>
      <c r="N234" s="7"/>
      <c r="O234" s="7"/>
      <c r="P234" s="8">
        <f t="shared" si="35"/>
        <v>0</v>
      </c>
      <c r="Q234" s="7"/>
      <c r="R234" s="9"/>
      <c r="S234" s="7"/>
      <c r="T234" s="7"/>
      <c r="U234" s="8">
        <f t="shared" si="36"/>
        <v>0</v>
      </c>
      <c r="V234" s="9"/>
      <c r="W234" s="9"/>
      <c r="X234" s="18"/>
      <c r="Y234" s="18"/>
      <c r="Z234" s="19"/>
      <c r="AA234" s="18"/>
      <c r="AB234" s="19"/>
      <c r="AC234" s="19"/>
      <c r="AD234" s="19"/>
      <c r="AE234" s="9"/>
      <c r="AF234" s="9"/>
      <c r="AG234" s="26"/>
      <c r="AH234" s="26"/>
      <c r="AI234" s="151"/>
    </row>
    <row r="235" spans="1:35" ht="12.75">
      <c r="A235" s="114"/>
      <c r="B235" s="114"/>
      <c r="C235" s="114"/>
      <c r="D235" s="130"/>
      <c r="E235" s="115"/>
      <c r="F235" s="115"/>
      <c r="G235" s="116"/>
      <c r="H235" s="115"/>
      <c r="I235" s="131"/>
      <c r="J235" s="116"/>
      <c r="K235" s="116"/>
      <c r="L235" s="116"/>
      <c r="M235" s="116"/>
      <c r="N235" s="118"/>
      <c r="O235" s="118"/>
      <c r="P235" s="119"/>
      <c r="Q235" s="118"/>
      <c r="R235" s="116"/>
      <c r="S235" s="118"/>
      <c r="T235" s="118"/>
      <c r="U235" s="119"/>
      <c r="V235" s="116"/>
      <c r="W235" s="116"/>
      <c r="X235" s="116"/>
      <c r="Y235" s="116"/>
      <c r="Z235" s="115"/>
      <c r="AA235" s="116"/>
      <c r="AB235" s="115"/>
      <c r="AC235" s="115"/>
      <c r="AD235" s="115"/>
      <c r="AE235" s="116"/>
      <c r="AF235" s="116"/>
      <c r="AG235" s="116"/>
      <c r="AH235" s="116"/>
      <c r="AI235" s="116"/>
    </row>
    <row r="236" spans="1:35" ht="12.75">
      <c r="A236" s="172" t="s">
        <v>239</v>
      </c>
      <c r="B236" s="172" t="s">
        <v>163</v>
      </c>
      <c r="C236" s="161" t="s">
        <v>164</v>
      </c>
      <c r="D236" s="162" t="s">
        <v>453</v>
      </c>
      <c r="E236" s="160" t="s">
        <v>47</v>
      </c>
      <c r="F236" s="162" t="s">
        <v>454</v>
      </c>
      <c r="G236" s="164"/>
      <c r="H236" s="77" t="s">
        <v>49</v>
      </c>
      <c r="I236" s="108"/>
      <c r="J236" s="78"/>
      <c r="K236" s="78"/>
      <c r="L236" s="79" t="b">
        <v>0</v>
      </c>
      <c r="M236" s="79" t="b">
        <v>0</v>
      </c>
      <c r="N236" s="81"/>
      <c r="O236" s="81"/>
      <c r="P236" s="80">
        <f t="shared" ref="P236:P247" si="37">N236+O236</f>
        <v>0</v>
      </c>
      <c r="Q236" s="81"/>
      <c r="R236" s="78"/>
      <c r="S236" s="81"/>
      <c r="T236" s="81"/>
      <c r="U236" s="80">
        <f t="shared" ref="U236:U247" si="38">S236+T236</f>
        <v>0</v>
      </c>
      <c r="V236" s="78"/>
      <c r="W236" s="78"/>
      <c r="X236" s="78"/>
      <c r="Y236" s="78"/>
      <c r="Z236" s="77"/>
      <c r="AA236" s="78"/>
      <c r="AB236" s="77"/>
      <c r="AC236" s="77"/>
      <c r="AD236" s="77"/>
      <c r="AE236" s="78"/>
      <c r="AF236" s="78"/>
      <c r="AG236" s="109"/>
      <c r="AH236" s="109"/>
      <c r="AI236" s="78"/>
    </row>
    <row r="237" spans="1:35" ht="12.75">
      <c r="A237" s="155"/>
      <c r="B237" s="155"/>
      <c r="C237" s="155"/>
      <c r="D237" s="155"/>
      <c r="E237" s="155"/>
      <c r="F237" s="155"/>
      <c r="G237" s="155"/>
      <c r="H237" s="85" t="s">
        <v>58</v>
      </c>
      <c r="I237" s="112"/>
      <c r="J237" s="84"/>
      <c r="K237" s="84"/>
      <c r="L237" s="86" t="b">
        <v>0</v>
      </c>
      <c r="M237" s="86" t="b">
        <v>0</v>
      </c>
      <c r="N237" s="83"/>
      <c r="O237" s="83"/>
      <c r="P237" s="87">
        <f t="shared" si="37"/>
        <v>0</v>
      </c>
      <c r="Q237" s="83"/>
      <c r="R237" s="84"/>
      <c r="S237" s="83"/>
      <c r="T237" s="83"/>
      <c r="U237" s="87">
        <f t="shared" si="38"/>
        <v>0</v>
      </c>
      <c r="V237" s="84"/>
      <c r="W237" s="84"/>
      <c r="X237" s="84"/>
      <c r="Y237" s="84"/>
      <c r="Z237" s="85"/>
      <c r="AA237" s="84"/>
      <c r="AB237" s="85"/>
      <c r="AC237" s="85"/>
      <c r="AD237" s="85"/>
      <c r="AE237" s="84"/>
      <c r="AF237" s="84"/>
      <c r="AG237" s="110"/>
      <c r="AH237" s="110"/>
      <c r="AI237" s="84"/>
    </row>
    <row r="238" spans="1:35" ht="12.75">
      <c r="A238" s="155"/>
      <c r="B238" s="155"/>
      <c r="C238" s="155"/>
      <c r="D238" s="157" t="s">
        <v>453</v>
      </c>
      <c r="E238" s="157" t="s">
        <v>59</v>
      </c>
      <c r="F238" s="157" t="s">
        <v>454</v>
      </c>
      <c r="G238" s="158"/>
      <c r="H238" s="5" t="s">
        <v>49</v>
      </c>
      <c r="I238" s="17"/>
      <c r="J238" s="9"/>
      <c r="K238" s="9"/>
      <c r="L238" s="11" t="b">
        <v>0</v>
      </c>
      <c r="M238" s="11" t="b">
        <v>0</v>
      </c>
      <c r="N238" s="7"/>
      <c r="O238" s="7"/>
      <c r="P238" s="8">
        <f t="shared" si="37"/>
        <v>0</v>
      </c>
      <c r="Q238" s="7"/>
      <c r="R238" s="9"/>
      <c r="S238" s="7"/>
      <c r="T238" s="7"/>
      <c r="U238" s="8">
        <f t="shared" si="38"/>
        <v>0</v>
      </c>
      <c r="V238" s="9"/>
      <c r="W238" s="9"/>
      <c r="X238" s="18"/>
      <c r="Y238" s="18"/>
      <c r="Z238" s="19"/>
      <c r="AA238" s="18"/>
      <c r="AB238" s="19"/>
      <c r="AC238" s="19"/>
      <c r="AD238" s="19"/>
      <c r="AE238" s="9"/>
      <c r="AF238" s="9"/>
      <c r="AG238" s="26"/>
      <c r="AH238" s="26"/>
      <c r="AI238" s="89"/>
    </row>
    <row r="239" spans="1:35" ht="12.75">
      <c r="A239" s="155"/>
      <c r="B239" s="155"/>
      <c r="C239" s="155"/>
      <c r="D239" s="155"/>
      <c r="E239" s="155"/>
      <c r="F239" s="155"/>
      <c r="G239" s="155"/>
      <c r="H239" s="5" t="s">
        <v>58</v>
      </c>
      <c r="I239" s="22"/>
      <c r="J239" s="9"/>
      <c r="K239" s="9"/>
      <c r="L239" s="11" t="b">
        <v>0</v>
      </c>
      <c r="M239" s="11" t="b">
        <v>0</v>
      </c>
      <c r="N239" s="7"/>
      <c r="O239" s="7"/>
      <c r="P239" s="8">
        <f t="shared" si="37"/>
        <v>0</v>
      </c>
      <c r="Q239" s="7"/>
      <c r="R239" s="9"/>
      <c r="S239" s="7"/>
      <c r="T239" s="7"/>
      <c r="U239" s="8">
        <f t="shared" si="38"/>
        <v>0</v>
      </c>
      <c r="V239" s="9"/>
      <c r="W239" s="9"/>
      <c r="X239" s="18"/>
      <c r="Y239" s="18"/>
      <c r="Z239" s="19"/>
      <c r="AA239" s="18"/>
      <c r="AB239" s="19"/>
      <c r="AC239" s="19"/>
      <c r="AD239" s="19"/>
      <c r="AE239" s="9"/>
      <c r="AF239" s="9"/>
      <c r="AG239" s="26"/>
      <c r="AH239" s="26"/>
      <c r="AI239" s="9"/>
    </row>
    <row r="240" spans="1:35" ht="15">
      <c r="A240" s="155"/>
      <c r="B240" s="155"/>
      <c r="C240" s="155"/>
      <c r="D240" s="176" t="s">
        <v>455</v>
      </c>
      <c r="E240" s="176" t="s">
        <v>456</v>
      </c>
      <c r="F240" s="177" t="s">
        <v>457</v>
      </c>
      <c r="G240" s="178"/>
      <c r="H240" s="85" t="s">
        <v>458</v>
      </c>
      <c r="I240" s="147"/>
      <c r="J240" s="84"/>
      <c r="K240" s="84"/>
      <c r="L240" s="86" t="b">
        <v>0</v>
      </c>
      <c r="M240" s="86" t="b">
        <v>0</v>
      </c>
      <c r="N240" s="83"/>
      <c r="O240" s="83"/>
      <c r="P240" s="87">
        <f t="shared" si="37"/>
        <v>0</v>
      </c>
      <c r="Q240" s="83"/>
      <c r="R240" s="84"/>
      <c r="S240" s="83"/>
      <c r="T240" s="83"/>
      <c r="U240" s="87">
        <f t="shared" si="38"/>
        <v>0</v>
      </c>
      <c r="V240" s="84"/>
      <c r="W240" s="84"/>
      <c r="X240" s="133"/>
      <c r="Y240" s="133"/>
      <c r="Z240" s="121"/>
      <c r="AA240" s="133"/>
      <c r="AB240" s="121"/>
      <c r="AC240" s="121"/>
      <c r="AD240" s="121"/>
      <c r="AE240" s="84"/>
      <c r="AF240" s="84"/>
      <c r="AG240" s="122"/>
      <c r="AH240" s="122"/>
      <c r="AI240" s="84"/>
    </row>
    <row r="241" spans="1:35" ht="15">
      <c r="A241" s="155"/>
      <c r="B241" s="155"/>
      <c r="C241" s="155"/>
      <c r="D241" s="155"/>
      <c r="E241" s="155"/>
      <c r="F241" s="155"/>
      <c r="G241" s="155"/>
      <c r="H241" s="85" t="s">
        <v>58</v>
      </c>
      <c r="I241" s="147"/>
      <c r="J241" s="84"/>
      <c r="K241" s="84"/>
      <c r="L241" s="86" t="b">
        <v>0</v>
      </c>
      <c r="M241" s="86" t="b">
        <v>0</v>
      </c>
      <c r="N241" s="83"/>
      <c r="O241" s="83"/>
      <c r="P241" s="87">
        <f t="shared" si="37"/>
        <v>0</v>
      </c>
      <c r="Q241" s="83"/>
      <c r="R241" s="84"/>
      <c r="S241" s="83"/>
      <c r="T241" s="83"/>
      <c r="U241" s="87">
        <f t="shared" si="38"/>
        <v>0</v>
      </c>
      <c r="V241" s="84"/>
      <c r="W241" s="84"/>
      <c r="X241" s="133"/>
      <c r="Y241" s="133"/>
      <c r="Z241" s="121"/>
      <c r="AA241" s="133"/>
      <c r="AB241" s="121"/>
      <c r="AC241" s="121"/>
      <c r="AD241" s="121"/>
      <c r="AE241" s="84"/>
      <c r="AF241" s="84"/>
      <c r="AG241" s="122"/>
      <c r="AH241" s="122"/>
      <c r="AI241" s="148"/>
    </row>
    <row r="242" spans="1:35" ht="15">
      <c r="A242" s="155"/>
      <c r="B242" s="155"/>
      <c r="C242" s="155"/>
      <c r="D242" s="157" t="s">
        <v>455</v>
      </c>
      <c r="E242" s="175" t="s">
        <v>459</v>
      </c>
      <c r="F242" s="156" t="s">
        <v>457</v>
      </c>
      <c r="G242" s="158"/>
      <c r="H242" s="5" t="s">
        <v>458</v>
      </c>
      <c r="I242" s="150"/>
      <c r="J242" s="9"/>
      <c r="K242" s="9"/>
      <c r="L242" s="11" t="b">
        <v>0</v>
      </c>
      <c r="M242" s="11" t="b">
        <v>0</v>
      </c>
      <c r="N242" s="7"/>
      <c r="O242" s="7"/>
      <c r="P242" s="8">
        <f t="shared" si="37"/>
        <v>0</v>
      </c>
      <c r="Q242" s="7"/>
      <c r="R242" s="9"/>
      <c r="S242" s="7"/>
      <c r="T242" s="7"/>
      <c r="U242" s="8">
        <f t="shared" si="38"/>
        <v>0</v>
      </c>
      <c r="V242" s="9"/>
      <c r="W242" s="9"/>
      <c r="X242" s="9"/>
      <c r="Y242" s="9"/>
      <c r="Z242" s="5"/>
      <c r="AA242" s="9"/>
      <c r="AB242" s="5"/>
      <c r="AC242" s="5"/>
      <c r="AD242" s="5"/>
      <c r="AE242" s="9"/>
      <c r="AF242" s="9"/>
      <c r="AG242" s="26"/>
      <c r="AH242" s="26"/>
      <c r="AI242" s="151"/>
    </row>
    <row r="243" spans="1:35" ht="12.75">
      <c r="A243" s="155"/>
      <c r="B243" s="155"/>
      <c r="C243" s="155"/>
      <c r="D243" s="155"/>
      <c r="E243" s="155"/>
      <c r="F243" s="155"/>
      <c r="G243" s="155"/>
      <c r="H243" s="5" t="s">
        <v>58</v>
      </c>
      <c r="I243" s="152"/>
      <c r="J243" s="9"/>
      <c r="K243" s="9"/>
      <c r="L243" s="11" t="b">
        <v>0</v>
      </c>
      <c r="M243" s="11" t="b">
        <v>0</v>
      </c>
      <c r="N243" s="7"/>
      <c r="O243" s="7"/>
      <c r="P243" s="8">
        <f t="shared" si="37"/>
        <v>0</v>
      </c>
      <c r="Q243" s="7"/>
      <c r="R243" s="9"/>
      <c r="S243" s="7"/>
      <c r="T243" s="7"/>
      <c r="U243" s="8">
        <f t="shared" si="38"/>
        <v>0</v>
      </c>
      <c r="V243" s="9"/>
      <c r="W243" s="9"/>
      <c r="X243" s="9"/>
      <c r="Y243" s="9"/>
      <c r="Z243" s="5"/>
      <c r="AA243" s="9"/>
      <c r="AB243" s="5"/>
      <c r="AC243" s="5"/>
      <c r="AD243" s="5"/>
      <c r="AE243" s="9"/>
      <c r="AF243" s="9"/>
      <c r="AG243" s="26"/>
      <c r="AH243" s="26"/>
      <c r="AI243" s="26"/>
    </row>
    <row r="244" spans="1:35" ht="15">
      <c r="A244" s="155"/>
      <c r="B244" s="155"/>
      <c r="C244" s="155"/>
      <c r="D244" s="176" t="s">
        <v>460</v>
      </c>
      <c r="E244" s="177" t="s">
        <v>461</v>
      </c>
      <c r="F244" s="176" t="s">
        <v>462</v>
      </c>
      <c r="G244" s="178"/>
      <c r="H244" s="85" t="s">
        <v>49</v>
      </c>
      <c r="I244" s="135"/>
      <c r="J244" s="84"/>
      <c r="K244" s="84"/>
      <c r="L244" s="86" t="b">
        <v>0</v>
      </c>
      <c r="M244" s="86" t="b">
        <v>0</v>
      </c>
      <c r="N244" s="83"/>
      <c r="O244" s="83"/>
      <c r="P244" s="87">
        <f t="shared" si="37"/>
        <v>0</v>
      </c>
      <c r="Q244" s="83"/>
      <c r="R244" s="84"/>
      <c r="S244" s="83"/>
      <c r="T244" s="83"/>
      <c r="U244" s="87">
        <f t="shared" si="38"/>
        <v>0</v>
      </c>
      <c r="V244" s="84"/>
      <c r="W244" s="84"/>
      <c r="X244" s="84"/>
      <c r="Y244" s="84"/>
      <c r="Z244" s="85"/>
      <c r="AA244" s="84"/>
      <c r="AB244" s="85"/>
      <c r="AC244" s="85"/>
      <c r="AD244" s="85"/>
      <c r="AE244" s="84"/>
      <c r="AF244" s="84"/>
      <c r="AG244" s="122"/>
      <c r="AH244" s="122"/>
      <c r="AI244" s="153"/>
    </row>
    <row r="245" spans="1:35" ht="15">
      <c r="A245" s="155"/>
      <c r="B245" s="155"/>
      <c r="C245" s="155"/>
      <c r="D245" s="155"/>
      <c r="E245" s="155"/>
      <c r="F245" s="155"/>
      <c r="G245" s="155"/>
      <c r="H245" s="85" t="s">
        <v>58</v>
      </c>
      <c r="I245" s="135"/>
      <c r="J245" s="84"/>
      <c r="K245" s="84"/>
      <c r="L245" s="86" t="b">
        <v>0</v>
      </c>
      <c r="M245" s="86" t="b">
        <v>0</v>
      </c>
      <c r="N245" s="83"/>
      <c r="O245" s="83"/>
      <c r="P245" s="87">
        <f t="shared" si="37"/>
        <v>0</v>
      </c>
      <c r="Q245" s="83"/>
      <c r="R245" s="84"/>
      <c r="S245" s="83"/>
      <c r="T245" s="83"/>
      <c r="U245" s="87">
        <f t="shared" si="38"/>
        <v>0</v>
      </c>
      <c r="V245" s="84"/>
      <c r="W245" s="84"/>
      <c r="X245" s="133"/>
      <c r="Y245" s="133"/>
      <c r="Z245" s="121"/>
      <c r="AA245" s="133"/>
      <c r="AB245" s="121"/>
      <c r="AC245" s="121"/>
      <c r="AD245" s="121"/>
      <c r="AE245" s="84"/>
      <c r="AF245" s="84"/>
      <c r="AG245" s="122"/>
      <c r="AH245" s="122"/>
      <c r="AI245" s="153"/>
    </row>
    <row r="246" spans="1:35" ht="15">
      <c r="A246" s="155"/>
      <c r="B246" s="155"/>
      <c r="C246" s="155"/>
      <c r="D246" s="157" t="s">
        <v>453</v>
      </c>
      <c r="E246" s="157" t="s">
        <v>463</v>
      </c>
      <c r="F246" s="157" t="s">
        <v>464</v>
      </c>
      <c r="G246" s="158"/>
      <c r="H246" s="5" t="s">
        <v>465</v>
      </c>
      <c r="I246" s="22"/>
      <c r="J246" s="9"/>
      <c r="K246" s="9"/>
      <c r="L246" s="11" t="b">
        <v>0</v>
      </c>
      <c r="M246" s="11" t="b">
        <v>0</v>
      </c>
      <c r="N246" s="7"/>
      <c r="O246" s="7"/>
      <c r="P246" s="8">
        <f t="shared" si="37"/>
        <v>0</v>
      </c>
      <c r="Q246" s="7"/>
      <c r="R246" s="9"/>
      <c r="S246" s="7"/>
      <c r="T246" s="7"/>
      <c r="U246" s="8">
        <f t="shared" si="38"/>
        <v>0</v>
      </c>
      <c r="V246" s="9"/>
      <c r="W246" s="9"/>
      <c r="X246" s="18"/>
      <c r="Y246" s="18"/>
      <c r="Z246" s="19"/>
      <c r="AA246" s="18"/>
      <c r="AB246" s="19"/>
      <c r="AC246" s="19"/>
      <c r="AD246" s="19"/>
      <c r="AE246" s="9"/>
      <c r="AF246" s="9"/>
      <c r="AG246" s="26"/>
      <c r="AH246" s="26"/>
      <c r="AI246" s="151"/>
    </row>
    <row r="247" spans="1:35" ht="15">
      <c r="A247" s="155"/>
      <c r="B247" s="155"/>
      <c r="C247" s="155"/>
      <c r="D247" s="155"/>
      <c r="E247" s="155"/>
      <c r="F247" s="155"/>
      <c r="G247" s="155"/>
      <c r="H247" s="5" t="s">
        <v>58</v>
      </c>
      <c r="I247" s="22"/>
      <c r="J247" s="9"/>
      <c r="K247" s="9"/>
      <c r="L247" s="11" t="b">
        <v>0</v>
      </c>
      <c r="M247" s="11" t="b">
        <v>0</v>
      </c>
      <c r="N247" s="7"/>
      <c r="O247" s="7"/>
      <c r="P247" s="8">
        <f t="shared" si="37"/>
        <v>0</v>
      </c>
      <c r="Q247" s="7"/>
      <c r="R247" s="9"/>
      <c r="S247" s="7"/>
      <c r="T247" s="7"/>
      <c r="U247" s="8">
        <f t="shared" si="38"/>
        <v>0</v>
      </c>
      <c r="V247" s="9"/>
      <c r="W247" s="9"/>
      <c r="X247" s="18"/>
      <c r="Y247" s="18"/>
      <c r="Z247" s="19"/>
      <c r="AA247" s="18"/>
      <c r="AB247" s="19"/>
      <c r="AC247" s="19"/>
      <c r="AD247" s="19"/>
      <c r="AE247" s="9"/>
      <c r="AF247" s="9"/>
      <c r="AG247" s="26"/>
      <c r="AH247" s="26"/>
      <c r="AI247" s="151"/>
    </row>
    <row r="248" spans="1:35" ht="9" customHeight="1">
      <c r="A248" s="47"/>
      <c r="B248" s="47"/>
      <c r="C248" s="114"/>
      <c r="D248" s="130"/>
      <c r="E248" s="115"/>
      <c r="F248" s="115"/>
      <c r="G248" s="116"/>
      <c r="H248" s="115"/>
      <c r="I248" s="131"/>
      <c r="J248" s="116"/>
      <c r="K248" s="116"/>
      <c r="L248" s="116"/>
      <c r="M248" s="116"/>
      <c r="N248" s="118"/>
      <c r="O248" s="118"/>
      <c r="P248" s="119"/>
      <c r="Q248" s="118"/>
      <c r="R248" s="116"/>
      <c r="S248" s="118"/>
      <c r="T248" s="118"/>
      <c r="U248" s="119"/>
      <c r="V248" s="116"/>
      <c r="W248" s="116"/>
      <c r="X248" s="116"/>
      <c r="Y248" s="116"/>
      <c r="Z248" s="115"/>
      <c r="AA248" s="116"/>
      <c r="AB248" s="115"/>
      <c r="AC248" s="115"/>
      <c r="AD248" s="115"/>
      <c r="AE248" s="116"/>
      <c r="AF248" s="116"/>
      <c r="AG248" s="116"/>
      <c r="AH248" s="116"/>
      <c r="AI248" s="116"/>
    </row>
    <row r="249" spans="1:35" ht="12.75">
      <c r="A249" s="172" t="s">
        <v>243</v>
      </c>
      <c r="B249" s="172" t="s">
        <v>178</v>
      </c>
      <c r="C249" s="161" t="s">
        <v>244</v>
      </c>
      <c r="D249" s="162" t="s">
        <v>453</v>
      </c>
      <c r="E249" s="160" t="s">
        <v>47</v>
      </c>
      <c r="F249" s="162" t="s">
        <v>454</v>
      </c>
      <c r="G249" s="164"/>
      <c r="H249" s="77" t="s">
        <v>49</v>
      </c>
      <c r="I249" s="108"/>
      <c r="J249" s="78"/>
      <c r="K249" s="78"/>
      <c r="L249" s="79" t="b">
        <v>0</v>
      </c>
      <c r="M249" s="79" t="b">
        <v>0</v>
      </c>
      <c r="N249" s="81"/>
      <c r="O249" s="81"/>
      <c r="P249" s="80">
        <f t="shared" ref="P249:P260" si="39">N249+O249</f>
        <v>0</v>
      </c>
      <c r="Q249" s="81"/>
      <c r="R249" s="78"/>
      <c r="S249" s="81"/>
      <c r="T249" s="81"/>
      <c r="U249" s="80">
        <f t="shared" ref="U249:U260" si="40">S249+T249</f>
        <v>0</v>
      </c>
      <c r="V249" s="78"/>
      <c r="W249" s="78"/>
      <c r="X249" s="78"/>
      <c r="Y249" s="78"/>
      <c r="Z249" s="77"/>
      <c r="AA249" s="78"/>
      <c r="AB249" s="77"/>
      <c r="AC249" s="77"/>
      <c r="AD249" s="77"/>
      <c r="AE249" s="78"/>
      <c r="AF249" s="78"/>
      <c r="AG249" s="109"/>
      <c r="AH249" s="109"/>
      <c r="AI249" s="78"/>
    </row>
    <row r="250" spans="1:35" ht="12.75">
      <c r="A250" s="155"/>
      <c r="B250" s="155"/>
      <c r="C250" s="155"/>
      <c r="D250" s="155"/>
      <c r="E250" s="155"/>
      <c r="F250" s="155"/>
      <c r="G250" s="155"/>
      <c r="H250" s="85" t="s">
        <v>58</v>
      </c>
      <c r="I250" s="112"/>
      <c r="J250" s="84"/>
      <c r="K250" s="84"/>
      <c r="L250" s="86" t="b">
        <v>0</v>
      </c>
      <c r="M250" s="86" t="b">
        <v>0</v>
      </c>
      <c r="N250" s="83"/>
      <c r="O250" s="83"/>
      <c r="P250" s="87">
        <f t="shared" si="39"/>
        <v>0</v>
      </c>
      <c r="Q250" s="83"/>
      <c r="R250" s="84"/>
      <c r="S250" s="83"/>
      <c r="T250" s="83"/>
      <c r="U250" s="87">
        <f t="shared" si="40"/>
        <v>0</v>
      </c>
      <c r="V250" s="84"/>
      <c r="W250" s="84"/>
      <c r="X250" s="84"/>
      <c r="Y250" s="84"/>
      <c r="Z250" s="85"/>
      <c r="AA250" s="84"/>
      <c r="AB250" s="85"/>
      <c r="AC250" s="85"/>
      <c r="AD250" s="85"/>
      <c r="AE250" s="84"/>
      <c r="AF250" s="84"/>
      <c r="AG250" s="110"/>
      <c r="AH250" s="110"/>
      <c r="AI250" s="84"/>
    </row>
    <row r="251" spans="1:35" ht="12.75">
      <c r="A251" s="155"/>
      <c r="B251" s="155"/>
      <c r="C251" s="155"/>
      <c r="D251" s="157" t="s">
        <v>453</v>
      </c>
      <c r="E251" s="157" t="s">
        <v>59</v>
      </c>
      <c r="F251" s="157" t="s">
        <v>454</v>
      </c>
      <c r="G251" s="158"/>
      <c r="H251" s="5" t="s">
        <v>49</v>
      </c>
      <c r="I251" s="17"/>
      <c r="J251" s="9"/>
      <c r="K251" s="9"/>
      <c r="L251" s="11" t="b">
        <v>0</v>
      </c>
      <c r="M251" s="11" t="b">
        <v>0</v>
      </c>
      <c r="N251" s="7"/>
      <c r="O251" s="7"/>
      <c r="P251" s="8">
        <f t="shared" si="39"/>
        <v>0</v>
      </c>
      <c r="Q251" s="7"/>
      <c r="R251" s="9"/>
      <c r="S251" s="7"/>
      <c r="T251" s="7"/>
      <c r="U251" s="8">
        <f t="shared" si="40"/>
        <v>0</v>
      </c>
      <c r="V251" s="9"/>
      <c r="W251" s="9"/>
      <c r="X251" s="18"/>
      <c r="Y251" s="18"/>
      <c r="Z251" s="19"/>
      <c r="AA251" s="18"/>
      <c r="AB251" s="19"/>
      <c r="AC251" s="19"/>
      <c r="AD251" s="19"/>
      <c r="AE251" s="9"/>
      <c r="AF251" s="9"/>
      <c r="AG251" s="26"/>
      <c r="AH251" s="26"/>
      <c r="AI251" s="89"/>
    </row>
    <row r="252" spans="1:35" ht="12.75">
      <c r="A252" s="155"/>
      <c r="B252" s="155"/>
      <c r="C252" s="155"/>
      <c r="D252" s="155"/>
      <c r="E252" s="155"/>
      <c r="F252" s="155"/>
      <c r="G252" s="155"/>
      <c r="H252" s="5" t="s">
        <v>58</v>
      </c>
      <c r="I252" s="22"/>
      <c r="J252" s="9"/>
      <c r="K252" s="9"/>
      <c r="L252" s="11" t="b">
        <v>0</v>
      </c>
      <c r="M252" s="11" t="b">
        <v>0</v>
      </c>
      <c r="N252" s="7"/>
      <c r="O252" s="7"/>
      <c r="P252" s="8">
        <f t="shared" si="39"/>
        <v>0</v>
      </c>
      <c r="Q252" s="7"/>
      <c r="R252" s="9"/>
      <c r="S252" s="7"/>
      <c r="T252" s="7"/>
      <c r="U252" s="8">
        <f t="shared" si="40"/>
        <v>0</v>
      </c>
      <c r="V252" s="9"/>
      <c r="W252" s="9"/>
      <c r="X252" s="18"/>
      <c r="Y252" s="18"/>
      <c r="Z252" s="19"/>
      <c r="AA252" s="18"/>
      <c r="AB252" s="19"/>
      <c r="AC252" s="19"/>
      <c r="AD252" s="19"/>
      <c r="AE252" s="9"/>
      <c r="AF252" s="9"/>
      <c r="AG252" s="26"/>
      <c r="AH252" s="26"/>
      <c r="AI252" s="9"/>
    </row>
    <row r="253" spans="1:35" ht="15">
      <c r="A253" s="155"/>
      <c r="B253" s="155"/>
      <c r="C253" s="155"/>
      <c r="D253" s="176" t="s">
        <v>455</v>
      </c>
      <c r="E253" s="176" t="s">
        <v>456</v>
      </c>
      <c r="F253" s="177" t="s">
        <v>457</v>
      </c>
      <c r="G253" s="178"/>
      <c r="H253" s="85" t="s">
        <v>458</v>
      </c>
      <c r="I253" s="147"/>
      <c r="J253" s="84"/>
      <c r="K253" s="84"/>
      <c r="L253" s="86" t="b">
        <v>0</v>
      </c>
      <c r="M253" s="86" t="b">
        <v>0</v>
      </c>
      <c r="N253" s="83"/>
      <c r="O253" s="83"/>
      <c r="P253" s="87">
        <f t="shared" si="39"/>
        <v>0</v>
      </c>
      <c r="Q253" s="83"/>
      <c r="R253" s="84"/>
      <c r="S253" s="83"/>
      <c r="T253" s="83"/>
      <c r="U253" s="87">
        <f t="shared" si="40"/>
        <v>0</v>
      </c>
      <c r="V253" s="84"/>
      <c r="W253" s="84"/>
      <c r="X253" s="133"/>
      <c r="Y253" s="133"/>
      <c r="Z253" s="121"/>
      <c r="AA253" s="133"/>
      <c r="AB253" s="121"/>
      <c r="AC253" s="121"/>
      <c r="AD253" s="121"/>
      <c r="AE253" s="84"/>
      <c r="AF253" s="84"/>
      <c r="AG253" s="122"/>
      <c r="AH253" s="122"/>
      <c r="AI253" s="84"/>
    </row>
    <row r="254" spans="1:35" ht="15">
      <c r="A254" s="155"/>
      <c r="B254" s="155"/>
      <c r="C254" s="155"/>
      <c r="D254" s="155"/>
      <c r="E254" s="155"/>
      <c r="F254" s="155"/>
      <c r="G254" s="155"/>
      <c r="H254" s="85" t="s">
        <v>58</v>
      </c>
      <c r="I254" s="147"/>
      <c r="J254" s="84"/>
      <c r="K254" s="84"/>
      <c r="L254" s="86" t="b">
        <v>0</v>
      </c>
      <c r="M254" s="86" t="b">
        <v>0</v>
      </c>
      <c r="N254" s="83"/>
      <c r="O254" s="83"/>
      <c r="P254" s="87">
        <f t="shared" si="39"/>
        <v>0</v>
      </c>
      <c r="Q254" s="83"/>
      <c r="R254" s="84"/>
      <c r="S254" s="83"/>
      <c r="T254" s="83"/>
      <c r="U254" s="87">
        <f t="shared" si="40"/>
        <v>0</v>
      </c>
      <c r="V254" s="84"/>
      <c r="W254" s="84"/>
      <c r="X254" s="133"/>
      <c r="Y254" s="133"/>
      <c r="Z254" s="121"/>
      <c r="AA254" s="133"/>
      <c r="AB254" s="121"/>
      <c r="AC254" s="121"/>
      <c r="AD254" s="121"/>
      <c r="AE254" s="84"/>
      <c r="AF254" s="84"/>
      <c r="AG254" s="122"/>
      <c r="AH254" s="122"/>
      <c r="AI254" s="148"/>
    </row>
    <row r="255" spans="1:35" ht="15">
      <c r="A255" s="155"/>
      <c r="B255" s="155"/>
      <c r="C255" s="155"/>
      <c r="D255" s="157" t="s">
        <v>455</v>
      </c>
      <c r="E255" s="175" t="s">
        <v>459</v>
      </c>
      <c r="F255" s="156" t="s">
        <v>457</v>
      </c>
      <c r="G255" s="158"/>
      <c r="H255" s="5" t="s">
        <v>458</v>
      </c>
      <c r="I255" s="150"/>
      <c r="J255" s="9"/>
      <c r="K255" s="9"/>
      <c r="L255" s="11" t="b">
        <v>0</v>
      </c>
      <c r="M255" s="11" t="b">
        <v>0</v>
      </c>
      <c r="N255" s="7"/>
      <c r="O255" s="7"/>
      <c r="P255" s="8">
        <f t="shared" si="39"/>
        <v>0</v>
      </c>
      <c r="Q255" s="7"/>
      <c r="R255" s="9"/>
      <c r="S255" s="7"/>
      <c r="T255" s="7"/>
      <c r="U255" s="8">
        <f t="shared" si="40"/>
        <v>0</v>
      </c>
      <c r="V255" s="9"/>
      <c r="W255" s="9"/>
      <c r="X255" s="9"/>
      <c r="Y255" s="9"/>
      <c r="Z255" s="5"/>
      <c r="AA255" s="9"/>
      <c r="AB255" s="5"/>
      <c r="AC255" s="5"/>
      <c r="AD255" s="5"/>
      <c r="AE255" s="9"/>
      <c r="AF255" s="9"/>
      <c r="AG255" s="26"/>
      <c r="AH255" s="26"/>
      <c r="AI255" s="151"/>
    </row>
    <row r="256" spans="1:35" ht="12.75">
      <c r="A256" s="155"/>
      <c r="B256" s="155"/>
      <c r="C256" s="155"/>
      <c r="D256" s="155"/>
      <c r="E256" s="155"/>
      <c r="F256" s="155"/>
      <c r="G256" s="155"/>
      <c r="H256" s="5" t="s">
        <v>58</v>
      </c>
      <c r="I256" s="152"/>
      <c r="J256" s="9"/>
      <c r="K256" s="9"/>
      <c r="L256" s="11" t="b">
        <v>0</v>
      </c>
      <c r="M256" s="11" t="b">
        <v>0</v>
      </c>
      <c r="N256" s="7"/>
      <c r="O256" s="7"/>
      <c r="P256" s="8">
        <f t="shared" si="39"/>
        <v>0</v>
      </c>
      <c r="Q256" s="7"/>
      <c r="R256" s="9"/>
      <c r="S256" s="7"/>
      <c r="T256" s="7"/>
      <c r="U256" s="8">
        <f t="shared" si="40"/>
        <v>0</v>
      </c>
      <c r="V256" s="9"/>
      <c r="W256" s="9"/>
      <c r="X256" s="9"/>
      <c r="Y256" s="9"/>
      <c r="Z256" s="5"/>
      <c r="AA256" s="9"/>
      <c r="AB256" s="5"/>
      <c r="AC256" s="5"/>
      <c r="AD256" s="5"/>
      <c r="AE256" s="9"/>
      <c r="AF256" s="9"/>
      <c r="AG256" s="26"/>
      <c r="AH256" s="26"/>
      <c r="AI256" s="26"/>
    </row>
    <row r="257" spans="1:35" ht="15">
      <c r="A257" s="155"/>
      <c r="B257" s="155"/>
      <c r="C257" s="155"/>
      <c r="D257" s="176" t="s">
        <v>460</v>
      </c>
      <c r="E257" s="177" t="s">
        <v>461</v>
      </c>
      <c r="F257" s="176" t="s">
        <v>462</v>
      </c>
      <c r="G257" s="178"/>
      <c r="H257" s="85" t="s">
        <v>49</v>
      </c>
      <c r="I257" s="135"/>
      <c r="J257" s="84"/>
      <c r="K257" s="84"/>
      <c r="L257" s="86" t="b">
        <v>0</v>
      </c>
      <c r="M257" s="86" t="b">
        <v>0</v>
      </c>
      <c r="N257" s="83"/>
      <c r="O257" s="83"/>
      <c r="P257" s="87">
        <f t="shared" si="39"/>
        <v>0</v>
      </c>
      <c r="Q257" s="83"/>
      <c r="R257" s="84"/>
      <c r="S257" s="83"/>
      <c r="T257" s="83"/>
      <c r="U257" s="87">
        <f t="shared" si="40"/>
        <v>0</v>
      </c>
      <c r="V257" s="84"/>
      <c r="W257" s="84"/>
      <c r="X257" s="84"/>
      <c r="Y257" s="84"/>
      <c r="Z257" s="85"/>
      <c r="AA257" s="84"/>
      <c r="AB257" s="85"/>
      <c r="AC257" s="85"/>
      <c r="AD257" s="85"/>
      <c r="AE257" s="84"/>
      <c r="AF257" s="84"/>
      <c r="AG257" s="122"/>
      <c r="AH257" s="122"/>
      <c r="AI257" s="153"/>
    </row>
    <row r="258" spans="1:35" ht="15">
      <c r="A258" s="155"/>
      <c r="B258" s="155"/>
      <c r="C258" s="155"/>
      <c r="D258" s="155"/>
      <c r="E258" s="155"/>
      <c r="F258" s="155"/>
      <c r="G258" s="155"/>
      <c r="H258" s="85" t="s">
        <v>58</v>
      </c>
      <c r="I258" s="135"/>
      <c r="J258" s="84"/>
      <c r="K258" s="84"/>
      <c r="L258" s="86" t="b">
        <v>0</v>
      </c>
      <c r="M258" s="86" t="b">
        <v>0</v>
      </c>
      <c r="N258" s="83"/>
      <c r="O258" s="83"/>
      <c r="P258" s="87">
        <f t="shared" si="39"/>
        <v>0</v>
      </c>
      <c r="Q258" s="83"/>
      <c r="R258" s="84"/>
      <c r="S258" s="83"/>
      <c r="T258" s="83"/>
      <c r="U258" s="87">
        <f t="shared" si="40"/>
        <v>0</v>
      </c>
      <c r="V258" s="84"/>
      <c r="W258" s="84"/>
      <c r="X258" s="133"/>
      <c r="Y258" s="133"/>
      <c r="Z258" s="121"/>
      <c r="AA258" s="133"/>
      <c r="AB258" s="121"/>
      <c r="AC258" s="121"/>
      <c r="AD258" s="121"/>
      <c r="AE258" s="84"/>
      <c r="AF258" s="84"/>
      <c r="AG258" s="122"/>
      <c r="AH258" s="122"/>
      <c r="AI258" s="153"/>
    </row>
    <row r="259" spans="1:35" ht="15.75" customHeight="1">
      <c r="A259" s="155"/>
      <c r="B259" s="155"/>
      <c r="C259" s="155"/>
      <c r="D259" s="157" t="s">
        <v>453</v>
      </c>
      <c r="E259" s="157" t="s">
        <v>463</v>
      </c>
      <c r="F259" s="157" t="s">
        <v>464</v>
      </c>
      <c r="G259" s="158"/>
      <c r="H259" s="5" t="s">
        <v>465</v>
      </c>
      <c r="I259" s="22"/>
      <c r="J259" s="9"/>
      <c r="K259" s="9"/>
      <c r="L259" s="11" t="b">
        <v>0</v>
      </c>
      <c r="M259" s="11" t="b">
        <v>0</v>
      </c>
      <c r="N259" s="7"/>
      <c r="O259" s="7"/>
      <c r="P259" s="8">
        <f t="shared" si="39"/>
        <v>0</v>
      </c>
      <c r="Q259" s="7"/>
      <c r="R259" s="9"/>
      <c r="S259" s="7"/>
      <c r="T259" s="7"/>
      <c r="U259" s="8">
        <f t="shared" si="40"/>
        <v>0</v>
      </c>
      <c r="V259" s="9"/>
      <c r="W259" s="9"/>
      <c r="X259" s="18"/>
      <c r="Y259" s="18"/>
      <c r="Z259" s="19"/>
      <c r="AA259" s="18"/>
      <c r="AB259" s="19"/>
      <c r="AC259" s="19"/>
      <c r="AD259" s="19"/>
      <c r="AE259" s="9"/>
      <c r="AF259" s="9"/>
      <c r="AG259" s="26"/>
      <c r="AH259" s="26"/>
      <c r="AI259" s="151"/>
    </row>
    <row r="260" spans="1:35" ht="15.75" customHeight="1">
      <c r="A260" s="155"/>
      <c r="B260" s="155"/>
      <c r="C260" s="155"/>
      <c r="D260" s="155"/>
      <c r="E260" s="155"/>
      <c r="F260" s="155"/>
      <c r="G260" s="155"/>
      <c r="H260" s="5" t="s">
        <v>58</v>
      </c>
      <c r="I260" s="22"/>
      <c r="J260" s="9"/>
      <c r="K260" s="9"/>
      <c r="L260" s="11" t="b">
        <v>0</v>
      </c>
      <c r="M260" s="11" t="b">
        <v>0</v>
      </c>
      <c r="N260" s="7"/>
      <c r="O260" s="7"/>
      <c r="P260" s="8">
        <f t="shared" si="39"/>
        <v>0</v>
      </c>
      <c r="Q260" s="7"/>
      <c r="R260" s="9"/>
      <c r="S260" s="7"/>
      <c r="T260" s="7"/>
      <c r="U260" s="8">
        <f t="shared" si="40"/>
        <v>0</v>
      </c>
      <c r="V260" s="9"/>
      <c r="W260" s="9"/>
      <c r="X260" s="18"/>
      <c r="Y260" s="18"/>
      <c r="Z260" s="19"/>
      <c r="AA260" s="18"/>
      <c r="AB260" s="19"/>
      <c r="AC260" s="19"/>
      <c r="AD260" s="19"/>
      <c r="AE260" s="9"/>
      <c r="AF260" s="9"/>
      <c r="AG260" s="26"/>
      <c r="AH260" s="26"/>
      <c r="AI260" s="151"/>
    </row>
    <row r="261" spans="1:35" ht="15" customHeight="1">
      <c r="A261" s="47"/>
      <c r="B261" s="47"/>
      <c r="C261" s="114"/>
      <c r="D261" s="115"/>
      <c r="E261" s="115"/>
      <c r="F261" s="115"/>
      <c r="G261" s="116"/>
      <c r="H261" s="115"/>
      <c r="I261" s="131"/>
      <c r="J261" s="116"/>
      <c r="K261" s="116"/>
      <c r="L261" s="116"/>
      <c r="M261" s="116"/>
      <c r="N261" s="118"/>
      <c r="O261" s="118"/>
      <c r="P261" s="119"/>
      <c r="Q261" s="118"/>
      <c r="R261" s="116"/>
      <c r="S261" s="118"/>
      <c r="T261" s="118"/>
      <c r="U261" s="119"/>
      <c r="V261" s="116"/>
      <c r="W261" s="116"/>
      <c r="X261" s="116"/>
      <c r="Y261" s="116"/>
      <c r="Z261" s="115"/>
      <c r="AA261" s="116"/>
      <c r="AB261" s="115"/>
      <c r="AC261" s="115"/>
      <c r="AD261" s="115"/>
      <c r="AE261" s="116"/>
      <c r="AF261" s="116"/>
      <c r="AG261" s="116"/>
      <c r="AH261" s="116"/>
      <c r="AI261" s="116"/>
    </row>
    <row r="262" spans="1:35" ht="12.75">
      <c r="A262" s="162" t="s">
        <v>250</v>
      </c>
      <c r="B262" s="162" t="s">
        <v>178</v>
      </c>
      <c r="C262" s="162" t="s">
        <v>220</v>
      </c>
      <c r="D262" s="162" t="s">
        <v>453</v>
      </c>
      <c r="E262" s="160" t="s">
        <v>47</v>
      </c>
      <c r="F262" s="162" t="s">
        <v>454</v>
      </c>
      <c r="G262" s="164"/>
      <c r="H262" s="77" t="s">
        <v>49</v>
      </c>
      <c r="I262" s="108"/>
      <c r="J262" s="78"/>
      <c r="K262" s="78"/>
      <c r="L262" s="79" t="b">
        <v>0</v>
      </c>
      <c r="M262" s="79" t="b">
        <v>0</v>
      </c>
      <c r="N262" s="81"/>
      <c r="O262" s="81"/>
      <c r="P262" s="80">
        <f t="shared" ref="P262:P273" si="41">N262+O262</f>
        <v>0</v>
      </c>
      <c r="Q262" s="81"/>
      <c r="R262" s="78"/>
      <c r="S262" s="81"/>
      <c r="T262" s="81"/>
      <c r="U262" s="80">
        <f t="shared" ref="U262:U273" si="42">S262+T262</f>
        <v>0</v>
      </c>
      <c r="V262" s="78"/>
      <c r="W262" s="78"/>
      <c r="X262" s="78"/>
      <c r="Y262" s="78"/>
      <c r="Z262" s="77"/>
      <c r="AA262" s="78"/>
      <c r="AB262" s="77"/>
      <c r="AC262" s="77"/>
      <c r="AD262" s="77"/>
      <c r="AE262" s="78"/>
      <c r="AF262" s="78"/>
      <c r="AG262" s="109"/>
      <c r="AH262" s="109"/>
      <c r="AI262" s="78"/>
    </row>
    <row r="263" spans="1:35" ht="12.75">
      <c r="A263" s="155"/>
      <c r="B263" s="155"/>
      <c r="C263" s="155"/>
      <c r="D263" s="155"/>
      <c r="E263" s="155"/>
      <c r="F263" s="155"/>
      <c r="G263" s="155"/>
      <c r="H263" s="85" t="s">
        <v>58</v>
      </c>
      <c r="I263" s="112"/>
      <c r="J263" s="84"/>
      <c r="K263" s="84"/>
      <c r="L263" s="86" t="b">
        <v>0</v>
      </c>
      <c r="M263" s="86" t="b">
        <v>0</v>
      </c>
      <c r="N263" s="83"/>
      <c r="O263" s="83"/>
      <c r="P263" s="87">
        <f t="shared" si="41"/>
        <v>0</v>
      </c>
      <c r="Q263" s="83"/>
      <c r="R263" s="84"/>
      <c r="S263" s="83"/>
      <c r="T263" s="83"/>
      <c r="U263" s="87">
        <f t="shared" si="42"/>
        <v>0</v>
      </c>
      <c r="V263" s="84"/>
      <c r="W263" s="84"/>
      <c r="X263" s="84"/>
      <c r="Y263" s="84"/>
      <c r="Z263" s="85"/>
      <c r="AA263" s="84"/>
      <c r="AB263" s="85"/>
      <c r="AC263" s="85"/>
      <c r="AD263" s="85"/>
      <c r="AE263" s="84"/>
      <c r="AF263" s="84"/>
      <c r="AG263" s="110"/>
      <c r="AH263" s="110"/>
      <c r="AI263" s="84"/>
    </row>
    <row r="264" spans="1:35" ht="12.75">
      <c r="A264" s="155"/>
      <c r="B264" s="155"/>
      <c r="C264" s="155"/>
      <c r="D264" s="157" t="s">
        <v>453</v>
      </c>
      <c r="E264" s="157" t="s">
        <v>59</v>
      </c>
      <c r="F264" s="157" t="s">
        <v>454</v>
      </c>
      <c r="G264" s="158"/>
      <c r="H264" s="5" t="s">
        <v>49</v>
      </c>
      <c r="I264" s="17"/>
      <c r="J264" s="9"/>
      <c r="K264" s="9"/>
      <c r="L264" s="11" t="b">
        <v>0</v>
      </c>
      <c r="M264" s="11" t="b">
        <v>0</v>
      </c>
      <c r="N264" s="7"/>
      <c r="O264" s="7"/>
      <c r="P264" s="8">
        <f t="shared" si="41"/>
        <v>0</v>
      </c>
      <c r="Q264" s="7"/>
      <c r="R264" s="9"/>
      <c r="S264" s="7"/>
      <c r="T264" s="7"/>
      <c r="U264" s="8">
        <f t="shared" si="42"/>
        <v>0</v>
      </c>
      <c r="V264" s="9"/>
      <c r="W264" s="9"/>
      <c r="X264" s="18"/>
      <c r="Y264" s="18"/>
      <c r="Z264" s="19"/>
      <c r="AA264" s="18"/>
      <c r="AB264" s="19"/>
      <c r="AC264" s="19"/>
      <c r="AD264" s="19"/>
      <c r="AE264" s="9"/>
      <c r="AF264" s="9"/>
      <c r="AG264" s="26"/>
      <c r="AH264" s="26"/>
      <c r="AI264" s="89"/>
    </row>
    <row r="265" spans="1:35" ht="12.75">
      <c r="A265" s="155"/>
      <c r="B265" s="155"/>
      <c r="C265" s="155"/>
      <c r="D265" s="155"/>
      <c r="E265" s="155"/>
      <c r="F265" s="155"/>
      <c r="G265" s="155"/>
      <c r="H265" s="5" t="s">
        <v>58</v>
      </c>
      <c r="I265" s="22"/>
      <c r="J265" s="9"/>
      <c r="K265" s="9"/>
      <c r="L265" s="11" t="b">
        <v>0</v>
      </c>
      <c r="M265" s="11" t="b">
        <v>0</v>
      </c>
      <c r="N265" s="7"/>
      <c r="O265" s="7"/>
      <c r="P265" s="8">
        <f t="shared" si="41"/>
        <v>0</v>
      </c>
      <c r="Q265" s="7"/>
      <c r="R265" s="9"/>
      <c r="S265" s="7"/>
      <c r="T265" s="7"/>
      <c r="U265" s="8">
        <f t="shared" si="42"/>
        <v>0</v>
      </c>
      <c r="V265" s="9"/>
      <c r="W265" s="9"/>
      <c r="X265" s="18"/>
      <c r="Y265" s="18"/>
      <c r="Z265" s="19"/>
      <c r="AA265" s="18"/>
      <c r="AB265" s="19"/>
      <c r="AC265" s="19"/>
      <c r="AD265" s="19"/>
      <c r="AE265" s="9"/>
      <c r="AF265" s="9"/>
      <c r="AG265" s="26"/>
      <c r="AH265" s="26"/>
      <c r="AI265" s="9"/>
    </row>
    <row r="266" spans="1:35" ht="15">
      <c r="A266" s="155"/>
      <c r="B266" s="155"/>
      <c r="C266" s="155"/>
      <c r="D266" s="176" t="s">
        <v>455</v>
      </c>
      <c r="E266" s="176" t="s">
        <v>456</v>
      </c>
      <c r="F266" s="177" t="s">
        <v>457</v>
      </c>
      <c r="G266" s="178"/>
      <c r="H266" s="85" t="s">
        <v>458</v>
      </c>
      <c r="I266" s="147"/>
      <c r="J266" s="84"/>
      <c r="K266" s="84"/>
      <c r="L266" s="86" t="b">
        <v>0</v>
      </c>
      <c r="M266" s="86" t="b">
        <v>0</v>
      </c>
      <c r="N266" s="83"/>
      <c r="O266" s="83"/>
      <c r="P266" s="87">
        <f t="shared" si="41"/>
        <v>0</v>
      </c>
      <c r="Q266" s="83"/>
      <c r="R266" s="84"/>
      <c r="S266" s="83"/>
      <c r="T266" s="83"/>
      <c r="U266" s="87">
        <f t="shared" si="42"/>
        <v>0</v>
      </c>
      <c r="V266" s="84"/>
      <c r="W266" s="84"/>
      <c r="X266" s="133"/>
      <c r="Y266" s="133"/>
      <c r="Z266" s="121"/>
      <c r="AA266" s="133"/>
      <c r="AB266" s="121"/>
      <c r="AC266" s="121"/>
      <c r="AD266" s="121"/>
      <c r="AE266" s="84"/>
      <c r="AF266" s="84"/>
      <c r="AG266" s="122"/>
      <c r="AH266" s="122"/>
      <c r="AI266" s="84"/>
    </row>
    <row r="267" spans="1:35" ht="15">
      <c r="A267" s="155"/>
      <c r="B267" s="155"/>
      <c r="C267" s="155"/>
      <c r="D267" s="155"/>
      <c r="E267" s="155"/>
      <c r="F267" s="155"/>
      <c r="G267" s="155"/>
      <c r="H267" s="85" t="s">
        <v>58</v>
      </c>
      <c r="I267" s="147"/>
      <c r="J267" s="84"/>
      <c r="K267" s="84"/>
      <c r="L267" s="86" t="b">
        <v>0</v>
      </c>
      <c r="M267" s="86" t="b">
        <v>0</v>
      </c>
      <c r="N267" s="83"/>
      <c r="O267" s="83"/>
      <c r="P267" s="87">
        <f t="shared" si="41"/>
        <v>0</v>
      </c>
      <c r="Q267" s="83"/>
      <c r="R267" s="84"/>
      <c r="S267" s="83"/>
      <c r="T267" s="83"/>
      <c r="U267" s="87">
        <f t="shared" si="42"/>
        <v>0</v>
      </c>
      <c r="V267" s="84"/>
      <c r="W267" s="84"/>
      <c r="X267" s="133"/>
      <c r="Y267" s="133"/>
      <c r="Z267" s="121"/>
      <c r="AA267" s="133"/>
      <c r="AB267" s="121"/>
      <c r="AC267" s="121"/>
      <c r="AD267" s="121"/>
      <c r="AE267" s="84"/>
      <c r="AF267" s="84"/>
      <c r="AG267" s="122"/>
      <c r="AH267" s="122"/>
      <c r="AI267" s="148"/>
    </row>
    <row r="268" spans="1:35" ht="15">
      <c r="A268" s="155"/>
      <c r="B268" s="155"/>
      <c r="C268" s="155"/>
      <c r="D268" s="157" t="s">
        <v>455</v>
      </c>
      <c r="E268" s="175" t="s">
        <v>459</v>
      </c>
      <c r="F268" s="156" t="s">
        <v>457</v>
      </c>
      <c r="G268" s="158"/>
      <c r="H268" s="5" t="s">
        <v>458</v>
      </c>
      <c r="I268" s="150"/>
      <c r="J268" s="9"/>
      <c r="K268" s="9"/>
      <c r="L268" s="11" t="b">
        <v>0</v>
      </c>
      <c r="M268" s="11" t="b">
        <v>0</v>
      </c>
      <c r="N268" s="7"/>
      <c r="O268" s="7"/>
      <c r="P268" s="8">
        <f t="shared" si="41"/>
        <v>0</v>
      </c>
      <c r="Q268" s="7"/>
      <c r="R268" s="9"/>
      <c r="S268" s="7"/>
      <c r="T268" s="7"/>
      <c r="U268" s="8">
        <f t="shared" si="42"/>
        <v>0</v>
      </c>
      <c r="V268" s="9"/>
      <c r="W268" s="9"/>
      <c r="X268" s="9"/>
      <c r="Y268" s="9"/>
      <c r="Z268" s="5"/>
      <c r="AA268" s="9"/>
      <c r="AB268" s="5"/>
      <c r="AC268" s="5"/>
      <c r="AD268" s="5"/>
      <c r="AE268" s="9"/>
      <c r="AF268" s="9"/>
      <c r="AG268" s="26"/>
      <c r="AH268" s="26"/>
      <c r="AI268" s="151"/>
    </row>
    <row r="269" spans="1:35" ht="12.75">
      <c r="A269" s="155"/>
      <c r="B269" s="155"/>
      <c r="C269" s="155"/>
      <c r="D269" s="155"/>
      <c r="E269" s="155"/>
      <c r="F269" s="155"/>
      <c r="G269" s="155"/>
      <c r="H269" s="5" t="s">
        <v>58</v>
      </c>
      <c r="I269" s="152"/>
      <c r="J269" s="9"/>
      <c r="K269" s="9"/>
      <c r="L269" s="11" t="b">
        <v>0</v>
      </c>
      <c r="M269" s="11" t="b">
        <v>0</v>
      </c>
      <c r="N269" s="7"/>
      <c r="O269" s="7"/>
      <c r="P269" s="8">
        <f t="shared" si="41"/>
        <v>0</v>
      </c>
      <c r="Q269" s="7"/>
      <c r="R269" s="9"/>
      <c r="S269" s="7"/>
      <c r="T269" s="7"/>
      <c r="U269" s="8">
        <f t="shared" si="42"/>
        <v>0</v>
      </c>
      <c r="V269" s="9"/>
      <c r="W269" s="9"/>
      <c r="X269" s="9"/>
      <c r="Y269" s="9"/>
      <c r="Z269" s="5"/>
      <c r="AA269" s="9"/>
      <c r="AB269" s="5"/>
      <c r="AC269" s="5"/>
      <c r="AD269" s="5"/>
      <c r="AE269" s="9"/>
      <c r="AF269" s="9"/>
      <c r="AG269" s="26"/>
      <c r="AH269" s="26"/>
      <c r="AI269" s="26"/>
    </row>
    <row r="270" spans="1:35" ht="15">
      <c r="A270" s="155"/>
      <c r="B270" s="155"/>
      <c r="C270" s="155"/>
      <c r="D270" s="176" t="s">
        <v>460</v>
      </c>
      <c r="E270" s="177" t="s">
        <v>461</v>
      </c>
      <c r="F270" s="176" t="s">
        <v>462</v>
      </c>
      <c r="G270" s="178"/>
      <c r="H270" s="85" t="s">
        <v>49</v>
      </c>
      <c r="I270" s="135"/>
      <c r="J270" s="84"/>
      <c r="K270" s="84"/>
      <c r="L270" s="86" t="b">
        <v>0</v>
      </c>
      <c r="M270" s="86" t="b">
        <v>0</v>
      </c>
      <c r="N270" s="83"/>
      <c r="O270" s="83"/>
      <c r="P270" s="87">
        <f t="shared" si="41"/>
        <v>0</v>
      </c>
      <c r="Q270" s="83"/>
      <c r="R270" s="84"/>
      <c r="S270" s="83"/>
      <c r="T270" s="83"/>
      <c r="U270" s="87">
        <f t="shared" si="42"/>
        <v>0</v>
      </c>
      <c r="V270" s="84"/>
      <c r="W270" s="84"/>
      <c r="X270" s="84"/>
      <c r="Y270" s="84"/>
      <c r="Z270" s="85"/>
      <c r="AA270" s="84"/>
      <c r="AB270" s="85"/>
      <c r="AC270" s="85"/>
      <c r="AD270" s="85"/>
      <c r="AE270" s="84"/>
      <c r="AF270" s="84"/>
      <c r="AG270" s="122"/>
      <c r="AH270" s="122"/>
      <c r="AI270" s="153"/>
    </row>
    <row r="271" spans="1:35" ht="15">
      <c r="A271" s="155"/>
      <c r="B271" s="155"/>
      <c r="C271" s="155"/>
      <c r="D271" s="155"/>
      <c r="E271" s="155"/>
      <c r="F271" s="155"/>
      <c r="G271" s="155"/>
      <c r="H271" s="85" t="s">
        <v>58</v>
      </c>
      <c r="I271" s="135"/>
      <c r="J271" s="84"/>
      <c r="K271" s="84"/>
      <c r="L271" s="86" t="b">
        <v>0</v>
      </c>
      <c r="M271" s="86" t="b">
        <v>0</v>
      </c>
      <c r="N271" s="83"/>
      <c r="O271" s="83"/>
      <c r="P271" s="87">
        <f t="shared" si="41"/>
        <v>0</v>
      </c>
      <c r="Q271" s="83"/>
      <c r="R271" s="84"/>
      <c r="S271" s="83"/>
      <c r="T271" s="83"/>
      <c r="U271" s="87">
        <f t="shared" si="42"/>
        <v>0</v>
      </c>
      <c r="V271" s="84"/>
      <c r="W271" s="84"/>
      <c r="X271" s="133"/>
      <c r="Y271" s="133"/>
      <c r="Z271" s="121"/>
      <c r="AA271" s="133"/>
      <c r="AB271" s="121"/>
      <c r="AC271" s="121"/>
      <c r="AD271" s="121"/>
      <c r="AE271" s="84"/>
      <c r="AF271" s="84"/>
      <c r="AG271" s="122"/>
      <c r="AH271" s="122"/>
      <c r="AI271" s="153"/>
    </row>
    <row r="272" spans="1:35" ht="15">
      <c r="A272" s="155"/>
      <c r="B272" s="155"/>
      <c r="C272" s="155"/>
      <c r="D272" s="157" t="s">
        <v>453</v>
      </c>
      <c r="E272" s="157" t="s">
        <v>463</v>
      </c>
      <c r="F272" s="157" t="s">
        <v>464</v>
      </c>
      <c r="G272" s="158"/>
      <c r="H272" s="5" t="s">
        <v>465</v>
      </c>
      <c r="I272" s="22"/>
      <c r="J272" s="9"/>
      <c r="K272" s="9"/>
      <c r="L272" s="11" t="b">
        <v>0</v>
      </c>
      <c r="M272" s="11" t="b">
        <v>0</v>
      </c>
      <c r="N272" s="7"/>
      <c r="O272" s="7"/>
      <c r="P272" s="8">
        <f t="shared" si="41"/>
        <v>0</v>
      </c>
      <c r="Q272" s="7"/>
      <c r="R272" s="9"/>
      <c r="S272" s="7"/>
      <c r="T272" s="7"/>
      <c r="U272" s="8">
        <f t="shared" si="42"/>
        <v>0</v>
      </c>
      <c r="V272" s="9"/>
      <c r="W272" s="9"/>
      <c r="X272" s="18"/>
      <c r="Y272" s="18"/>
      <c r="Z272" s="19"/>
      <c r="AA272" s="18"/>
      <c r="AB272" s="19"/>
      <c r="AC272" s="19"/>
      <c r="AD272" s="19"/>
      <c r="AE272" s="9"/>
      <c r="AF272" s="9"/>
      <c r="AG272" s="26"/>
      <c r="AH272" s="26"/>
      <c r="AI272" s="151"/>
    </row>
    <row r="273" spans="1:35" ht="15">
      <c r="A273" s="155"/>
      <c r="B273" s="155"/>
      <c r="C273" s="155"/>
      <c r="D273" s="155"/>
      <c r="E273" s="155"/>
      <c r="F273" s="155"/>
      <c r="G273" s="155"/>
      <c r="H273" s="5" t="s">
        <v>58</v>
      </c>
      <c r="I273" s="22"/>
      <c r="J273" s="9"/>
      <c r="K273" s="9"/>
      <c r="L273" s="11" t="b">
        <v>0</v>
      </c>
      <c r="M273" s="11" t="b">
        <v>0</v>
      </c>
      <c r="N273" s="7"/>
      <c r="O273" s="7"/>
      <c r="P273" s="8">
        <f t="shared" si="41"/>
        <v>0</v>
      </c>
      <c r="Q273" s="7"/>
      <c r="R273" s="9"/>
      <c r="S273" s="7"/>
      <c r="T273" s="7"/>
      <c r="U273" s="8">
        <f t="shared" si="42"/>
        <v>0</v>
      </c>
      <c r="V273" s="9"/>
      <c r="W273" s="9"/>
      <c r="X273" s="18"/>
      <c r="Y273" s="18"/>
      <c r="Z273" s="19"/>
      <c r="AA273" s="18"/>
      <c r="AB273" s="19"/>
      <c r="AC273" s="19"/>
      <c r="AD273" s="19"/>
      <c r="AE273" s="9"/>
      <c r="AF273" s="9"/>
      <c r="AG273" s="26"/>
      <c r="AH273" s="26"/>
      <c r="AI273" s="151"/>
    </row>
    <row r="274" spans="1:35" ht="12.75">
      <c r="A274" s="123"/>
      <c r="B274" s="123"/>
      <c r="C274" s="123"/>
      <c r="D274" s="124"/>
      <c r="E274" s="124"/>
      <c r="F274" s="124"/>
      <c r="G274" s="125"/>
      <c r="H274" s="124"/>
      <c r="I274" s="126"/>
      <c r="J274" s="125"/>
      <c r="K274" s="125"/>
      <c r="L274" s="125"/>
      <c r="M274" s="125"/>
      <c r="N274" s="127"/>
      <c r="O274" s="127"/>
      <c r="P274" s="128"/>
      <c r="Q274" s="127"/>
      <c r="R274" s="125"/>
      <c r="S274" s="127"/>
      <c r="T274" s="127"/>
      <c r="U274" s="128"/>
      <c r="V274" s="125"/>
      <c r="W274" s="125"/>
      <c r="X274" s="125"/>
      <c r="Y274" s="125"/>
      <c r="Z274" s="124"/>
      <c r="AA274" s="125"/>
      <c r="AB274" s="124"/>
      <c r="AC274" s="124"/>
      <c r="AD274" s="124"/>
      <c r="AE274" s="125"/>
      <c r="AF274" s="125"/>
      <c r="AG274" s="125"/>
      <c r="AH274" s="125"/>
      <c r="AI274" s="125"/>
    </row>
    <row r="275" spans="1:35" ht="12.75">
      <c r="A275" s="162" t="s">
        <v>259</v>
      </c>
      <c r="B275" s="162" t="s">
        <v>178</v>
      </c>
      <c r="C275" s="162" t="s">
        <v>260</v>
      </c>
      <c r="D275" s="162" t="s">
        <v>453</v>
      </c>
      <c r="E275" s="160" t="s">
        <v>47</v>
      </c>
      <c r="F275" s="162" t="s">
        <v>454</v>
      </c>
      <c r="G275" s="164"/>
      <c r="H275" s="77" t="s">
        <v>49</v>
      </c>
      <c r="I275" s="108"/>
      <c r="J275" s="78"/>
      <c r="K275" s="78"/>
      <c r="L275" s="79" t="b">
        <v>0</v>
      </c>
      <c r="M275" s="79" t="b">
        <v>0</v>
      </c>
      <c r="N275" s="81"/>
      <c r="O275" s="81"/>
      <c r="P275" s="80">
        <f t="shared" ref="P275:P286" si="43">N275+O275</f>
        <v>0</v>
      </c>
      <c r="Q275" s="81"/>
      <c r="R275" s="78"/>
      <c r="S275" s="81"/>
      <c r="T275" s="81"/>
      <c r="U275" s="80">
        <f t="shared" ref="U275:U286" si="44">S275+T275</f>
        <v>0</v>
      </c>
      <c r="V275" s="78"/>
      <c r="W275" s="78"/>
      <c r="X275" s="78"/>
      <c r="Y275" s="78"/>
      <c r="Z275" s="77"/>
      <c r="AA275" s="78"/>
      <c r="AB275" s="77"/>
      <c r="AC275" s="77"/>
      <c r="AD275" s="77"/>
      <c r="AE275" s="78"/>
      <c r="AF275" s="78"/>
      <c r="AG275" s="109"/>
      <c r="AH275" s="109"/>
      <c r="AI275" s="78"/>
    </row>
    <row r="276" spans="1:35" ht="12.75">
      <c r="A276" s="155"/>
      <c r="B276" s="155"/>
      <c r="C276" s="155"/>
      <c r="D276" s="155"/>
      <c r="E276" s="155"/>
      <c r="F276" s="155"/>
      <c r="G276" s="155"/>
      <c r="H276" s="85" t="s">
        <v>58</v>
      </c>
      <c r="I276" s="112"/>
      <c r="J276" s="84"/>
      <c r="K276" s="84"/>
      <c r="L276" s="86" t="b">
        <v>0</v>
      </c>
      <c r="M276" s="86" t="b">
        <v>0</v>
      </c>
      <c r="N276" s="83"/>
      <c r="O276" s="83"/>
      <c r="P276" s="87">
        <f t="shared" si="43"/>
        <v>0</v>
      </c>
      <c r="Q276" s="83"/>
      <c r="R276" s="84"/>
      <c r="S276" s="83"/>
      <c r="T276" s="83"/>
      <c r="U276" s="87">
        <f t="shared" si="44"/>
        <v>0</v>
      </c>
      <c r="V276" s="84"/>
      <c r="W276" s="84"/>
      <c r="X276" s="84"/>
      <c r="Y276" s="84"/>
      <c r="Z276" s="85"/>
      <c r="AA276" s="84"/>
      <c r="AB276" s="85"/>
      <c r="AC276" s="85"/>
      <c r="AD276" s="85"/>
      <c r="AE276" s="84"/>
      <c r="AF276" s="84"/>
      <c r="AG276" s="110"/>
      <c r="AH276" s="110"/>
      <c r="AI276" s="84"/>
    </row>
    <row r="277" spans="1:35" ht="12.75">
      <c r="A277" s="155"/>
      <c r="B277" s="155"/>
      <c r="C277" s="155"/>
      <c r="D277" s="157" t="s">
        <v>453</v>
      </c>
      <c r="E277" s="157" t="s">
        <v>59</v>
      </c>
      <c r="F277" s="157" t="s">
        <v>454</v>
      </c>
      <c r="G277" s="158"/>
      <c r="H277" s="5" t="s">
        <v>49</v>
      </c>
      <c r="I277" s="17"/>
      <c r="J277" s="9"/>
      <c r="K277" s="9"/>
      <c r="L277" s="11" t="b">
        <v>0</v>
      </c>
      <c r="M277" s="11" t="b">
        <v>0</v>
      </c>
      <c r="N277" s="7"/>
      <c r="O277" s="7"/>
      <c r="P277" s="8">
        <f t="shared" si="43"/>
        <v>0</v>
      </c>
      <c r="Q277" s="7"/>
      <c r="R277" s="9"/>
      <c r="S277" s="7"/>
      <c r="T277" s="7"/>
      <c r="U277" s="8">
        <f t="shared" si="44"/>
        <v>0</v>
      </c>
      <c r="V277" s="9"/>
      <c r="W277" s="9"/>
      <c r="X277" s="18"/>
      <c r="Y277" s="18"/>
      <c r="Z277" s="19"/>
      <c r="AA277" s="18"/>
      <c r="AB277" s="19"/>
      <c r="AC277" s="19"/>
      <c r="AD277" s="19"/>
      <c r="AE277" s="9"/>
      <c r="AF277" s="9"/>
      <c r="AG277" s="26"/>
      <c r="AH277" s="26"/>
      <c r="AI277" s="89"/>
    </row>
    <row r="278" spans="1:35" ht="12.75">
      <c r="A278" s="155"/>
      <c r="B278" s="155"/>
      <c r="C278" s="155"/>
      <c r="D278" s="155"/>
      <c r="E278" s="155"/>
      <c r="F278" s="155"/>
      <c r="G278" s="155"/>
      <c r="H278" s="5" t="s">
        <v>58</v>
      </c>
      <c r="I278" s="22"/>
      <c r="J278" s="9"/>
      <c r="K278" s="9"/>
      <c r="L278" s="11" t="b">
        <v>0</v>
      </c>
      <c r="M278" s="11" t="b">
        <v>0</v>
      </c>
      <c r="N278" s="7"/>
      <c r="O278" s="7"/>
      <c r="P278" s="8">
        <f t="shared" si="43"/>
        <v>0</v>
      </c>
      <c r="Q278" s="7"/>
      <c r="R278" s="9"/>
      <c r="S278" s="7"/>
      <c r="T278" s="7"/>
      <c r="U278" s="8">
        <f t="shared" si="44"/>
        <v>0</v>
      </c>
      <c r="V278" s="9"/>
      <c r="W278" s="9"/>
      <c r="X278" s="18"/>
      <c r="Y278" s="18"/>
      <c r="Z278" s="19"/>
      <c r="AA278" s="18"/>
      <c r="AB278" s="19"/>
      <c r="AC278" s="19"/>
      <c r="AD278" s="19"/>
      <c r="AE278" s="9"/>
      <c r="AF278" s="9"/>
      <c r="AG278" s="26"/>
      <c r="AH278" s="26"/>
      <c r="AI278" s="9"/>
    </row>
    <row r="279" spans="1:35" ht="15">
      <c r="A279" s="155"/>
      <c r="B279" s="155"/>
      <c r="C279" s="155"/>
      <c r="D279" s="176" t="s">
        <v>455</v>
      </c>
      <c r="E279" s="176" t="s">
        <v>456</v>
      </c>
      <c r="F279" s="177" t="s">
        <v>457</v>
      </c>
      <c r="G279" s="178"/>
      <c r="H279" s="85" t="s">
        <v>458</v>
      </c>
      <c r="I279" s="147"/>
      <c r="J279" s="84"/>
      <c r="K279" s="84"/>
      <c r="L279" s="86" t="b">
        <v>0</v>
      </c>
      <c r="M279" s="86" t="b">
        <v>0</v>
      </c>
      <c r="N279" s="83"/>
      <c r="O279" s="83"/>
      <c r="P279" s="87">
        <f t="shared" si="43"/>
        <v>0</v>
      </c>
      <c r="Q279" s="83"/>
      <c r="R279" s="84"/>
      <c r="S279" s="83"/>
      <c r="T279" s="83"/>
      <c r="U279" s="87">
        <f t="shared" si="44"/>
        <v>0</v>
      </c>
      <c r="V279" s="84"/>
      <c r="W279" s="84"/>
      <c r="X279" s="133"/>
      <c r="Y279" s="133"/>
      <c r="Z279" s="121"/>
      <c r="AA279" s="133"/>
      <c r="AB279" s="121"/>
      <c r="AC279" s="121"/>
      <c r="AD279" s="121"/>
      <c r="AE279" s="84"/>
      <c r="AF279" s="84"/>
      <c r="AG279" s="122"/>
      <c r="AH279" s="122"/>
      <c r="AI279" s="84"/>
    </row>
    <row r="280" spans="1:35" ht="15">
      <c r="A280" s="155"/>
      <c r="B280" s="155"/>
      <c r="C280" s="155"/>
      <c r="D280" s="155"/>
      <c r="E280" s="155"/>
      <c r="F280" s="155"/>
      <c r="G280" s="155"/>
      <c r="H280" s="85" t="s">
        <v>58</v>
      </c>
      <c r="I280" s="147"/>
      <c r="J280" s="84"/>
      <c r="K280" s="84"/>
      <c r="L280" s="86" t="b">
        <v>0</v>
      </c>
      <c r="M280" s="86" t="b">
        <v>0</v>
      </c>
      <c r="N280" s="83"/>
      <c r="O280" s="83"/>
      <c r="P280" s="87">
        <f t="shared" si="43"/>
        <v>0</v>
      </c>
      <c r="Q280" s="83"/>
      <c r="R280" s="84"/>
      <c r="S280" s="83"/>
      <c r="T280" s="83"/>
      <c r="U280" s="87">
        <f t="shared" si="44"/>
        <v>0</v>
      </c>
      <c r="V280" s="84"/>
      <c r="W280" s="84"/>
      <c r="X280" s="133"/>
      <c r="Y280" s="133"/>
      <c r="Z280" s="121"/>
      <c r="AA280" s="133"/>
      <c r="AB280" s="121"/>
      <c r="AC280" s="121"/>
      <c r="AD280" s="121"/>
      <c r="AE280" s="84"/>
      <c r="AF280" s="84"/>
      <c r="AG280" s="122"/>
      <c r="AH280" s="122"/>
      <c r="AI280" s="148"/>
    </row>
    <row r="281" spans="1:35" ht="15">
      <c r="A281" s="155"/>
      <c r="B281" s="155"/>
      <c r="C281" s="155"/>
      <c r="D281" s="157" t="s">
        <v>455</v>
      </c>
      <c r="E281" s="175" t="s">
        <v>459</v>
      </c>
      <c r="F281" s="156" t="s">
        <v>457</v>
      </c>
      <c r="G281" s="158"/>
      <c r="H281" s="5" t="s">
        <v>458</v>
      </c>
      <c r="I281" s="150"/>
      <c r="J281" s="9"/>
      <c r="K281" s="9"/>
      <c r="L281" s="11" t="b">
        <v>0</v>
      </c>
      <c r="M281" s="11" t="b">
        <v>0</v>
      </c>
      <c r="N281" s="7"/>
      <c r="O281" s="7"/>
      <c r="P281" s="8">
        <f t="shared" si="43"/>
        <v>0</v>
      </c>
      <c r="Q281" s="7"/>
      <c r="R281" s="9"/>
      <c r="S281" s="7"/>
      <c r="T281" s="7"/>
      <c r="U281" s="8">
        <f t="shared" si="44"/>
        <v>0</v>
      </c>
      <c r="V281" s="9"/>
      <c r="W281" s="9"/>
      <c r="X281" s="9"/>
      <c r="Y281" s="9"/>
      <c r="Z281" s="5"/>
      <c r="AA281" s="9"/>
      <c r="AB281" s="5"/>
      <c r="AC281" s="5"/>
      <c r="AD281" s="5"/>
      <c r="AE281" s="9"/>
      <c r="AF281" s="9"/>
      <c r="AG281" s="26"/>
      <c r="AH281" s="26"/>
      <c r="AI281" s="151"/>
    </row>
    <row r="282" spans="1:35" ht="12.75">
      <c r="A282" s="155"/>
      <c r="B282" s="155"/>
      <c r="C282" s="155"/>
      <c r="D282" s="155"/>
      <c r="E282" s="155"/>
      <c r="F282" s="155"/>
      <c r="G282" s="155"/>
      <c r="H282" s="5" t="s">
        <v>58</v>
      </c>
      <c r="I282" s="152"/>
      <c r="J282" s="9"/>
      <c r="K282" s="9"/>
      <c r="L282" s="11" t="b">
        <v>0</v>
      </c>
      <c r="M282" s="11" t="b">
        <v>0</v>
      </c>
      <c r="N282" s="7"/>
      <c r="O282" s="7"/>
      <c r="P282" s="8">
        <f t="shared" si="43"/>
        <v>0</v>
      </c>
      <c r="Q282" s="7"/>
      <c r="R282" s="9"/>
      <c r="S282" s="7"/>
      <c r="T282" s="7"/>
      <c r="U282" s="8">
        <f t="shared" si="44"/>
        <v>0</v>
      </c>
      <c r="V282" s="9"/>
      <c r="W282" s="9"/>
      <c r="X282" s="9"/>
      <c r="Y282" s="9"/>
      <c r="Z282" s="5"/>
      <c r="AA282" s="9"/>
      <c r="AB282" s="5"/>
      <c r="AC282" s="5"/>
      <c r="AD282" s="5"/>
      <c r="AE282" s="9"/>
      <c r="AF282" s="9"/>
      <c r="AG282" s="26"/>
      <c r="AH282" s="26"/>
      <c r="AI282" s="26"/>
    </row>
    <row r="283" spans="1:35" ht="15">
      <c r="A283" s="155"/>
      <c r="B283" s="155"/>
      <c r="C283" s="155"/>
      <c r="D283" s="176" t="s">
        <v>460</v>
      </c>
      <c r="E283" s="177" t="s">
        <v>461</v>
      </c>
      <c r="F283" s="176" t="s">
        <v>462</v>
      </c>
      <c r="G283" s="178"/>
      <c r="H283" s="85" t="s">
        <v>49</v>
      </c>
      <c r="I283" s="135"/>
      <c r="J283" s="84"/>
      <c r="K283" s="84"/>
      <c r="L283" s="86" t="b">
        <v>0</v>
      </c>
      <c r="M283" s="86" t="b">
        <v>0</v>
      </c>
      <c r="N283" s="83"/>
      <c r="O283" s="83"/>
      <c r="P283" s="87">
        <f t="shared" si="43"/>
        <v>0</v>
      </c>
      <c r="Q283" s="83"/>
      <c r="R283" s="84"/>
      <c r="S283" s="83"/>
      <c r="T283" s="83"/>
      <c r="U283" s="87">
        <f t="shared" si="44"/>
        <v>0</v>
      </c>
      <c r="V283" s="84"/>
      <c r="W283" s="84"/>
      <c r="X283" s="84"/>
      <c r="Y283" s="84"/>
      <c r="Z283" s="85"/>
      <c r="AA283" s="84"/>
      <c r="AB283" s="85"/>
      <c r="AC283" s="85"/>
      <c r="AD283" s="85"/>
      <c r="AE283" s="84"/>
      <c r="AF283" s="84"/>
      <c r="AG283" s="122"/>
      <c r="AH283" s="122"/>
      <c r="AI283" s="153"/>
    </row>
    <row r="284" spans="1:35" ht="15">
      <c r="A284" s="155"/>
      <c r="B284" s="155"/>
      <c r="C284" s="155"/>
      <c r="D284" s="155"/>
      <c r="E284" s="155"/>
      <c r="F284" s="155"/>
      <c r="G284" s="155"/>
      <c r="H284" s="85" t="s">
        <v>58</v>
      </c>
      <c r="I284" s="135"/>
      <c r="J284" s="84"/>
      <c r="K284" s="84"/>
      <c r="L284" s="86" t="b">
        <v>0</v>
      </c>
      <c r="M284" s="86" t="b">
        <v>0</v>
      </c>
      <c r="N284" s="83"/>
      <c r="O284" s="83"/>
      <c r="P284" s="87">
        <f t="shared" si="43"/>
        <v>0</v>
      </c>
      <c r="Q284" s="83"/>
      <c r="R284" s="84"/>
      <c r="S284" s="83"/>
      <c r="T284" s="83"/>
      <c r="U284" s="87">
        <f t="shared" si="44"/>
        <v>0</v>
      </c>
      <c r="V284" s="84"/>
      <c r="W284" s="84"/>
      <c r="X284" s="133"/>
      <c r="Y284" s="133"/>
      <c r="Z284" s="121"/>
      <c r="AA284" s="133"/>
      <c r="AB284" s="121"/>
      <c r="AC284" s="121"/>
      <c r="AD284" s="121"/>
      <c r="AE284" s="84"/>
      <c r="AF284" s="84"/>
      <c r="AG284" s="122"/>
      <c r="AH284" s="122"/>
      <c r="AI284" s="153"/>
    </row>
    <row r="285" spans="1:35" ht="15">
      <c r="A285" s="155"/>
      <c r="B285" s="155"/>
      <c r="C285" s="155"/>
      <c r="D285" s="157" t="s">
        <v>453</v>
      </c>
      <c r="E285" s="157" t="s">
        <v>463</v>
      </c>
      <c r="F285" s="157" t="s">
        <v>464</v>
      </c>
      <c r="G285" s="158"/>
      <c r="H285" s="5" t="s">
        <v>465</v>
      </c>
      <c r="I285" s="22"/>
      <c r="J285" s="9"/>
      <c r="K285" s="9"/>
      <c r="L285" s="11" t="b">
        <v>0</v>
      </c>
      <c r="M285" s="11" t="b">
        <v>0</v>
      </c>
      <c r="N285" s="7"/>
      <c r="O285" s="7"/>
      <c r="P285" s="8">
        <f t="shared" si="43"/>
        <v>0</v>
      </c>
      <c r="Q285" s="7"/>
      <c r="R285" s="9"/>
      <c r="S285" s="7"/>
      <c r="T285" s="7"/>
      <c r="U285" s="8">
        <f t="shared" si="44"/>
        <v>0</v>
      </c>
      <c r="V285" s="9"/>
      <c r="W285" s="9"/>
      <c r="X285" s="18"/>
      <c r="Y285" s="18"/>
      <c r="Z285" s="19"/>
      <c r="AA285" s="18"/>
      <c r="AB285" s="19"/>
      <c r="AC285" s="19"/>
      <c r="AD285" s="19"/>
      <c r="AE285" s="9"/>
      <c r="AF285" s="9"/>
      <c r="AG285" s="26"/>
      <c r="AH285" s="26"/>
      <c r="AI285" s="151"/>
    </row>
    <row r="286" spans="1:35" ht="15">
      <c r="A286" s="155"/>
      <c r="B286" s="155"/>
      <c r="C286" s="155"/>
      <c r="D286" s="155"/>
      <c r="E286" s="155"/>
      <c r="F286" s="155"/>
      <c r="G286" s="155"/>
      <c r="H286" s="5" t="s">
        <v>58</v>
      </c>
      <c r="I286" s="22"/>
      <c r="J286" s="9"/>
      <c r="K286" s="9"/>
      <c r="L286" s="11" t="b">
        <v>0</v>
      </c>
      <c r="M286" s="11" t="b">
        <v>0</v>
      </c>
      <c r="N286" s="7"/>
      <c r="O286" s="7"/>
      <c r="P286" s="8">
        <f t="shared" si="43"/>
        <v>0</v>
      </c>
      <c r="Q286" s="7"/>
      <c r="R286" s="9"/>
      <c r="S286" s="7"/>
      <c r="T286" s="7"/>
      <c r="U286" s="8">
        <f t="shared" si="44"/>
        <v>0</v>
      </c>
      <c r="V286" s="9"/>
      <c r="W286" s="9"/>
      <c r="X286" s="18"/>
      <c r="Y286" s="18"/>
      <c r="Z286" s="19"/>
      <c r="AA286" s="18"/>
      <c r="AB286" s="19"/>
      <c r="AC286" s="19"/>
      <c r="AD286" s="19"/>
      <c r="AE286" s="9"/>
      <c r="AF286" s="9"/>
      <c r="AG286" s="26"/>
      <c r="AH286" s="26"/>
      <c r="AI286" s="151"/>
    </row>
    <row r="287" spans="1:35" ht="12.75">
      <c r="A287" s="114"/>
      <c r="B287" s="114"/>
      <c r="C287" s="114"/>
      <c r="D287" s="115"/>
      <c r="E287" s="115"/>
      <c r="F287" s="115"/>
      <c r="G287" s="116"/>
      <c r="H287" s="115"/>
      <c r="I287" s="117"/>
      <c r="J287" s="116"/>
      <c r="K287" s="116"/>
      <c r="L287" s="116"/>
      <c r="M287" s="116"/>
      <c r="N287" s="118"/>
      <c r="O287" s="118"/>
      <c r="P287" s="119"/>
      <c r="Q287" s="118"/>
      <c r="R287" s="116"/>
      <c r="S287" s="118"/>
      <c r="T287" s="118"/>
      <c r="U287" s="119"/>
      <c r="V287" s="116"/>
      <c r="W287" s="116"/>
      <c r="X287" s="116"/>
      <c r="Y287" s="116"/>
      <c r="Z287" s="115"/>
      <c r="AA287" s="116"/>
      <c r="AB287" s="115"/>
      <c r="AC287" s="115"/>
      <c r="AD287" s="115"/>
      <c r="AE287" s="116"/>
      <c r="AF287" s="116"/>
      <c r="AG287" s="116"/>
      <c r="AH287" s="116"/>
      <c r="AI287" s="116"/>
    </row>
    <row r="288" spans="1:35" ht="12.75">
      <c r="A288" s="162" t="s">
        <v>270</v>
      </c>
      <c r="B288" s="162" t="s">
        <v>178</v>
      </c>
      <c r="C288" s="162" t="s">
        <v>271</v>
      </c>
      <c r="D288" s="162" t="s">
        <v>453</v>
      </c>
      <c r="E288" s="160" t="s">
        <v>47</v>
      </c>
      <c r="F288" s="162" t="s">
        <v>454</v>
      </c>
      <c r="G288" s="164"/>
      <c r="H288" s="77" t="s">
        <v>49</v>
      </c>
      <c r="I288" s="108"/>
      <c r="J288" s="78"/>
      <c r="K288" s="78"/>
      <c r="L288" s="79" t="b">
        <v>0</v>
      </c>
      <c r="M288" s="79" t="b">
        <v>0</v>
      </c>
      <c r="N288" s="81"/>
      <c r="O288" s="81"/>
      <c r="P288" s="80">
        <f t="shared" ref="P288:P299" si="45">N288+O288</f>
        <v>0</v>
      </c>
      <c r="Q288" s="81"/>
      <c r="R288" s="78"/>
      <c r="S288" s="81"/>
      <c r="T288" s="81"/>
      <c r="U288" s="80">
        <f t="shared" ref="U288:U299" si="46">S288+T288</f>
        <v>0</v>
      </c>
      <c r="V288" s="78"/>
      <c r="W288" s="78"/>
      <c r="X288" s="78"/>
      <c r="Y288" s="78"/>
      <c r="Z288" s="77"/>
      <c r="AA288" s="78"/>
      <c r="AB288" s="77"/>
      <c r="AC288" s="77"/>
      <c r="AD288" s="77"/>
      <c r="AE288" s="78"/>
      <c r="AF288" s="78"/>
      <c r="AG288" s="109"/>
      <c r="AH288" s="109"/>
      <c r="AI288" s="78"/>
    </row>
    <row r="289" spans="1:35" ht="12.75">
      <c r="A289" s="155"/>
      <c r="B289" s="155"/>
      <c r="C289" s="155"/>
      <c r="D289" s="155"/>
      <c r="E289" s="155"/>
      <c r="F289" s="155"/>
      <c r="G289" s="155"/>
      <c r="H289" s="85" t="s">
        <v>58</v>
      </c>
      <c r="I289" s="112"/>
      <c r="J289" s="84"/>
      <c r="K289" s="84"/>
      <c r="L289" s="86" t="b">
        <v>0</v>
      </c>
      <c r="M289" s="86" t="b">
        <v>0</v>
      </c>
      <c r="N289" s="83"/>
      <c r="O289" s="83"/>
      <c r="P289" s="87">
        <f t="shared" si="45"/>
        <v>0</v>
      </c>
      <c r="Q289" s="83"/>
      <c r="R289" s="84"/>
      <c r="S289" s="83"/>
      <c r="T289" s="83"/>
      <c r="U289" s="87">
        <f t="shared" si="46"/>
        <v>0</v>
      </c>
      <c r="V289" s="84"/>
      <c r="W289" s="84"/>
      <c r="X289" s="84"/>
      <c r="Y289" s="84"/>
      <c r="Z289" s="85"/>
      <c r="AA289" s="84"/>
      <c r="AB289" s="85"/>
      <c r="AC289" s="85"/>
      <c r="AD289" s="85"/>
      <c r="AE289" s="84"/>
      <c r="AF289" s="84"/>
      <c r="AG289" s="110"/>
      <c r="AH289" s="110"/>
      <c r="AI289" s="84"/>
    </row>
    <row r="290" spans="1:35" ht="12.75">
      <c r="A290" s="155"/>
      <c r="B290" s="155"/>
      <c r="C290" s="155"/>
      <c r="D290" s="157" t="s">
        <v>453</v>
      </c>
      <c r="E290" s="157" t="s">
        <v>59</v>
      </c>
      <c r="F290" s="157" t="s">
        <v>454</v>
      </c>
      <c r="G290" s="158"/>
      <c r="H290" s="5" t="s">
        <v>49</v>
      </c>
      <c r="I290" s="17"/>
      <c r="J290" s="9"/>
      <c r="K290" s="9"/>
      <c r="L290" s="11" t="b">
        <v>0</v>
      </c>
      <c r="M290" s="11" t="b">
        <v>0</v>
      </c>
      <c r="N290" s="7"/>
      <c r="O290" s="7"/>
      <c r="P290" s="8">
        <f t="shared" si="45"/>
        <v>0</v>
      </c>
      <c r="Q290" s="7"/>
      <c r="R290" s="9"/>
      <c r="S290" s="7"/>
      <c r="T290" s="7"/>
      <c r="U290" s="8">
        <f t="shared" si="46"/>
        <v>0</v>
      </c>
      <c r="V290" s="9"/>
      <c r="W290" s="9"/>
      <c r="X290" s="18"/>
      <c r="Y290" s="18"/>
      <c r="Z290" s="19"/>
      <c r="AA290" s="18"/>
      <c r="AB290" s="19"/>
      <c r="AC290" s="19"/>
      <c r="AD290" s="19"/>
      <c r="AE290" s="9"/>
      <c r="AF290" s="9"/>
      <c r="AG290" s="26"/>
      <c r="AH290" s="26"/>
      <c r="AI290" s="89"/>
    </row>
    <row r="291" spans="1:35" ht="12.75">
      <c r="A291" s="155"/>
      <c r="B291" s="155"/>
      <c r="C291" s="155"/>
      <c r="D291" s="155"/>
      <c r="E291" s="155"/>
      <c r="F291" s="155"/>
      <c r="G291" s="155"/>
      <c r="H291" s="5" t="s">
        <v>58</v>
      </c>
      <c r="I291" s="22"/>
      <c r="J291" s="9"/>
      <c r="K291" s="9"/>
      <c r="L291" s="11" t="b">
        <v>0</v>
      </c>
      <c r="M291" s="11" t="b">
        <v>0</v>
      </c>
      <c r="N291" s="7"/>
      <c r="O291" s="7"/>
      <c r="P291" s="8">
        <f t="shared" si="45"/>
        <v>0</v>
      </c>
      <c r="Q291" s="7"/>
      <c r="R291" s="9"/>
      <c r="S291" s="7"/>
      <c r="T291" s="7"/>
      <c r="U291" s="8">
        <f t="shared" si="46"/>
        <v>0</v>
      </c>
      <c r="V291" s="9"/>
      <c r="W291" s="9"/>
      <c r="X291" s="18"/>
      <c r="Y291" s="18"/>
      <c r="Z291" s="19"/>
      <c r="AA291" s="18"/>
      <c r="AB291" s="19"/>
      <c r="AC291" s="19"/>
      <c r="AD291" s="19"/>
      <c r="AE291" s="9"/>
      <c r="AF291" s="9"/>
      <c r="AG291" s="26"/>
      <c r="AH291" s="26"/>
      <c r="AI291" s="9"/>
    </row>
    <row r="292" spans="1:35" ht="15">
      <c r="A292" s="155"/>
      <c r="B292" s="155"/>
      <c r="C292" s="155"/>
      <c r="D292" s="176" t="s">
        <v>455</v>
      </c>
      <c r="E292" s="176" t="s">
        <v>456</v>
      </c>
      <c r="F292" s="177" t="s">
        <v>457</v>
      </c>
      <c r="G292" s="178"/>
      <c r="H292" s="85" t="s">
        <v>458</v>
      </c>
      <c r="I292" s="147"/>
      <c r="J292" s="84"/>
      <c r="K292" s="84"/>
      <c r="L292" s="86" t="b">
        <v>0</v>
      </c>
      <c r="M292" s="86" t="b">
        <v>0</v>
      </c>
      <c r="N292" s="83"/>
      <c r="O292" s="83"/>
      <c r="P292" s="87">
        <f t="shared" si="45"/>
        <v>0</v>
      </c>
      <c r="Q292" s="83"/>
      <c r="R292" s="84"/>
      <c r="S292" s="83"/>
      <c r="T292" s="83"/>
      <c r="U292" s="87">
        <f t="shared" si="46"/>
        <v>0</v>
      </c>
      <c r="V292" s="84"/>
      <c r="W292" s="84"/>
      <c r="X292" s="133"/>
      <c r="Y292" s="133"/>
      <c r="Z292" s="121"/>
      <c r="AA292" s="133"/>
      <c r="AB292" s="121"/>
      <c r="AC292" s="121"/>
      <c r="AD292" s="121"/>
      <c r="AE292" s="84"/>
      <c r="AF292" s="84"/>
      <c r="AG292" s="122"/>
      <c r="AH292" s="122"/>
      <c r="AI292" s="84"/>
    </row>
    <row r="293" spans="1:35" ht="15">
      <c r="A293" s="155"/>
      <c r="B293" s="155"/>
      <c r="C293" s="155"/>
      <c r="D293" s="155"/>
      <c r="E293" s="155"/>
      <c r="F293" s="155"/>
      <c r="G293" s="155"/>
      <c r="H293" s="85" t="s">
        <v>58</v>
      </c>
      <c r="I293" s="147"/>
      <c r="J293" s="84"/>
      <c r="K293" s="84"/>
      <c r="L293" s="86" t="b">
        <v>0</v>
      </c>
      <c r="M293" s="86" t="b">
        <v>0</v>
      </c>
      <c r="N293" s="83"/>
      <c r="O293" s="83"/>
      <c r="P293" s="87">
        <f t="shared" si="45"/>
        <v>0</v>
      </c>
      <c r="Q293" s="83"/>
      <c r="R293" s="84"/>
      <c r="S293" s="83"/>
      <c r="T293" s="83"/>
      <c r="U293" s="87">
        <f t="shared" si="46"/>
        <v>0</v>
      </c>
      <c r="V293" s="84"/>
      <c r="W293" s="84"/>
      <c r="X293" s="133"/>
      <c r="Y293" s="133"/>
      <c r="Z293" s="121"/>
      <c r="AA293" s="133"/>
      <c r="AB293" s="121"/>
      <c r="AC293" s="121"/>
      <c r="AD293" s="121"/>
      <c r="AE293" s="84"/>
      <c r="AF293" s="84"/>
      <c r="AG293" s="122"/>
      <c r="AH293" s="122"/>
      <c r="AI293" s="148"/>
    </row>
    <row r="294" spans="1:35" ht="15">
      <c r="A294" s="155"/>
      <c r="B294" s="155"/>
      <c r="C294" s="155"/>
      <c r="D294" s="157" t="s">
        <v>455</v>
      </c>
      <c r="E294" s="175" t="s">
        <v>459</v>
      </c>
      <c r="F294" s="156" t="s">
        <v>457</v>
      </c>
      <c r="G294" s="158"/>
      <c r="H294" s="5" t="s">
        <v>458</v>
      </c>
      <c r="I294" s="150"/>
      <c r="J294" s="9"/>
      <c r="K294" s="9"/>
      <c r="L294" s="11" t="b">
        <v>0</v>
      </c>
      <c r="M294" s="11" t="b">
        <v>0</v>
      </c>
      <c r="N294" s="7"/>
      <c r="O294" s="7"/>
      <c r="P294" s="8">
        <f t="shared" si="45"/>
        <v>0</v>
      </c>
      <c r="Q294" s="7"/>
      <c r="R294" s="9"/>
      <c r="S294" s="7"/>
      <c r="T294" s="7"/>
      <c r="U294" s="8">
        <f t="shared" si="46"/>
        <v>0</v>
      </c>
      <c r="V294" s="9"/>
      <c r="W294" s="9"/>
      <c r="X294" s="9"/>
      <c r="Y294" s="9"/>
      <c r="Z294" s="5"/>
      <c r="AA294" s="9"/>
      <c r="AB294" s="5"/>
      <c r="AC294" s="5"/>
      <c r="AD294" s="5"/>
      <c r="AE294" s="9"/>
      <c r="AF294" s="9"/>
      <c r="AG294" s="26"/>
      <c r="AH294" s="26"/>
      <c r="AI294" s="151"/>
    </row>
    <row r="295" spans="1:35" ht="12.75">
      <c r="A295" s="155"/>
      <c r="B295" s="155"/>
      <c r="C295" s="155"/>
      <c r="D295" s="155"/>
      <c r="E295" s="155"/>
      <c r="F295" s="155"/>
      <c r="G295" s="155"/>
      <c r="H295" s="5" t="s">
        <v>58</v>
      </c>
      <c r="I295" s="152"/>
      <c r="J295" s="9"/>
      <c r="K295" s="9"/>
      <c r="L295" s="11" t="b">
        <v>0</v>
      </c>
      <c r="M295" s="11" t="b">
        <v>0</v>
      </c>
      <c r="N295" s="7"/>
      <c r="O295" s="7"/>
      <c r="P295" s="8">
        <f t="shared" si="45"/>
        <v>0</v>
      </c>
      <c r="Q295" s="7"/>
      <c r="R295" s="9"/>
      <c r="S295" s="7"/>
      <c r="T295" s="7"/>
      <c r="U295" s="8">
        <f t="shared" si="46"/>
        <v>0</v>
      </c>
      <c r="V295" s="9"/>
      <c r="W295" s="9"/>
      <c r="X295" s="9"/>
      <c r="Y295" s="9"/>
      <c r="Z295" s="5"/>
      <c r="AA295" s="9"/>
      <c r="AB295" s="5"/>
      <c r="AC295" s="5"/>
      <c r="AD295" s="5"/>
      <c r="AE295" s="9"/>
      <c r="AF295" s="9"/>
      <c r="AG295" s="26"/>
      <c r="AH295" s="26"/>
      <c r="AI295" s="26"/>
    </row>
    <row r="296" spans="1:35" ht="15">
      <c r="A296" s="155"/>
      <c r="B296" s="155"/>
      <c r="C296" s="155"/>
      <c r="D296" s="176" t="s">
        <v>460</v>
      </c>
      <c r="E296" s="177" t="s">
        <v>461</v>
      </c>
      <c r="F296" s="176" t="s">
        <v>462</v>
      </c>
      <c r="G296" s="178"/>
      <c r="H296" s="85" t="s">
        <v>49</v>
      </c>
      <c r="I296" s="135"/>
      <c r="J296" s="84"/>
      <c r="K296" s="84"/>
      <c r="L296" s="86" t="b">
        <v>0</v>
      </c>
      <c r="M296" s="86" t="b">
        <v>0</v>
      </c>
      <c r="N296" s="83"/>
      <c r="O296" s="83"/>
      <c r="P296" s="87">
        <f t="shared" si="45"/>
        <v>0</v>
      </c>
      <c r="Q296" s="83"/>
      <c r="R296" s="84"/>
      <c r="S296" s="83"/>
      <c r="T296" s="83"/>
      <c r="U296" s="87">
        <f t="shared" si="46"/>
        <v>0</v>
      </c>
      <c r="V296" s="84"/>
      <c r="W296" s="84"/>
      <c r="X296" s="84"/>
      <c r="Y296" s="84"/>
      <c r="Z296" s="85"/>
      <c r="AA296" s="84"/>
      <c r="AB296" s="85"/>
      <c r="AC296" s="85"/>
      <c r="AD296" s="85"/>
      <c r="AE296" s="84"/>
      <c r="AF296" s="84"/>
      <c r="AG296" s="122"/>
      <c r="AH296" s="122"/>
      <c r="AI296" s="153"/>
    </row>
    <row r="297" spans="1:35" ht="15">
      <c r="A297" s="155"/>
      <c r="B297" s="155"/>
      <c r="C297" s="155"/>
      <c r="D297" s="155"/>
      <c r="E297" s="155"/>
      <c r="F297" s="155"/>
      <c r="G297" s="155"/>
      <c r="H297" s="85" t="s">
        <v>58</v>
      </c>
      <c r="I297" s="135"/>
      <c r="J297" s="84"/>
      <c r="K297" s="84"/>
      <c r="L297" s="86" t="b">
        <v>0</v>
      </c>
      <c r="M297" s="86" t="b">
        <v>0</v>
      </c>
      <c r="N297" s="83"/>
      <c r="O297" s="83"/>
      <c r="P297" s="87">
        <f t="shared" si="45"/>
        <v>0</v>
      </c>
      <c r="Q297" s="83"/>
      <c r="R297" s="84"/>
      <c r="S297" s="83"/>
      <c r="T297" s="83"/>
      <c r="U297" s="87">
        <f t="shared" si="46"/>
        <v>0</v>
      </c>
      <c r="V297" s="84"/>
      <c r="W297" s="84"/>
      <c r="X297" s="133"/>
      <c r="Y297" s="133"/>
      <c r="Z297" s="121"/>
      <c r="AA297" s="133"/>
      <c r="AB297" s="121"/>
      <c r="AC297" s="121"/>
      <c r="AD297" s="121"/>
      <c r="AE297" s="84"/>
      <c r="AF297" s="84"/>
      <c r="AG297" s="122"/>
      <c r="AH297" s="122"/>
      <c r="AI297" s="153"/>
    </row>
    <row r="298" spans="1:35" ht="15">
      <c r="A298" s="155"/>
      <c r="B298" s="155"/>
      <c r="C298" s="155"/>
      <c r="D298" s="157" t="s">
        <v>453</v>
      </c>
      <c r="E298" s="157" t="s">
        <v>463</v>
      </c>
      <c r="F298" s="157" t="s">
        <v>464</v>
      </c>
      <c r="G298" s="158"/>
      <c r="H298" s="5" t="s">
        <v>465</v>
      </c>
      <c r="I298" s="22"/>
      <c r="J298" s="9"/>
      <c r="K298" s="9"/>
      <c r="L298" s="11" t="b">
        <v>0</v>
      </c>
      <c r="M298" s="11" t="b">
        <v>0</v>
      </c>
      <c r="N298" s="7"/>
      <c r="O298" s="7"/>
      <c r="P298" s="8">
        <f t="shared" si="45"/>
        <v>0</v>
      </c>
      <c r="Q298" s="7"/>
      <c r="R298" s="9"/>
      <c r="S298" s="7"/>
      <c r="T298" s="7"/>
      <c r="U298" s="8">
        <f t="shared" si="46"/>
        <v>0</v>
      </c>
      <c r="V298" s="9"/>
      <c r="W298" s="9"/>
      <c r="X298" s="18"/>
      <c r="Y298" s="18"/>
      <c r="Z298" s="19"/>
      <c r="AA298" s="18"/>
      <c r="AB298" s="19"/>
      <c r="AC298" s="19"/>
      <c r="AD298" s="19"/>
      <c r="AE298" s="9"/>
      <c r="AF298" s="9"/>
      <c r="AG298" s="26"/>
      <c r="AH298" s="26"/>
      <c r="AI298" s="151"/>
    </row>
    <row r="299" spans="1:35" ht="15">
      <c r="A299" s="155"/>
      <c r="B299" s="155"/>
      <c r="C299" s="155"/>
      <c r="D299" s="155"/>
      <c r="E299" s="155"/>
      <c r="F299" s="155"/>
      <c r="G299" s="155"/>
      <c r="H299" s="5" t="s">
        <v>58</v>
      </c>
      <c r="I299" s="22"/>
      <c r="J299" s="9"/>
      <c r="K299" s="9"/>
      <c r="L299" s="11" t="b">
        <v>0</v>
      </c>
      <c r="M299" s="11" t="b">
        <v>0</v>
      </c>
      <c r="N299" s="7"/>
      <c r="O299" s="7"/>
      <c r="P299" s="8">
        <f t="shared" si="45"/>
        <v>0</v>
      </c>
      <c r="Q299" s="7"/>
      <c r="R299" s="9"/>
      <c r="S299" s="7"/>
      <c r="T299" s="7"/>
      <c r="U299" s="8">
        <f t="shared" si="46"/>
        <v>0</v>
      </c>
      <c r="V299" s="9"/>
      <c r="W299" s="9"/>
      <c r="X299" s="18"/>
      <c r="Y299" s="18"/>
      <c r="Z299" s="19"/>
      <c r="AA299" s="18"/>
      <c r="AB299" s="19"/>
      <c r="AC299" s="19"/>
      <c r="AD299" s="19"/>
      <c r="AE299" s="9"/>
      <c r="AF299" s="9"/>
      <c r="AG299" s="26"/>
      <c r="AH299" s="26"/>
      <c r="AI299" s="151"/>
    </row>
    <row r="300" spans="1:35" ht="12.75">
      <c r="A300" s="114"/>
      <c r="B300" s="114"/>
      <c r="C300" s="114"/>
      <c r="D300" s="115"/>
      <c r="E300" s="115"/>
      <c r="F300" s="115"/>
      <c r="G300" s="116"/>
      <c r="H300" s="115"/>
      <c r="I300" s="117"/>
      <c r="J300" s="116"/>
      <c r="K300" s="116"/>
      <c r="L300" s="116"/>
      <c r="M300" s="116"/>
      <c r="N300" s="118"/>
      <c r="O300" s="118"/>
      <c r="P300" s="119"/>
      <c r="Q300" s="118"/>
      <c r="R300" s="116"/>
      <c r="S300" s="118"/>
      <c r="T300" s="118"/>
      <c r="U300" s="119"/>
      <c r="V300" s="116"/>
      <c r="W300" s="116"/>
      <c r="X300" s="116"/>
      <c r="Y300" s="116"/>
      <c r="Z300" s="115"/>
      <c r="AA300" s="116"/>
      <c r="AB300" s="115"/>
      <c r="AC300" s="115"/>
      <c r="AD300" s="115"/>
      <c r="AE300" s="116"/>
      <c r="AF300" s="116"/>
      <c r="AG300" s="116"/>
      <c r="AH300" s="116"/>
      <c r="AI300" s="116"/>
    </row>
    <row r="301" spans="1:35" ht="12.75">
      <c r="A301" s="161" t="s">
        <v>468</v>
      </c>
      <c r="B301" s="161" t="s">
        <v>178</v>
      </c>
      <c r="C301" s="161" t="s">
        <v>469</v>
      </c>
      <c r="D301" s="162" t="s">
        <v>453</v>
      </c>
      <c r="E301" s="160" t="s">
        <v>47</v>
      </c>
      <c r="F301" s="162" t="s">
        <v>454</v>
      </c>
      <c r="G301" s="164"/>
      <c r="H301" s="77" t="s">
        <v>49</v>
      </c>
      <c r="I301" s="108"/>
      <c r="J301" s="78"/>
      <c r="K301" s="78"/>
      <c r="L301" s="79" t="b">
        <v>0</v>
      </c>
      <c r="M301" s="79" t="b">
        <v>0</v>
      </c>
      <c r="N301" s="81"/>
      <c r="O301" s="81"/>
      <c r="P301" s="80">
        <f t="shared" ref="P301:P312" si="47">N301+O301</f>
        <v>0</v>
      </c>
      <c r="Q301" s="81"/>
      <c r="R301" s="78"/>
      <c r="S301" s="81"/>
      <c r="T301" s="81"/>
      <c r="U301" s="80">
        <f t="shared" ref="U301:U312" si="48">S301+T301</f>
        <v>0</v>
      </c>
      <c r="V301" s="78"/>
      <c r="W301" s="78"/>
      <c r="X301" s="78"/>
      <c r="Y301" s="78"/>
      <c r="Z301" s="77"/>
      <c r="AA301" s="78"/>
      <c r="AB301" s="77"/>
      <c r="AC301" s="77"/>
      <c r="AD301" s="77"/>
      <c r="AE301" s="78"/>
      <c r="AF301" s="78"/>
      <c r="AG301" s="109"/>
      <c r="AH301" s="109"/>
      <c r="AI301" s="78"/>
    </row>
    <row r="302" spans="1:35" ht="12.75">
      <c r="A302" s="155"/>
      <c r="B302" s="155"/>
      <c r="C302" s="155"/>
      <c r="D302" s="155"/>
      <c r="E302" s="155"/>
      <c r="F302" s="155"/>
      <c r="G302" s="155"/>
      <c r="H302" s="85" t="s">
        <v>58</v>
      </c>
      <c r="I302" s="112"/>
      <c r="J302" s="84"/>
      <c r="K302" s="84"/>
      <c r="L302" s="86" t="b">
        <v>0</v>
      </c>
      <c r="M302" s="86" t="b">
        <v>0</v>
      </c>
      <c r="N302" s="83"/>
      <c r="O302" s="83"/>
      <c r="P302" s="87">
        <f t="shared" si="47"/>
        <v>0</v>
      </c>
      <c r="Q302" s="83"/>
      <c r="R302" s="84"/>
      <c r="S302" s="83"/>
      <c r="T302" s="83"/>
      <c r="U302" s="87">
        <f t="shared" si="48"/>
        <v>0</v>
      </c>
      <c r="V302" s="84"/>
      <c r="W302" s="84"/>
      <c r="X302" s="84"/>
      <c r="Y302" s="84"/>
      <c r="Z302" s="85"/>
      <c r="AA302" s="84"/>
      <c r="AB302" s="85"/>
      <c r="AC302" s="85"/>
      <c r="AD302" s="85"/>
      <c r="AE302" s="84"/>
      <c r="AF302" s="84"/>
      <c r="AG302" s="110"/>
      <c r="AH302" s="110"/>
      <c r="AI302" s="84"/>
    </row>
    <row r="303" spans="1:35" ht="12.75">
      <c r="A303" s="155"/>
      <c r="B303" s="155"/>
      <c r="C303" s="155"/>
      <c r="D303" s="157" t="s">
        <v>453</v>
      </c>
      <c r="E303" s="157" t="s">
        <v>59</v>
      </c>
      <c r="F303" s="157" t="s">
        <v>454</v>
      </c>
      <c r="G303" s="158"/>
      <c r="H303" s="5" t="s">
        <v>49</v>
      </c>
      <c r="I303" s="17"/>
      <c r="J303" s="9"/>
      <c r="K303" s="9"/>
      <c r="L303" s="11" t="b">
        <v>0</v>
      </c>
      <c r="M303" s="11" t="b">
        <v>0</v>
      </c>
      <c r="N303" s="7"/>
      <c r="O303" s="7"/>
      <c r="P303" s="8">
        <f t="shared" si="47"/>
        <v>0</v>
      </c>
      <c r="Q303" s="7"/>
      <c r="R303" s="9"/>
      <c r="S303" s="7"/>
      <c r="T303" s="7"/>
      <c r="U303" s="8">
        <f t="shared" si="48"/>
        <v>0</v>
      </c>
      <c r="V303" s="9"/>
      <c r="W303" s="9"/>
      <c r="X303" s="18"/>
      <c r="Y303" s="18"/>
      <c r="Z303" s="19"/>
      <c r="AA303" s="18"/>
      <c r="AB303" s="19"/>
      <c r="AC303" s="19"/>
      <c r="AD303" s="19"/>
      <c r="AE303" s="9"/>
      <c r="AF303" s="9"/>
      <c r="AG303" s="26"/>
      <c r="AH303" s="26"/>
      <c r="AI303" s="89"/>
    </row>
    <row r="304" spans="1:35" ht="12.75">
      <c r="A304" s="155"/>
      <c r="B304" s="155"/>
      <c r="C304" s="155"/>
      <c r="D304" s="155"/>
      <c r="E304" s="155"/>
      <c r="F304" s="155"/>
      <c r="G304" s="155"/>
      <c r="H304" s="5" t="s">
        <v>58</v>
      </c>
      <c r="I304" s="22"/>
      <c r="J304" s="9"/>
      <c r="K304" s="9"/>
      <c r="L304" s="11" t="b">
        <v>0</v>
      </c>
      <c r="M304" s="11" t="b">
        <v>0</v>
      </c>
      <c r="N304" s="7"/>
      <c r="O304" s="7"/>
      <c r="P304" s="8">
        <f t="shared" si="47"/>
        <v>0</v>
      </c>
      <c r="Q304" s="7"/>
      <c r="R304" s="9"/>
      <c r="S304" s="7"/>
      <c r="T304" s="7"/>
      <c r="U304" s="8">
        <f t="shared" si="48"/>
        <v>0</v>
      </c>
      <c r="V304" s="9"/>
      <c r="W304" s="9"/>
      <c r="X304" s="18"/>
      <c r="Y304" s="18"/>
      <c r="Z304" s="19"/>
      <c r="AA304" s="18"/>
      <c r="AB304" s="19"/>
      <c r="AC304" s="19"/>
      <c r="AD304" s="19"/>
      <c r="AE304" s="9"/>
      <c r="AF304" s="9"/>
      <c r="AG304" s="26"/>
      <c r="AH304" s="26"/>
      <c r="AI304" s="9"/>
    </row>
    <row r="305" spans="1:35" ht="15">
      <c r="A305" s="155"/>
      <c r="B305" s="155"/>
      <c r="C305" s="155"/>
      <c r="D305" s="176" t="s">
        <v>455</v>
      </c>
      <c r="E305" s="176" t="s">
        <v>456</v>
      </c>
      <c r="F305" s="177" t="s">
        <v>457</v>
      </c>
      <c r="G305" s="178"/>
      <c r="H305" s="85" t="s">
        <v>458</v>
      </c>
      <c r="I305" s="147"/>
      <c r="J305" s="84"/>
      <c r="K305" s="84"/>
      <c r="L305" s="86" t="b">
        <v>0</v>
      </c>
      <c r="M305" s="86" t="b">
        <v>0</v>
      </c>
      <c r="N305" s="83"/>
      <c r="O305" s="83"/>
      <c r="P305" s="87">
        <f t="shared" si="47"/>
        <v>0</v>
      </c>
      <c r="Q305" s="83"/>
      <c r="R305" s="84"/>
      <c r="S305" s="83"/>
      <c r="T305" s="83"/>
      <c r="U305" s="87">
        <f t="shared" si="48"/>
        <v>0</v>
      </c>
      <c r="V305" s="84"/>
      <c r="W305" s="84"/>
      <c r="X305" s="133"/>
      <c r="Y305" s="133"/>
      <c r="Z305" s="121"/>
      <c r="AA305" s="133"/>
      <c r="AB305" s="121"/>
      <c r="AC305" s="121"/>
      <c r="AD305" s="121"/>
      <c r="AE305" s="84"/>
      <c r="AF305" s="84"/>
      <c r="AG305" s="122"/>
      <c r="AH305" s="122"/>
      <c r="AI305" s="84"/>
    </row>
    <row r="306" spans="1:35" ht="15">
      <c r="A306" s="155"/>
      <c r="B306" s="155"/>
      <c r="C306" s="155"/>
      <c r="D306" s="155"/>
      <c r="E306" s="155"/>
      <c r="F306" s="155"/>
      <c r="G306" s="155"/>
      <c r="H306" s="85" t="s">
        <v>58</v>
      </c>
      <c r="I306" s="147"/>
      <c r="J306" s="84"/>
      <c r="K306" s="84"/>
      <c r="L306" s="86" t="b">
        <v>0</v>
      </c>
      <c r="M306" s="86" t="b">
        <v>0</v>
      </c>
      <c r="N306" s="83"/>
      <c r="O306" s="83"/>
      <c r="P306" s="87">
        <f t="shared" si="47"/>
        <v>0</v>
      </c>
      <c r="Q306" s="83"/>
      <c r="R306" s="84"/>
      <c r="S306" s="83"/>
      <c r="T306" s="83"/>
      <c r="U306" s="87">
        <f t="shared" si="48"/>
        <v>0</v>
      </c>
      <c r="V306" s="84"/>
      <c r="W306" s="84"/>
      <c r="X306" s="133"/>
      <c r="Y306" s="133"/>
      <c r="Z306" s="121"/>
      <c r="AA306" s="133"/>
      <c r="AB306" s="121"/>
      <c r="AC306" s="121"/>
      <c r="AD306" s="121"/>
      <c r="AE306" s="84"/>
      <c r="AF306" s="84"/>
      <c r="AG306" s="122"/>
      <c r="AH306" s="122"/>
      <c r="AI306" s="148"/>
    </row>
    <row r="307" spans="1:35" ht="15">
      <c r="A307" s="155"/>
      <c r="B307" s="155"/>
      <c r="C307" s="155"/>
      <c r="D307" s="157" t="s">
        <v>455</v>
      </c>
      <c r="E307" s="175" t="s">
        <v>459</v>
      </c>
      <c r="F307" s="156" t="s">
        <v>457</v>
      </c>
      <c r="G307" s="158"/>
      <c r="H307" s="5" t="s">
        <v>458</v>
      </c>
      <c r="I307" s="150"/>
      <c r="J307" s="9"/>
      <c r="K307" s="9"/>
      <c r="L307" s="11" t="b">
        <v>0</v>
      </c>
      <c r="M307" s="11" t="b">
        <v>0</v>
      </c>
      <c r="N307" s="7"/>
      <c r="O307" s="7"/>
      <c r="P307" s="8">
        <f t="shared" si="47"/>
        <v>0</v>
      </c>
      <c r="Q307" s="7"/>
      <c r="R307" s="9"/>
      <c r="S307" s="7"/>
      <c r="T307" s="7"/>
      <c r="U307" s="8">
        <f t="shared" si="48"/>
        <v>0</v>
      </c>
      <c r="V307" s="9"/>
      <c r="W307" s="9"/>
      <c r="X307" s="9"/>
      <c r="Y307" s="9"/>
      <c r="Z307" s="5"/>
      <c r="AA307" s="9"/>
      <c r="AB307" s="5"/>
      <c r="AC307" s="5"/>
      <c r="AD307" s="5"/>
      <c r="AE307" s="9"/>
      <c r="AF307" s="9"/>
      <c r="AG307" s="26"/>
      <c r="AH307" s="26"/>
      <c r="AI307" s="151"/>
    </row>
    <row r="308" spans="1:35" ht="12.75">
      <c r="A308" s="155"/>
      <c r="B308" s="155"/>
      <c r="C308" s="155"/>
      <c r="D308" s="155"/>
      <c r="E308" s="155"/>
      <c r="F308" s="155"/>
      <c r="G308" s="155"/>
      <c r="H308" s="5" t="s">
        <v>58</v>
      </c>
      <c r="I308" s="152"/>
      <c r="J308" s="9"/>
      <c r="K308" s="9"/>
      <c r="L308" s="11" t="b">
        <v>0</v>
      </c>
      <c r="M308" s="11" t="b">
        <v>0</v>
      </c>
      <c r="N308" s="7"/>
      <c r="O308" s="7"/>
      <c r="P308" s="8">
        <f t="shared" si="47"/>
        <v>0</v>
      </c>
      <c r="Q308" s="7"/>
      <c r="R308" s="9"/>
      <c r="S308" s="7"/>
      <c r="T308" s="7"/>
      <c r="U308" s="8">
        <f t="shared" si="48"/>
        <v>0</v>
      </c>
      <c r="V308" s="9"/>
      <c r="W308" s="9"/>
      <c r="X308" s="9"/>
      <c r="Y308" s="9"/>
      <c r="Z308" s="5"/>
      <c r="AA308" s="9"/>
      <c r="AB308" s="5"/>
      <c r="AC308" s="5"/>
      <c r="AD308" s="5"/>
      <c r="AE308" s="9"/>
      <c r="AF308" s="9"/>
      <c r="AG308" s="26"/>
      <c r="AH308" s="26"/>
      <c r="AI308" s="26"/>
    </row>
    <row r="309" spans="1:35" ht="15">
      <c r="A309" s="155"/>
      <c r="B309" s="155"/>
      <c r="C309" s="155"/>
      <c r="D309" s="176" t="s">
        <v>460</v>
      </c>
      <c r="E309" s="177" t="s">
        <v>461</v>
      </c>
      <c r="F309" s="176" t="s">
        <v>462</v>
      </c>
      <c r="G309" s="178"/>
      <c r="H309" s="85" t="s">
        <v>49</v>
      </c>
      <c r="I309" s="135"/>
      <c r="J309" s="84"/>
      <c r="K309" s="84"/>
      <c r="L309" s="86" t="b">
        <v>0</v>
      </c>
      <c r="M309" s="86" t="b">
        <v>0</v>
      </c>
      <c r="N309" s="83"/>
      <c r="O309" s="83"/>
      <c r="P309" s="87">
        <f t="shared" si="47"/>
        <v>0</v>
      </c>
      <c r="Q309" s="83"/>
      <c r="R309" s="84"/>
      <c r="S309" s="83"/>
      <c r="T309" s="83"/>
      <c r="U309" s="87">
        <f t="shared" si="48"/>
        <v>0</v>
      </c>
      <c r="V309" s="84"/>
      <c r="W309" s="84"/>
      <c r="X309" s="84"/>
      <c r="Y309" s="84"/>
      <c r="Z309" s="85"/>
      <c r="AA309" s="84"/>
      <c r="AB309" s="85"/>
      <c r="AC309" s="85"/>
      <c r="AD309" s="85"/>
      <c r="AE309" s="84"/>
      <c r="AF309" s="84"/>
      <c r="AG309" s="122"/>
      <c r="AH309" s="122"/>
      <c r="AI309" s="153"/>
    </row>
    <row r="310" spans="1:35" ht="15">
      <c r="A310" s="155"/>
      <c r="B310" s="155"/>
      <c r="C310" s="155"/>
      <c r="D310" s="155"/>
      <c r="E310" s="155"/>
      <c r="F310" s="155"/>
      <c r="G310" s="155"/>
      <c r="H310" s="85" t="s">
        <v>58</v>
      </c>
      <c r="I310" s="135"/>
      <c r="J310" s="84"/>
      <c r="K310" s="84"/>
      <c r="L310" s="86" t="b">
        <v>0</v>
      </c>
      <c r="M310" s="86" t="b">
        <v>0</v>
      </c>
      <c r="N310" s="83"/>
      <c r="O310" s="83"/>
      <c r="P310" s="87">
        <f t="shared" si="47"/>
        <v>0</v>
      </c>
      <c r="Q310" s="83"/>
      <c r="R310" s="84"/>
      <c r="S310" s="83"/>
      <c r="T310" s="83"/>
      <c r="U310" s="87">
        <f t="shared" si="48"/>
        <v>0</v>
      </c>
      <c r="V310" s="84"/>
      <c r="W310" s="84"/>
      <c r="X310" s="133"/>
      <c r="Y310" s="133"/>
      <c r="Z310" s="121"/>
      <c r="AA310" s="133"/>
      <c r="AB310" s="121"/>
      <c r="AC310" s="121"/>
      <c r="AD310" s="121"/>
      <c r="AE310" s="84"/>
      <c r="AF310" s="84"/>
      <c r="AG310" s="122"/>
      <c r="AH310" s="122"/>
      <c r="AI310" s="153"/>
    </row>
    <row r="311" spans="1:35" ht="15">
      <c r="A311" s="155"/>
      <c r="B311" s="155"/>
      <c r="C311" s="155"/>
      <c r="D311" s="157" t="s">
        <v>453</v>
      </c>
      <c r="E311" s="157" t="s">
        <v>463</v>
      </c>
      <c r="F311" s="157" t="s">
        <v>464</v>
      </c>
      <c r="G311" s="158"/>
      <c r="H311" s="5" t="s">
        <v>465</v>
      </c>
      <c r="I311" s="22"/>
      <c r="J311" s="9"/>
      <c r="K311" s="9"/>
      <c r="L311" s="11" t="b">
        <v>0</v>
      </c>
      <c r="M311" s="11" t="b">
        <v>0</v>
      </c>
      <c r="N311" s="7"/>
      <c r="O311" s="7"/>
      <c r="P311" s="8">
        <f t="shared" si="47"/>
        <v>0</v>
      </c>
      <c r="Q311" s="7"/>
      <c r="R311" s="9"/>
      <c r="S311" s="7"/>
      <c r="T311" s="7"/>
      <c r="U311" s="8">
        <f t="shared" si="48"/>
        <v>0</v>
      </c>
      <c r="V311" s="9"/>
      <c r="W311" s="9"/>
      <c r="X311" s="18"/>
      <c r="Y311" s="18"/>
      <c r="Z311" s="19"/>
      <c r="AA311" s="18"/>
      <c r="AB311" s="19"/>
      <c r="AC311" s="19"/>
      <c r="AD311" s="19"/>
      <c r="AE311" s="9"/>
      <c r="AF311" s="9"/>
      <c r="AG311" s="26"/>
      <c r="AH311" s="26"/>
      <c r="AI311" s="151"/>
    </row>
    <row r="312" spans="1:35" ht="15">
      <c r="A312" s="155"/>
      <c r="B312" s="155"/>
      <c r="C312" s="155"/>
      <c r="D312" s="155"/>
      <c r="E312" s="155"/>
      <c r="F312" s="155"/>
      <c r="G312" s="155"/>
      <c r="H312" s="5" t="s">
        <v>58</v>
      </c>
      <c r="I312" s="22"/>
      <c r="J312" s="9"/>
      <c r="K312" s="9"/>
      <c r="L312" s="11" t="b">
        <v>0</v>
      </c>
      <c r="M312" s="11" t="b">
        <v>0</v>
      </c>
      <c r="N312" s="7"/>
      <c r="O312" s="7"/>
      <c r="P312" s="8">
        <f t="shared" si="47"/>
        <v>0</v>
      </c>
      <c r="Q312" s="7"/>
      <c r="R312" s="9"/>
      <c r="S312" s="7"/>
      <c r="T312" s="7"/>
      <c r="U312" s="8">
        <f t="shared" si="48"/>
        <v>0</v>
      </c>
      <c r="V312" s="9"/>
      <c r="W312" s="9"/>
      <c r="X312" s="18"/>
      <c r="Y312" s="18"/>
      <c r="Z312" s="19"/>
      <c r="AA312" s="18"/>
      <c r="AB312" s="19"/>
      <c r="AC312" s="19"/>
      <c r="AD312" s="19"/>
      <c r="AE312" s="9"/>
      <c r="AF312" s="9"/>
      <c r="AG312" s="26"/>
      <c r="AH312" s="26"/>
      <c r="AI312" s="151"/>
    </row>
    <row r="313" spans="1:35" ht="12.75">
      <c r="A313" s="114"/>
      <c r="B313" s="114"/>
      <c r="C313" s="114"/>
      <c r="D313" s="115"/>
      <c r="E313" s="115"/>
      <c r="F313" s="115"/>
      <c r="G313" s="116"/>
      <c r="H313" s="115"/>
      <c r="I313" s="117"/>
      <c r="J313" s="116"/>
      <c r="K313" s="116"/>
      <c r="L313" s="116"/>
      <c r="M313" s="116"/>
      <c r="N313" s="118"/>
      <c r="O313" s="118"/>
      <c r="P313" s="119"/>
      <c r="Q313" s="118"/>
      <c r="R313" s="116"/>
      <c r="S313" s="118"/>
      <c r="T313" s="118"/>
      <c r="U313" s="119"/>
      <c r="V313" s="116"/>
      <c r="W313" s="116"/>
      <c r="X313" s="116"/>
      <c r="Y313" s="116"/>
      <c r="Z313" s="115"/>
      <c r="AA313" s="116"/>
      <c r="AB313" s="115"/>
      <c r="AC313" s="115"/>
      <c r="AD313" s="115"/>
      <c r="AE313" s="116"/>
      <c r="AF313" s="116"/>
      <c r="AG313" s="116"/>
      <c r="AH313" s="116"/>
      <c r="AI313" s="116"/>
    </row>
    <row r="314" spans="1:35" ht="12.75">
      <c r="A314" s="161" t="s">
        <v>288</v>
      </c>
      <c r="B314" s="161" t="s">
        <v>178</v>
      </c>
      <c r="C314" s="161" t="s">
        <v>288</v>
      </c>
      <c r="D314" s="162" t="s">
        <v>453</v>
      </c>
      <c r="E314" s="160" t="s">
        <v>47</v>
      </c>
      <c r="F314" s="162" t="s">
        <v>454</v>
      </c>
      <c r="G314" s="164"/>
      <c r="H314" s="77" t="s">
        <v>49</v>
      </c>
      <c r="I314" s="108"/>
      <c r="J314" s="78"/>
      <c r="K314" s="78"/>
      <c r="L314" s="79" t="b">
        <v>0</v>
      </c>
      <c r="M314" s="79" t="b">
        <v>0</v>
      </c>
      <c r="N314" s="81"/>
      <c r="O314" s="81"/>
      <c r="P314" s="80">
        <f t="shared" ref="P314:P325" si="49">N314+O314</f>
        <v>0</v>
      </c>
      <c r="Q314" s="81"/>
      <c r="R314" s="78"/>
      <c r="S314" s="81"/>
      <c r="T314" s="81"/>
      <c r="U314" s="80">
        <f t="shared" ref="U314:U325" si="50">S314+T314</f>
        <v>0</v>
      </c>
      <c r="V314" s="78"/>
      <c r="W314" s="78"/>
      <c r="X314" s="78"/>
      <c r="Y314" s="78"/>
      <c r="Z314" s="77"/>
      <c r="AA314" s="78"/>
      <c r="AB314" s="77"/>
      <c r="AC314" s="77"/>
      <c r="AD314" s="77"/>
      <c r="AE314" s="78"/>
      <c r="AF314" s="78"/>
      <c r="AG314" s="109"/>
      <c r="AH314" s="109"/>
      <c r="AI314" s="78"/>
    </row>
    <row r="315" spans="1:35" ht="12.75">
      <c r="A315" s="155"/>
      <c r="B315" s="155"/>
      <c r="C315" s="155"/>
      <c r="D315" s="155"/>
      <c r="E315" s="155"/>
      <c r="F315" s="155"/>
      <c r="G315" s="155"/>
      <c r="H315" s="85" t="s">
        <v>58</v>
      </c>
      <c r="I315" s="112"/>
      <c r="J315" s="84"/>
      <c r="K315" s="84"/>
      <c r="L315" s="86" t="b">
        <v>0</v>
      </c>
      <c r="M315" s="86" t="b">
        <v>0</v>
      </c>
      <c r="N315" s="83"/>
      <c r="O315" s="83"/>
      <c r="P315" s="87">
        <f t="shared" si="49"/>
        <v>0</v>
      </c>
      <c r="Q315" s="83"/>
      <c r="R315" s="84"/>
      <c r="S315" s="83"/>
      <c r="T315" s="83"/>
      <c r="U315" s="87">
        <f t="shared" si="50"/>
        <v>0</v>
      </c>
      <c r="V315" s="84"/>
      <c r="W315" s="84"/>
      <c r="X315" s="84"/>
      <c r="Y315" s="84"/>
      <c r="Z315" s="85"/>
      <c r="AA315" s="84"/>
      <c r="AB315" s="85"/>
      <c r="AC315" s="85"/>
      <c r="AD315" s="85"/>
      <c r="AE315" s="84"/>
      <c r="AF315" s="84"/>
      <c r="AG315" s="110"/>
      <c r="AH315" s="110"/>
      <c r="AI315" s="84"/>
    </row>
    <row r="316" spans="1:35" ht="12.75">
      <c r="A316" s="155"/>
      <c r="B316" s="155"/>
      <c r="C316" s="155"/>
      <c r="D316" s="157" t="s">
        <v>453</v>
      </c>
      <c r="E316" s="157" t="s">
        <v>59</v>
      </c>
      <c r="F316" s="157" t="s">
        <v>454</v>
      </c>
      <c r="G316" s="158"/>
      <c r="H316" s="5" t="s">
        <v>49</v>
      </c>
      <c r="I316" s="17"/>
      <c r="J316" s="9"/>
      <c r="K316" s="9"/>
      <c r="L316" s="11" t="b">
        <v>0</v>
      </c>
      <c r="M316" s="11" t="b">
        <v>0</v>
      </c>
      <c r="N316" s="7"/>
      <c r="O316" s="7"/>
      <c r="P316" s="8">
        <f t="shared" si="49"/>
        <v>0</v>
      </c>
      <c r="Q316" s="7"/>
      <c r="R316" s="9"/>
      <c r="S316" s="7"/>
      <c r="T316" s="7"/>
      <c r="U316" s="8">
        <f t="shared" si="50"/>
        <v>0</v>
      </c>
      <c r="V316" s="9"/>
      <c r="W316" s="9"/>
      <c r="X316" s="18"/>
      <c r="Y316" s="18"/>
      <c r="Z316" s="19"/>
      <c r="AA316" s="18"/>
      <c r="AB316" s="19"/>
      <c r="AC316" s="19"/>
      <c r="AD316" s="19"/>
      <c r="AE316" s="9"/>
      <c r="AF316" s="9"/>
      <c r="AG316" s="26"/>
      <c r="AH316" s="26"/>
      <c r="AI316" s="89"/>
    </row>
    <row r="317" spans="1:35" ht="12.75">
      <c r="A317" s="155"/>
      <c r="B317" s="155"/>
      <c r="C317" s="155"/>
      <c r="D317" s="155"/>
      <c r="E317" s="155"/>
      <c r="F317" s="155"/>
      <c r="G317" s="155"/>
      <c r="H317" s="5" t="s">
        <v>58</v>
      </c>
      <c r="I317" s="22"/>
      <c r="J317" s="9"/>
      <c r="K317" s="9"/>
      <c r="L317" s="11" t="b">
        <v>0</v>
      </c>
      <c r="M317" s="11" t="b">
        <v>0</v>
      </c>
      <c r="N317" s="7"/>
      <c r="O317" s="7"/>
      <c r="P317" s="8">
        <f t="shared" si="49"/>
        <v>0</v>
      </c>
      <c r="Q317" s="7"/>
      <c r="R317" s="9"/>
      <c r="S317" s="7"/>
      <c r="T317" s="7"/>
      <c r="U317" s="8">
        <f t="shared" si="50"/>
        <v>0</v>
      </c>
      <c r="V317" s="9"/>
      <c r="W317" s="9"/>
      <c r="X317" s="18"/>
      <c r="Y317" s="18"/>
      <c r="Z317" s="19"/>
      <c r="AA317" s="18"/>
      <c r="AB317" s="19"/>
      <c r="AC317" s="19"/>
      <c r="AD317" s="19"/>
      <c r="AE317" s="9"/>
      <c r="AF317" s="9"/>
      <c r="AG317" s="26"/>
      <c r="AH317" s="26"/>
      <c r="AI317" s="9"/>
    </row>
    <row r="318" spans="1:35" ht="15">
      <c r="A318" s="155"/>
      <c r="B318" s="155"/>
      <c r="C318" s="155"/>
      <c r="D318" s="176" t="s">
        <v>455</v>
      </c>
      <c r="E318" s="176" t="s">
        <v>456</v>
      </c>
      <c r="F318" s="177" t="s">
        <v>457</v>
      </c>
      <c r="G318" s="178"/>
      <c r="H318" s="85" t="s">
        <v>458</v>
      </c>
      <c r="I318" s="147"/>
      <c r="J318" s="84"/>
      <c r="K318" s="84"/>
      <c r="L318" s="86" t="b">
        <v>0</v>
      </c>
      <c r="M318" s="86" t="b">
        <v>0</v>
      </c>
      <c r="N318" s="83"/>
      <c r="O318" s="83"/>
      <c r="P318" s="87">
        <f t="shared" si="49"/>
        <v>0</v>
      </c>
      <c r="Q318" s="83"/>
      <c r="R318" s="84"/>
      <c r="S318" s="83"/>
      <c r="T318" s="83"/>
      <c r="U318" s="87">
        <f t="shared" si="50"/>
        <v>0</v>
      </c>
      <c r="V318" s="84"/>
      <c r="W318" s="84"/>
      <c r="X318" s="133"/>
      <c r="Y318" s="133"/>
      <c r="Z318" s="121"/>
      <c r="AA318" s="133"/>
      <c r="AB318" s="121"/>
      <c r="AC318" s="121"/>
      <c r="AD318" s="121"/>
      <c r="AE318" s="84"/>
      <c r="AF318" s="84"/>
      <c r="AG318" s="122"/>
      <c r="AH318" s="122"/>
      <c r="AI318" s="84"/>
    </row>
    <row r="319" spans="1:35" ht="15">
      <c r="A319" s="155"/>
      <c r="B319" s="155"/>
      <c r="C319" s="155"/>
      <c r="D319" s="155"/>
      <c r="E319" s="155"/>
      <c r="F319" s="155"/>
      <c r="G319" s="155"/>
      <c r="H319" s="85" t="s">
        <v>58</v>
      </c>
      <c r="I319" s="147"/>
      <c r="J319" s="84"/>
      <c r="K319" s="84"/>
      <c r="L319" s="86" t="b">
        <v>0</v>
      </c>
      <c r="M319" s="86" t="b">
        <v>0</v>
      </c>
      <c r="N319" s="83"/>
      <c r="O319" s="83"/>
      <c r="P319" s="87">
        <f t="shared" si="49"/>
        <v>0</v>
      </c>
      <c r="Q319" s="83"/>
      <c r="R319" s="84"/>
      <c r="S319" s="83"/>
      <c r="T319" s="83"/>
      <c r="U319" s="87">
        <f t="shared" si="50"/>
        <v>0</v>
      </c>
      <c r="V319" s="84"/>
      <c r="W319" s="84"/>
      <c r="X319" s="133"/>
      <c r="Y319" s="133"/>
      <c r="Z319" s="121"/>
      <c r="AA319" s="133"/>
      <c r="AB319" s="121"/>
      <c r="AC319" s="121"/>
      <c r="AD319" s="121"/>
      <c r="AE319" s="84"/>
      <c r="AF319" s="84"/>
      <c r="AG319" s="122"/>
      <c r="AH319" s="122"/>
      <c r="AI319" s="148"/>
    </row>
    <row r="320" spans="1:35" ht="15">
      <c r="A320" s="155"/>
      <c r="B320" s="155"/>
      <c r="C320" s="155"/>
      <c r="D320" s="157" t="s">
        <v>455</v>
      </c>
      <c r="E320" s="175" t="s">
        <v>459</v>
      </c>
      <c r="F320" s="156" t="s">
        <v>457</v>
      </c>
      <c r="G320" s="158"/>
      <c r="H320" s="5" t="s">
        <v>458</v>
      </c>
      <c r="I320" s="150"/>
      <c r="J320" s="9"/>
      <c r="K320" s="9"/>
      <c r="L320" s="11" t="b">
        <v>0</v>
      </c>
      <c r="M320" s="11" t="b">
        <v>0</v>
      </c>
      <c r="N320" s="7"/>
      <c r="O320" s="7"/>
      <c r="P320" s="8">
        <f t="shared" si="49"/>
        <v>0</v>
      </c>
      <c r="Q320" s="7"/>
      <c r="R320" s="9"/>
      <c r="S320" s="7"/>
      <c r="T320" s="7"/>
      <c r="U320" s="8">
        <f t="shared" si="50"/>
        <v>0</v>
      </c>
      <c r="V320" s="9"/>
      <c r="W320" s="9"/>
      <c r="X320" s="9"/>
      <c r="Y320" s="9"/>
      <c r="Z320" s="5"/>
      <c r="AA320" s="9"/>
      <c r="AB320" s="5"/>
      <c r="AC320" s="5"/>
      <c r="AD320" s="5"/>
      <c r="AE320" s="9"/>
      <c r="AF320" s="9"/>
      <c r="AG320" s="26"/>
      <c r="AH320" s="26"/>
      <c r="AI320" s="151"/>
    </row>
    <row r="321" spans="1:35" ht="12.75">
      <c r="A321" s="155"/>
      <c r="B321" s="155"/>
      <c r="C321" s="155"/>
      <c r="D321" s="155"/>
      <c r="E321" s="155"/>
      <c r="F321" s="155"/>
      <c r="G321" s="155"/>
      <c r="H321" s="5" t="s">
        <v>58</v>
      </c>
      <c r="I321" s="152"/>
      <c r="J321" s="9"/>
      <c r="K321" s="9"/>
      <c r="L321" s="11" t="b">
        <v>0</v>
      </c>
      <c r="M321" s="11" t="b">
        <v>0</v>
      </c>
      <c r="N321" s="7"/>
      <c r="O321" s="7"/>
      <c r="P321" s="8">
        <f t="shared" si="49"/>
        <v>0</v>
      </c>
      <c r="Q321" s="7"/>
      <c r="R321" s="9"/>
      <c r="S321" s="7"/>
      <c r="T321" s="7"/>
      <c r="U321" s="8">
        <f t="shared" si="50"/>
        <v>0</v>
      </c>
      <c r="V321" s="9"/>
      <c r="W321" s="9"/>
      <c r="X321" s="9"/>
      <c r="Y321" s="9"/>
      <c r="Z321" s="5"/>
      <c r="AA321" s="9"/>
      <c r="AB321" s="5"/>
      <c r="AC321" s="5"/>
      <c r="AD321" s="5"/>
      <c r="AE321" s="9"/>
      <c r="AF321" s="9"/>
      <c r="AG321" s="26"/>
      <c r="AH321" s="26"/>
      <c r="AI321" s="26"/>
    </row>
    <row r="322" spans="1:35" ht="15">
      <c r="A322" s="155"/>
      <c r="B322" s="155"/>
      <c r="C322" s="155"/>
      <c r="D322" s="176" t="s">
        <v>460</v>
      </c>
      <c r="E322" s="177" t="s">
        <v>461</v>
      </c>
      <c r="F322" s="176" t="s">
        <v>462</v>
      </c>
      <c r="G322" s="178"/>
      <c r="H322" s="85" t="s">
        <v>49</v>
      </c>
      <c r="I322" s="135"/>
      <c r="J322" s="84"/>
      <c r="K322" s="84"/>
      <c r="L322" s="86" t="b">
        <v>0</v>
      </c>
      <c r="M322" s="86" t="b">
        <v>0</v>
      </c>
      <c r="N322" s="83"/>
      <c r="O322" s="83"/>
      <c r="P322" s="87">
        <f t="shared" si="49"/>
        <v>0</v>
      </c>
      <c r="Q322" s="83"/>
      <c r="R322" s="84"/>
      <c r="S322" s="83"/>
      <c r="T322" s="83"/>
      <c r="U322" s="87">
        <f t="shared" si="50"/>
        <v>0</v>
      </c>
      <c r="V322" s="84"/>
      <c r="W322" s="84"/>
      <c r="X322" s="84"/>
      <c r="Y322" s="84"/>
      <c r="Z322" s="85"/>
      <c r="AA322" s="84"/>
      <c r="AB322" s="85"/>
      <c r="AC322" s="85"/>
      <c r="AD322" s="85"/>
      <c r="AE322" s="84"/>
      <c r="AF322" s="84"/>
      <c r="AG322" s="122"/>
      <c r="AH322" s="122"/>
      <c r="AI322" s="153"/>
    </row>
    <row r="323" spans="1:35" ht="15">
      <c r="A323" s="155"/>
      <c r="B323" s="155"/>
      <c r="C323" s="155"/>
      <c r="D323" s="155"/>
      <c r="E323" s="155"/>
      <c r="F323" s="155"/>
      <c r="G323" s="155"/>
      <c r="H323" s="85" t="s">
        <v>58</v>
      </c>
      <c r="I323" s="135"/>
      <c r="J323" s="84"/>
      <c r="K323" s="84"/>
      <c r="L323" s="86" t="b">
        <v>0</v>
      </c>
      <c r="M323" s="86" t="b">
        <v>0</v>
      </c>
      <c r="N323" s="83"/>
      <c r="O323" s="83"/>
      <c r="P323" s="87">
        <f t="shared" si="49"/>
        <v>0</v>
      </c>
      <c r="Q323" s="83"/>
      <c r="R323" s="84"/>
      <c r="S323" s="83"/>
      <c r="T323" s="83"/>
      <c r="U323" s="87">
        <f t="shared" si="50"/>
        <v>0</v>
      </c>
      <c r="V323" s="84"/>
      <c r="W323" s="84"/>
      <c r="X323" s="133"/>
      <c r="Y323" s="133"/>
      <c r="Z323" s="121"/>
      <c r="AA323" s="133"/>
      <c r="AB323" s="121"/>
      <c r="AC323" s="121"/>
      <c r="AD323" s="121"/>
      <c r="AE323" s="84"/>
      <c r="AF323" s="84"/>
      <c r="AG323" s="122"/>
      <c r="AH323" s="122"/>
      <c r="AI323" s="153"/>
    </row>
    <row r="324" spans="1:35" ht="15">
      <c r="A324" s="155"/>
      <c r="B324" s="155"/>
      <c r="C324" s="155"/>
      <c r="D324" s="157" t="s">
        <v>453</v>
      </c>
      <c r="E324" s="157" t="s">
        <v>463</v>
      </c>
      <c r="F324" s="157" t="s">
        <v>464</v>
      </c>
      <c r="G324" s="158"/>
      <c r="H324" s="5" t="s">
        <v>465</v>
      </c>
      <c r="I324" s="22"/>
      <c r="J324" s="9"/>
      <c r="K324" s="9"/>
      <c r="L324" s="11" t="b">
        <v>0</v>
      </c>
      <c r="M324" s="11" t="b">
        <v>0</v>
      </c>
      <c r="N324" s="7"/>
      <c r="O324" s="7"/>
      <c r="P324" s="8">
        <f t="shared" si="49"/>
        <v>0</v>
      </c>
      <c r="Q324" s="7"/>
      <c r="R324" s="9"/>
      <c r="S324" s="7"/>
      <c r="T324" s="7"/>
      <c r="U324" s="8">
        <f t="shared" si="50"/>
        <v>0</v>
      </c>
      <c r="V324" s="9"/>
      <c r="W324" s="9"/>
      <c r="X324" s="18"/>
      <c r="Y324" s="18"/>
      <c r="Z324" s="19"/>
      <c r="AA324" s="18"/>
      <c r="AB324" s="19"/>
      <c r="AC324" s="19"/>
      <c r="AD324" s="19"/>
      <c r="AE324" s="9"/>
      <c r="AF324" s="9"/>
      <c r="AG324" s="26"/>
      <c r="AH324" s="26"/>
      <c r="AI324" s="151"/>
    </row>
    <row r="325" spans="1:35" ht="15">
      <c r="A325" s="155"/>
      <c r="B325" s="155"/>
      <c r="C325" s="155"/>
      <c r="D325" s="155"/>
      <c r="E325" s="155"/>
      <c r="F325" s="155"/>
      <c r="G325" s="155"/>
      <c r="H325" s="5" t="s">
        <v>58</v>
      </c>
      <c r="I325" s="22"/>
      <c r="J325" s="9"/>
      <c r="K325" s="9"/>
      <c r="L325" s="11" t="b">
        <v>0</v>
      </c>
      <c r="M325" s="11" t="b">
        <v>0</v>
      </c>
      <c r="N325" s="7"/>
      <c r="O325" s="7"/>
      <c r="P325" s="8">
        <f t="shared" si="49"/>
        <v>0</v>
      </c>
      <c r="Q325" s="7"/>
      <c r="R325" s="9"/>
      <c r="S325" s="7"/>
      <c r="T325" s="7"/>
      <c r="U325" s="8">
        <f t="shared" si="50"/>
        <v>0</v>
      </c>
      <c r="V325" s="9"/>
      <c r="W325" s="9"/>
      <c r="X325" s="18"/>
      <c r="Y325" s="18"/>
      <c r="Z325" s="19"/>
      <c r="AA325" s="18"/>
      <c r="AB325" s="19"/>
      <c r="AC325" s="19"/>
      <c r="AD325" s="19"/>
      <c r="AE325" s="9"/>
      <c r="AF325" s="9"/>
      <c r="AG325" s="26"/>
      <c r="AH325" s="26"/>
      <c r="AI325" s="151"/>
    </row>
    <row r="326" spans="1:35" ht="12.75">
      <c r="A326" s="114"/>
      <c r="B326" s="114"/>
      <c r="C326" s="114"/>
      <c r="D326" s="115"/>
      <c r="E326" s="115"/>
      <c r="F326" s="115"/>
      <c r="G326" s="132" t="s">
        <v>300</v>
      </c>
      <c r="H326" s="115"/>
      <c r="I326" s="117"/>
      <c r="J326" s="116"/>
      <c r="K326" s="116"/>
      <c r="L326" s="116"/>
      <c r="M326" s="116"/>
      <c r="N326" s="118"/>
      <c r="O326" s="118"/>
      <c r="P326" s="119"/>
      <c r="Q326" s="118"/>
      <c r="R326" s="116"/>
      <c r="S326" s="118"/>
      <c r="T326" s="118"/>
      <c r="U326" s="119"/>
      <c r="V326" s="116"/>
      <c r="W326" s="116"/>
      <c r="X326" s="116"/>
      <c r="Y326" s="116"/>
      <c r="Z326" s="115"/>
      <c r="AA326" s="116"/>
      <c r="AB326" s="115"/>
      <c r="AC326" s="115"/>
      <c r="AD326" s="115"/>
      <c r="AE326" s="116"/>
      <c r="AF326" s="116"/>
      <c r="AG326" s="116"/>
      <c r="AH326" s="116"/>
      <c r="AI326" s="116"/>
    </row>
    <row r="327" spans="1:35" ht="12.75">
      <c r="A327" s="161" t="s">
        <v>301</v>
      </c>
      <c r="B327" s="161" t="s">
        <v>178</v>
      </c>
      <c r="C327" s="161" t="s">
        <v>288</v>
      </c>
      <c r="D327" s="162" t="s">
        <v>453</v>
      </c>
      <c r="E327" s="160" t="s">
        <v>47</v>
      </c>
      <c r="F327" s="162" t="s">
        <v>454</v>
      </c>
      <c r="G327" s="164"/>
      <c r="H327" s="77" t="s">
        <v>49</v>
      </c>
      <c r="I327" s="108"/>
      <c r="J327" s="78"/>
      <c r="K327" s="78"/>
      <c r="L327" s="79" t="b">
        <v>0</v>
      </c>
      <c r="M327" s="79" t="b">
        <v>0</v>
      </c>
      <c r="N327" s="81"/>
      <c r="O327" s="81"/>
      <c r="P327" s="80">
        <f t="shared" ref="P327:P338" si="51">N327+O327</f>
        <v>0</v>
      </c>
      <c r="Q327" s="81"/>
      <c r="R327" s="78"/>
      <c r="S327" s="81"/>
      <c r="T327" s="81"/>
      <c r="U327" s="80">
        <f t="shared" ref="U327:U338" si="52">S327+T327</f>
        <v>0</v>
      </c>
      <c r="V327" s="78"/>
      <c r="W327" s="78"/>
      <c r="X327" s="78"/>
      <c r="Y327" s="78"/>
      <c r="Z327" s="77"/>
      <c r="AA327" s="78"/>
      <c r="AB327" s="77"/>
      <c r="AC327" s="77"/>
      <c r="AD327" s="77"/>
      <c r="AE327" s="78"/>
      <c r="AF327" s="78"/>
      <c r="AG327" s="109"/>
      <c r="AH327" s="109"/>
      <c r="AI327" s="78"/>
    </row>
    <row r="328" spans="1:35" ht="12.75">
      <c r="A328" s="155"/>
      <c r="B328" s="155"/>
      <c r="C328" s="155"/>
      <c r="D328" s="155"/>
      <c r="E328" s="155"/>
      <c r="F328" s="155"/>
      <c r="G328" s="155"/>
      <c r="H328" s="85" t="s">
        <v>58</v>
      </c>
      <c r="I328" s="112"/>
      <c r="J328" s="84"/>
      <c r="K328" s="84"/>
      <c r="L328" s="86" t="b">
        <v>0</v>
      </c>
      <c r="M328" s="86" t="b">
        <v>0</v>
      </c>
      <c r="N328" s="83"/>
      <c r="O328" s="83"/>
      <c r="P328" s="87">
        <f t="shared" si="51"/>
        <v>0</v>
      </c>
      <c r="Q328" s="83"/>
      <c r="R328" s="84"/>
      <c r="S328" s="83"/>
      <c r="T328" s="83"/>
      <c r="U328" s="87">
        <f t="shared" si="52"/>
        <v>0</v>
      </c>
      <c r="V328" s="84"/>
      <c r="W328" s="84"/>
      <c r="X328" s="84"/>
      <c r="Y328" s="84"/>
      <c r="Z328" s="85"/>
      <c r="AA328" s="84"/>
      <c r="AB328" s="85"/>
      <c r="AC328" s="85"/>
      <c r="AD328" s="85"/>
      <c r="AE328" s="84"/>
      <c r="AF328" s="84"/>
      <c r="AG328" s="110"/>
      <c r="AH328" s="110"/>
      <c r="AI328" s="84"/>
    </row>
    <row r="329" spans="1:35" ht="12.75">
      <c r="A329" s="155"/>
      <c r="B329" s="155"/>
      <c r="C329" s="155"/>
      <c r="D329" s="157" t="s">
        <v>453</v>
      </c>
      <c r="E329" s="157" t="s">
        <v>59</v>
      </c>
      <c r="F329" s="157" t="s">
        <v>454</v>
      </c>
      <c r="G329" s="158"/>
      <c r="H329" s="5" t="s">
        <v>49</v>
      </c>
      <c r="I329" s="17"/>
      <c r="J329" s="9"/>
      <c r="K329" s="9"/>
      <c r="L329" s="11" t="b">
        <v>0</v>
      </c>
      <c r="M329" s="11" t="b">
        <v>0</v>
      </c>
      <c r="N329" s="7"/>
      <c r="O329" s="7"/>
      <c r="P329" s="8">
        <f t="shared" si="51"/>
        <v>0</v>
      </c>
      <c r="Q329" s="7"/>
      <c r="R329" s="9"/>
      <c r="S329" s="7"/>
      <c r="T329" s="7"/>
      <c r="U329" s="8">
        <f t="shared" si="52"/>
        <v>0</v>
      </c>
      <c r="V329" s="9"/>
      <c r="W329" s="9"/>
      <c r="X329" s="18"/>
      <c r="Y329" s="18"/>
      <c r="Z329" s="19"/>
      <c r="AA329" s="18"/>
      <c r="AB329" s="19"/>
      <c r="AC329" s="19"/>
      <c r="AD329" s="19"/>
      <c r="AE329" s="9"/>
      <c r="AF329" s="9"/>
      <c r="AG329" s="26"/>
      <c r="AH329" s="26"/>
      <c r="AI329" s="89"/>
    </row>
    <row r="330" spans="1:35" ht="12.75">
      <c r="A330" s="155"/>
      <c r="B330" s="155"/>
      <c r="C330" s="155"/>
      <c r="D330" s="155"/>
      <c r="E330" s="155"/>
      <c r="F330" s="155"/>
      <c r="G330" s="155"/>
      <c r="H330" s="5" t="s">
        <v>58</v>
      </c>
      <c r="I330" s="22"/>
      <c r="J330" s="9"/>
      <c r="K330" s="9"/>
      <c r="L330" s="11" t="b">
        <v>0</v>
      </c>
      <c r="M330" s="11" t="b">
        <v>0</v>
      </c>
      <c r="N330" s="7"/>
      <c r="O330" s="7"/>
      <c r="P330" s="8">
        <f t="shared" si="51"/>
        <v>0</v>
      </c>
      <c r="Q330" s="7"/>
      <c r="R330" s="9"/>
      <c r="S330" s="7"/>
      <c r="T330" s="7"/>
      <c r="U330" s="8">
        <f t="shared" si="52"/>
        <v>0</v>
      </c>
      <c r="V330" s="9"/>
      <c r="W330" s="9"/>
      <c r="X330" s="18"/>
      <c r="Y330" s="18"/>
      <c r="Z330" s="19"/>
      <c r="AA330" s="18"/>
      <c r="AB330" s="19"/>
      <c r="AC330" s="19"/>
      <c r="AD330" s="19"/>
      <c r="AE330" s="9"/>
      <c r="AF330" s="9"/>
      <c r="AG330" s="26"/>
      <c r="AH330" s="26"/>
      <c r="AI330" s="9"/>
    </row>
    <row r="331" spans="1:35" ht="15">
      <c r="A331" s="155"/>
      <c r="B331" s="155"/>
      <c r="C331" s="155"/>
      <c r="D331" s="176" t="s">
        <v>455</v>
      </c>
      <c r="E331" s="176" t="s">
        <v>456</v>
      </c>
      <c r="F331" s="177" t="s">
        <v>457</v>
      </c>
      <c r="G331" s="178"/>
      <c r="H331" s="85" t="s">
        <v>458</v>
      </c>
      <c r="I331" s="147"/>
      <c r="J331" s="84"/>
      <c r="K331" s="84"/>
      <c r="L331" s="86" t="b">
        <v>0</v>
      </c>
      <c r="M331" s="86" t="b">
        <v>0</v>
      </c>
      <c r="N331" s="83"/>
      <c r="O331" s="83"/>
      <c r="P331" s="87">
        <f t="shared" si="51"/>
        <v>0</v>
      </c>
      <c r="Q331" s="83"/>
      <c r="R331" s="84"/>
      <c r="S331" s="83"/>
      <c r="T331" s="83"/>
      <c r="U331" s="87">
        <f t="shared" si="52"/>
        <v>0</v>
      </c>
      <c r="V331" s="84"/>
      <c r="W331" s="84"/>
      <c r="X331" s="133"/>
      <c r="Y331" s="133"/>
      <c r="Z331" s="121"/>
      <c r="AA331" s="133"/>
      <c r="AB331" s="121"/>
      <c r="AC331" s="121"/>
      <c r="AD331" s="121"/>
      <c r="AE331" s="84"/>
      <c r="AF331" s="84"/>
      <c r="AG331" s="122"/>
      <c r="AH331" s="122"/>
      <c r="AI331" s="84"/>
    </row>
    <row r="332" spans="1:35" ht="15">
      <c r="A332" s="155"/>
      <c r="B332" s="155"/>
      <c r="C332" s="155"/>
      <c r="D332" s="155"/>
      <c r="E332" s="155"/>
      <c r="F332" s="155"/>
      <c r="G332" s="155"/>
      <c r="H332" s="85" t="s">
        <v>58</v>
      </c>
      <c r="I332" s="147"/>
      <c r="J332" s="84"/>
      <c r="K332" s="84"/>
      <c r="L332" s="86" t="b">
        <v>0</v>
      </c>
      <c r="M332" s="86" t="b">
        <v>0</v>
      </c>
      <c r="N332" s="83"/>
      <c r="O332" s="83"/>
      <c r="P332" s="87">
        <f t="shared" si="51"/>
        <v>0</v>
      </c>
      <c r="Q332" s="83"/>
      <c r="R332" s="84"/>
      <c r="S332" s="83"/>
      <c r="T332" s="83"/>
      <c r="U332" s="87">
        <f t="shared" si="52"/>
        <v>0</v>
      </c>
      <c r="V332" s="84"/>
      <c r="W332" s="84"/>
      <c r="X332" s="133"/>
      <c r="Y332" s="133"/>
      <c r="Z332" s="121"/>
      <c r="AA332" s="133"/>
      <c r="AB332" s="121"/>
      <c r="AC332" s="121"/>
      <c r="AD332" s="121"/>
      <c r="AE332" s="84"/>
      <c r="AF332" s="84"/>
      <c r="AG332" s="122"/>
      <c r="AH332" s="122"/>
      <c r="AI332" s="148"/>
    </row>
    <row r="333" spans="1:35" ht="15">
      <c r="A333" s="155"/>
      <c r="B333" s="155"/>
      <c r="C333" s="155"/>
      <c r="D333" s="157" t="s">
        <v>455</v>
      </c>
      <c r="E333" s="175" t="s">
        <v>459</v>
      </c>
      <c r="F333" s="156" t="s">
        <v>457</v>
      </c>
      <c r="G333" s="158"/>
      <c r="H333" s="5" t="s">
        <v>458</v>
      </c>
      <c r="I333" s="150"/>
      <c r="J333" s="9"/>
      <c r="K333" s="9"/>
      <c r="L333" s="11" t="b">
        <v>0</v>
      </c>
      <c r="M333" s="11" t="b">
        <v>0</v>
      </c>
      <c r="N333" s="7"/>
      <c r="O333" s="7"/>
      <c r="P333" s="8">
        <f t="shared" si="51"/>
        <v>0</v>
      </c>
      <c r="Q333" s="7"/>
      <c r="R333" s="9"/>
      <c r="S333" s="7"/>
      <c r="T333" s="7"/>
      <c r="U333" s="8">
        <f t="shared" si="52"/>
        <v>0</v>
      </c>
      <c r="V333" s="9"/>
      <c r="W333" s="9"/>
      <c r="X333" s="9"/>
      <c r="Y333" s="9"/>
      <c r="Z333" s="5"/>
      <c r="AA333" s="9"/>
      <c r="AB333" s="5"/>
      <c r="AC333" s="5"/>
      <c r="AD333" s="5"/>
      <c r="AE333" s="9"/>
      <c r="AF333" s="9"/>
      <c r="AG333" s="26"/>
      <c r="AH333" s="26"/>
      <c r="AI333" s="151"/>
    </row>
    <row r="334" spans="1:35" ht="12.75">
      <c r="A334" s="155"/>
      <c r="B334" s="155"/>
      <c r="C334" s="155"/>
      <c r="D334" s="155"/>
      <c r="E334" s="155"/>
      <c r="F334" s="155"/>
      <c r="G334" s="155"/>
      <c r="H334" s="5" t="s">
        <v>58</v>
      </c>
      <c r="I334" s="152"/>
      <c r="J334" s="9"/>
      <c r="K334" s="9"/>
      <c r="L334" s="11" t="b">
        <v>0</v>
      </c>
      <c r="M334" s="11" t="b">
        <v>0</v>
      </c>
      <c r="N334" s="7"/>
      <c r="O334" s="7"/>
      <c r="P334" s="8">
        <f t="shared" si="51"/>
        <v>0</v>
      </c>
      <c r="Q334" s="7"/>
      <c r="R334" s="9"/>
      <c r="S334" s="7"/>
      <c r="T334" s="7"/>
      <c r="U334" s="8">
        <f t="shared" si="52"/>
        <v>0</v>
      </c>
      <c r="V334" s="9"/>
      <c r="W334" s="9"/>
      <c r="X334" s="9"/>
      <c r="Y334" s="9"/>
      <c r="Z334" s="5"/>
      <c r="AA334" s="9"/>
      <c r="AB334" s="5"/>
      <c r="AC334" s="5"/>
      <c r="AD334" s="5"/>
      <c r="AE334" s="9"/>
      <c r="AF334" s="9"/>
      <c r="AG334" s="26"/>
      <c r="AH334" s="26"/>
      <c r="AI334" s="26"/>
    </row>
    <row r="335" spans="1:35" ht="15">
      <c r="A335" s="155"/>
      <c r="B335" s="155"/>
      <c r="C335" s="155"/>
      <c r="D335" s="176" t="s">
        <v>460</v>
      </c>
      <c r="E335" s="177" t="s">
        <v>461</v>
      </c>
      <c r="F335" s="176" t="s">
        <v>462</v>
      </c>
      <c r="G335" s="178"/>
      <c r="H335" s="85" t="s">
        <v>49</v>
      </c>
      <c r="I335" s="135"/>
      <c r="J335" s="84"/>
      <c r="K335" s="84"/>
      <c r="L335" s="86" t="b">
        <v>0</v>
      </c>
      <c r="M335" s="86" t="b">
        <v>0</v>
      </c>
      <c r="N335" s="83"/>
      <c r="O335" s="83"/>
      <c r="P335" s="87">
        <f t="shared" si="51"/>
        <v>0</v>
      </c>
      <c r="Q335" s="83"/>
      <c r="R335" s="84"/>
      <c r="S335" s="83"/>
      <c r="T335" s="83"/>
      <c r="U335" s="87">
        <f t="shared" si="52"/>
        <v>0</v>
      </c>
      <c r="V335" s="84"/>
      <c r="W335" s="84"/>
      <c r="X335" s="84"/>
      <c r="Y335" s="84"/>
      <c r="Z335" s="85"/>
      <c r="AA335" s="84"/>
      <c r="AB335" s="85"/>
      <c r="AC335" s="85"/>
      <c r="AD335" s="85"/>
      <c r="AE335" s="84"/>
      <c r="AF335" s="84"/>
      <c r="AG335" s="122"/>
      <c r="AH335" s="122"/>
      <c r="AI335" s="153"/>
    </row>
    <row r="336" spans="1:35" ht="15">
      <c r="A336" s="155"/>
      <c r="B336" s="155"/>
      <c r="C336" s="155"/>
      <c r="D336" s="155"/>
      <c r="E336" s="155"/>
      <c r="F336" s="155"/>
      <c r="G336" s="155"/>
      <c r="H336" s="85" t="s">
        <v>58</v>
      </c>
      <c r="I336" s="135"/>
      <c r="J336" s="84"/>
      <c r="K336" s="84"/>
      <c r="L336" s="86" t="b">
        <v>0</v>
      </c>
      <c r="M336" s="86" t="b">
        <v>0</v>
      </c>
      <c r="N336" s="83"/>
      <c r="O336" s="83"/>
      <c r="P336" s="87">
        <f t="shared" si="51"/>
        <v>0</v>
      </c>
      <c r="Q336" s="83"/>
      <c r="R336" s="84"/>
      <c r="S336" s="83"/>
      <c r="T336" s="83"/>
      <c r="U336" s="87">
        <f t="shared" si="52"/>
        <v>0</v>
      </c>
      <c r="V336" s="84"/>
      <c r="W336" s="84"/>
      <c r="X336" s="133"/>
      <c r="Y336" s="133"/>
      <c r="Z336" s="121"/>
      <c r="AA336" s="133"/>
      <c r="AB336" s="121"/>
      <c r="AC336" s="121"/>
      <c r="AD336" s="121"/>
      <c r="AE336" s="84"/>
      <c r="AF336" s="84"/>
      <c r="AG336" s="122"/>
      <c r="AH336" s="122"/>
      <c r="AI336" s="153"/>
    </row>
    <row r="337" spans="1:35" ht="15">
      <c r="A337" s="155"/>
      <c r="B337" s="155"/>
      <c r="C337" s="155"/>
      <c r="D337" s="157" t="s">
        <v>453</v>
      </c>
      <c r="E337" s="157" t="s">
        <v>463</v>
      </c>
      <c r="F337" s="157" t="s">
        <v>464</v>
      </c>
      <c r="G337" s="158"/>
      <c r="H337" s="5" t="s">
        <v>465</v>
      </c>
      <c r="I337" s="22"/>
      <c r="J337" s="9"/>
      <c r="K337" s="9"/>
      <c r="L337" s="11" t="b">
        <v>0</v>
      </c>
      <c r="M337" s="11" t="b">
        <v>0</v>
      </c>
      <c r="N337" s="7"/>
      <c r="O337" s="7"/>
      <c r="P337" s="8">
        <f t="shared" si="51"/>
        <v>0</v>
      </c>
      <c r="Q337" s="7"/>
      <c r="R337" s="9"/>
      <c r="S337" s="7"/>
      <c r="T337" s="7"/>
      <c r="U337" s="8">
        <f t="shared" si="52"/>
        <v>0</v>
      </c>
      <c r="V337" s="9"/>
      <c r="W337" s="9"/>
      <c r="X337" s="18"/>
      <c r="Y337" s="18"/>
      <c r="Z337" s="19"/>
      <c r="AA337" s="18"/>
      <c r="AB337" s="19"/>
      <c r="AC337" s="19"/>
      <c r="AD337" s="19"/>
      <c r="AE337" s="9"/>
      <c r="AF337" s="9"/>
      <c r="AG337" s="26"/>
      <c r="AH337" s="26"/>
      <c r="AI337" s="151"/>
    </row>
    <row r="338" spans="1:35" ht="15">
      <c r="A338" s="155"/>
      <c r="B338" s="155"/>
      <c r="C338" s="155"/>
      <c r="D338" s="155"/>
      <c r="E338" s="155"/>
      <c r="F338" s="155"/>
      <c r="G338" s="155"/>
      <c r="H338" s="5" t="s">
        <v>58</v>
      </c>
      <c r="I338" s="22"/>
      <c r="J338" s="9"/>
      <c r="K338" s="9"/>
      <c r="L338" s="11" t="b">
        <v>0</v>
      </c>
      <c r="M338" s="11" t="b">
        <v>0</v>
      </c>
      <c r="N338" s="7"/>
      <c r="O338" s="7"/>
      <c r="P338" s="8">
        <f t="shared" si="51"/>
        <v>0</v>
      </c>
      <c r="Q338" s="7"/>
      <c r="R338" s="9"/>
      <c r="S338" s="7"/>
      <c r="T338" s="7"/>
      <c r="U338" s="8">
        <f t="shared" si="52"/>
        <v>0</v>
      </c>
      <c r="V338" s="9"/>
      <c r="W338" s="9"/>
      <c r="X338" s="18"/>
      <c r="Y338" s="18"/>
      <c r="Z338" s="19"/>
      <c r="AA338" s="18"/>
      <c r="AB338" s="19"/>
      <c r="AC338" s="19"/>
      <c r="AD338" s="19"/>
      <c r="AE338" s="9"/>
      <c r="AF338" s="9"/>
      <c r="AG338" s="26"/>
      <c r="AH338" s="26"/>
      <c r="AI338" s="151"/>
    </row>
    <row r="339" spans="1:35" ht="12.75">
      <c r="A339" s="114"/>
      <c r="B339" s="114"/>
      <c r="C339" s="114"/>
      <c r="D339" s="115"/>
      <c r="E339" s="115"/>
      <c r="F339" s="115"/>
      <c r="G339" s="116"/>
      <c r="H339" s="115"/>
      <c r="I339" s="117"/>
      <c r="J339" s="116"/>
      <c r="K339" s="116"/>
      <c r="L339" s="116"/>
      <c r="M339" s="116"/>
      <c r="N339" s="118"/>
      <c r="O339" s="118"/>
      <c r="P339" s="119"/>
      <c r="Q339" s="118"/>
      <c r="R339" s="116"/>
      <c r="S339" s="118"/>
      <c r="T339" s="118"/>
      <c r="U339" s="119"/>
      <c r="V339" s="116"/>
      <c r="W339" s="116"/>
      <c r="X339" s="116"/>
      <c r="Y339" s="116"/>
      <c r="Z339" s="115"/>
      <c r="AA339" s="116"/>
      <c r="AB339" s="115"/>
      <c r="AC339" s="115"/>
      <c r="AD339" s="115"/>
      <c r="AE339" s="116"/>
      <c r="AF339" s="116"/>
      <c r="AG339" s="116"/>
      <c r="AH339" s="116"/>
      <c r="AI339" s="116"/>
    </row>
    <row r="340" spans="1:35" ht="12.75">
      <c r="A340" s="161" t="s">
        <v>309</v>
      </c>
      <c r="B340" s="161" t="s">
        <v>178</v>
      </c>
      <c r="C340" s="161" t="s">
        <v>288</v>
      </c>
      <c r="D340" s="162" t="s">
        <v>453</v>
      </c>
      <c r="E340" s="160" t="s">
        <v>47</v>
      </c>
      <c r="F340" s="162" t="s">
        <v>454</v>
      </c>
      <c r="G340" s="164"/>
      <c r="H340" s="77" t="s">
        <v>49</v>
      </c>
      <c r="I340" s="108"/>
      <c r="J340" s="78"/>
      <c r="K340" s="78"/>
      <c r="L340" s="79" t="b">
        <v>0</v>
      </c>
      <c r="M340" s="79" t="b">
        <v>0</v>
      </c>
      <c r="N340" s="81"/>
      <c r="O340" s="81"/>
      <c r="P340" s="80">
        <f t="shared" ref="P340:P351" si="53">N340+O340</f>
        <v>0</v>
      </c>
      <c r="Q340" s="81"/>
      <c r="R340" s="78"/>
      <c r="S340" s="81"/>
      <c r="T340" s="81"/>
      <c r="U340" s="80">
        <f t="shared" ref="U340:U351" si="54">S340+T340</f>
        <v>0</v>
      </c>
      <c r="V340" s="78"/>
      <c r="W340" s="78"/>
      <c r="X340" s="78"/>
      <c r="Y340" s="78"/>
      <c r="Z340" s="77"/>
      <c r="AA340" s="78"/>
      <c r="AB340" s="77"/>
      <c r="AC340" s="77"/>
      <c r="AD340" s="77"/>
      <c r="AE340" s="78"/>
      <c r="AF340" s="78"/>
      <c r="AG340" s="109"/>
      <c r="AH340" s="109"/>
      <c r="AI340" s="78"/>
    </row>
    <row r="341" spans="1:35" ht="12.75">
      <c r="A341" s="155"/>
      <c r="B341" s="155"/>
      <c r="C341" s="155"/>
      <c r="D341" s="155"/>
      <c r="E341" s="155"/>
      <c r="F341" s="155"/>
      <c r="G341" s="155"/>
      <c r="H341" s="85" t="s">
        <v>58</v>
      </c>
      <c r="I341" s="112"/>
      <c r="J341" s="84"/>
      <c r="K341" s="84"/>
      <c r="L341" s="86" t="b">
        <v>0</v>
      </c>
      <c r="M341" s="86" t="b">
        <v>0</v>
      </c>
      <c r="N341" s="83"/>
      <c r="O341" s="83"/>
      <c r="P341" s="87">
        <f t="shared" si="53"/>
        <v>0</v>
      </c>
      <c r="Q341" s="83"/>
      <c r="R341" s="84"/>
      <c r="S341" s="83"/>
      <c r="T341" s="83"/>
      <c r="U341" s="87">
        <f t="shared" si="54"/>
        <v>0</v>
      </c>
      <c r="V341" s="84"/>
      <c r="W341" s="84"/>
      <c r="X341" s="84"/>
      <c r="Y341" s="84"/>
      <c r="Z341" s="85"/>
      <c r="AA341" s="84"/>
      <c r="AB341" s="85"/>
      <c r="AC341" s="85"/>
      <c r="AD341" s="85"/>
      <c r="AE341" s="84"/>
      <c r="AF341" s="84"/>
      <c r="AG341" s="110"/>
      <c r="AH341" s="110"/>
      <c r="AI341" s="84"/>
    </row>
    <row r="342" spans="1:35" ht="12.75">
      <c r="A342" s="155"/>
      <c r="B342" s="155"/>
      <c r="C342" s="155"/>
      <c r="D342" s="157" t="s">
        <v>453</v>
      </c>
      <c r="E342" s="157" t="s">
        <v>59</v>
      </c>
      <c r="F342" s="157" t="s">
        <v>454</v>
      </c>
      <c r="G342" s="158"/>
      <c r="H342" s="5" t="s">
        <v>49</v>
      </c>
      <c r="I342" s="17"/>
      <c r="J342" s="9"/>
      <c r="K342" s="9"/>
      <c r="L342" s="11" t="b">
        <v>0</v>
      </c>
      <c r="M342" s="11" t="b">
        <v>0</v>
      </c>
      <c r="N342" s="7"/>
      <c r="O342" s="7"/>
      <c r="P342" s="8">
        <f t="shared" si="53"/>
        <v>0</v>
      </c>
      <c r="Q342" s="7"/>
      <c r="R342" s="9"/>
      <c r="S342" s="7"/>
      <c r="T342" s="7"/>
      <c r="U342" s="8">
        <f t="shared" si="54"/>
        <v>0</v>
      </c>
      <c r="V342" s="9"/>
      <c r="W342" s="9"/>
      <c r="X342" s="18"/>
      <c r="Y342" s="18"/>
      <c r="Z342" s="19"/>
      <c r="AA342" s="18"/>
      <c r="AB342" s="19"/>
      <c r="AC342" s="19"/>
      <c r="AD342" s="19"/>
      <c r="AE342" s="9"/>
      <c r="AF342" s="9"/>
      <c r="AG342" s="26"/>
      <c r="AH342" s="26"/>
      <c r="AI342" s="89"/>
    </row>
    <row r="343" spans="1:35" ht="12.75">
      <c r="A343" s="155"/>
      <c r="B343" s="155"/>
      <c r="C343" s="155"/>
      <c r="D343" s="155"/>
      <c r="E343" s="155"/>
      <c r="F343" s="155"/>
      <c r="G343" s="155"/>
      <c r="H343" s="5" t="s">
        <v>58</v>
      </c>
      <c r="I343" s="22"/>
      <c r="J343" s="9"/>
      <c r="K343" s="9"/>
      <c r="L343" s="11" t="b">
        <v>0</v>
      </c>
      <c r="M343" s="11" t="b">
        <v>0</v>
      </c>
      <c r="N343" s="7"/>
      <c r="O343" s="7"/>
      <c r="P343" s="8">
        <f t="shared" si="53"/>
        <v>0</v>
      </c>
      <c r="Q343" s="7"/>
      <c r="R343" s="9"/>
      <c r="S343" s="7"/>
      <c r="T343" s="7"/>
      <c r="U343" s="8">
        <f t="shared" si="54"/>
        <v>0</v>
      </c>
      <c r="V343" s="9"/>
      <c r="W343" s="9"/>
      <c r="X343" s="18"/>
      <c r="Y343" s="18"/>
      <c r="Z343" s="19"/>
      <c r="AA343" s="18"/>
      <c r="AB343" s="19"/>
      <c r="AC343" s="19"/>
      <c r="AD343" s="19"/>
      <c r="AE343" s="9"/>
      <c r="AF343" s="9"/>
      <c r="AG343" s="26"/>
      <c r="AH343" s="26"/>
      <c r="AI343" s="9"/>
    </row>
    <row r="344" spans="1:35" ht="15">
      <c r="A344" s="155"/>
      <c r="B344" s="155"/>
      <c r="C344" s="155"/>
      <c r="D344" s="176" t="s">
        <v>455</v>
      </c>
      <c r="E344" s="176" t="s">
        <v>456</v>
      </c>
      <c r="F344" s="177" t="s">
        <v>457</v>
      </c>
      <c r="G344" s="178"/>
      <c r="H344" s="85" t="s">
        <v>458</v>
      </c>
      <c r="I344" s="147"/>
      <c r="J344" s="84"/>
      <c r="K344" s="84"/>
      <c r="L344" s="86" t="b">
        <v>0</v>
      </c>
      <c r="M344" s="86" t="b">
        <v>0</v>
      </c>
      <c r="N344" s="83"/>
      <c r="O344" s="83"/>
      <c r="P344" s="87">
        <f t="shared" si="53"/>
        <v>0</v>
      </c>
      <c r="Q344" s="83"/>
      <c r="R344" s="84"/>
      <c r="S344" s="83"/>
      <c r="T344" s="83"/>
      <c r="U344" s="87">
        <f t="shared" si="54"/>
        <v>0</v>
      </c>
      <c r="V344" s="84"/>
      <c r="W344" s="84"/>
      <c r="X344" s="133"/>
      <c r="Y344" s="133"/>
      <c r="Z344" s="121"/>
      <c r="AA344" s="133"/>
      <c r="AB344" s="121"/>
      <c r="AC344" s="121"/>
      <c r="AD344" s="121"/>
      <c r="AE344" s="84"/>
      <c r="AF344" s="84"/>
      <c r="AG344" s="122"/>
      <c r="AH344" s="122"/>
      <c r="AI344" s="84"/>
    </row>
    <row r="345" spans="1:35" ht="15">
      <c r="A345" s="155"/>
      <c r="B345" s="155"/>
      <c r="C345" s="155"/>
      <c r="D345" s="155"/>
      <c r="E345" s="155"/>
      <c r="F345" s="155"/>
      <c r="G345" s="155"/>
      <c r="H345" s="85" t="s">
        <v>58</v>
      </c>
      <c r="I345" s="147"/>
      <c r="J345" s="84"/>
      <c r="K345" s="84"/>
      <c r="L345" s="86" t="b">
        <v>0</v>
      </c>
      <c r="M345" s="86" t="b">
        <v>0</v>
      </c>
      <c r="N345" s="83"/>
      <c r="O345" s="83"/>
      <c r="P345" s="87">
        <f t="shared" si="53"/>
        <v>0</v>
      </c>
      <c r="Q345" s="83"/>
      <c r="R345" s="84"/>
      <c r="S345" s="83"/>
      <c r="T345" s="83"/>
      <c r="U345" s="87">
        <f t="shared" si="54"/>
        <v>0</v>
      </c>
      <c r="V345" s="84"/>
      <c r="W345" s="84"/>
      <c r="X345" s="133"/>
      <c r="Y345" s="133"/>
      <c r="Z345" s="121"/>
      <c r="AA345" s="133"/>
      <c r="AB345" s="121"/>
      <c r="AC345" s="121"/>
      <c r="AD345" s="121"/>
      <c r="AE345" s="84"/>
      <c r="AF345" s="84"/>
      <c r="AG345" s="122"/>
      <c r="AH345" s="122"/>
      <c r="AI345" s="148"/>
    </row>
    <row r="346" spans="1:35" ht="15">
      <c r="A346" s="155"/>
      <c r="B346" s="155"/>
      <c r="C346" s="155"/>
      <c r="D346" s="157" t="s">
        <v>455</v>
      </c>
      <c r="E346" s="175" t="s">
        <v>459</v>
      </c>
      <c r="F346" s="156" t="s">
        <v>457</v>
      </c>
      <c r="G346" s="158"/>
      <c r="H346" s="5" t="s">
        <v>458</v>
      </c>
      <c r="I346" s="150"/>
      <c r="J346" s="9"/>
      <c r="K346" s="9"/>
      <c r="L346" s="11" t="b">
        <v>0</v>
      </c>
      <c r="M346" s="11" t="b">
        <v>0</v>
      </c>
      <c r="N346" s="7"/>
      <c r="O346" s="7"/>
      <c r="P346" s="8">
        <f t="shared" si="53"/>
        <v>0</v>
      </c>
      <c r="Q346" s="7"/>
      <c r="R346" s="9"/>
      <c r="S346" s="7"/>
      <c r="T346" s="7"/>
      <c r="U346" s="8">
        <f t="shared" si="54"/>
        <v>0</v>
      </c>
      <c r="V346" s="9"/>
      <c r="W346" s="9"/>
      <c r="X346" s="9"/>
      <c r="Y346" s="9"/>
      <c r="Z346" s="5"/>
      <c r="AA346" s="9"/>
      <c r="AB346" s="5"/>
      <c r="AC346" s="5"/>
      <c r="AD346" s="5"/>
      <c r="AE346" s="9"/>
      <c r="AF346" s="9"/>
      <c r="AG346" s="26"/>
      <c r="AH346" s="26"/>
      <c r="AI346" s="151"/>
    </row>
    <row r="347" spans="1:35" ht="12.75">
      <c r="A347" s="155"/>
      <c r="B347" s="155"/>
      <c r="C347" s="155"/>
      <c r="D347" s="155"/>
      <c r="E347" s="155"/>
      <c r="F347" s="155"/>
      <c r="G347" s="155"/>
      <c r="H347" s="5" t="s">
        <v>58</v>
      </c>
      <c r="I347" s="152"/>
      <c r="J347" s="9"/>
      <c r="K347" s="9"/>
      <c r="L347" s="11" t="b">
        <v>0</v>
      </c>
      <c r="M347" s="11" t="b">
        <v>0</v>
      </c>
      <c r="N347" s="7"/>
      <c r="O347" s="7"/>
      <c r="P347" s="8">
        <f t="shared" si="53"/>
        <v>0</v>
      </c>
      <c r="Q347" s="7"/>
      <c r="R347" s="9"/>
      <c r="S347" s="7"/>
      <c r="T347" s="7"/>
      <c r="U347" s="8">
        <f t="shared" si="54"/>
        <v>0</v>
      </c>
      <c r="V347" s="9"/>
      <c r="W347" s="9"/>
      <c r="X347" s="9"/>
      <c r="Y347" s="9"/>
      <c r="Z347" s="5"/>
      <c r="AA347" s="9"/>
      <c r="AB347" s="5"/>
      <c r="AC347" s="5"/>
      <c r="AD347" s="5"/>
      <c r="AE347" s="9"/>
      <c r="AF347" s="9"/>
      <c r="AG347" s="26"/>
      <c r="AH347" s="26"/>
      <c r="AI347" s="26"/>
    </row>
    <row r="348" spans="1:35" ht="15">
      <c r="A348" s="155"/>
      <c r="B348" s="155"/>
      <c r="C348" s="155"/>
      <c r="D348" s="176" t="s">
        <v>460</v>
      </c>
      <c r="E348" s="177" t="s">
        <v>461</v>
      </c>
      <c r="F348" s="176" t="s">
        <v>462</v>
      </c>
      <c r="G348" s="178"/>
      <c r="H348" s="85" t="s">
        <v>49</v>
      </c>
      <c r="I348" s="135"/>
      <c r="J348" s="84"/>
      <c r="K348" s="84"/>
      <c r="L348" s="86" t="b">
        <v>0</v>
      </c>
      <c r="M348" s="86" t="b">
        <v>0</v>
      </c>
      <c r="N348" s="83"/>
      <c r="O348" s="83"/>
      <c r="P348" s="87">
        <f t="shared" si="53"/>
        <v>0</v>
      </c>
      <c r="Q348" s="83"/>
      <c r="R348" s="84"/>
      <c r="S348" s="83"/>
      <c r="T348" s="83"/>
      <c r="U348" s="87">
        <f t="shared" si="54"/>
        <v>0</v>
      </c>
      <c r="V348" s="84"/>
      <c r="W348" s="84"/>
      <c r="X348" s="84"/>
      <c r="Y348" s="84"/>
      <c r="Z348" s="85"/>
      <c r="AA348" s="84"/>
      <c r="AB348" s="85"/>
      <c r="AC348" s="85"/>
      <c r="AD348" s="85"/>
      <c r="AE348" s="84"/>
      <c r="AF348" s="84"/>
      <c r="AG348" s="122"/>
      <c r="AH348" s="122"/>
      <c r="AI348" s="153"/>
    </row>
    <row r="349" spans="1:35" ht="15">
      <c r="A349" s="155"/>
      <c r="B349" s="155"/>
      <c r="C349" s="155"/>
      <c r="D349" s="155"/>
      <c r="E349" s="155"/>
      <c r="F349" s="155"/>
      <c r="G349" s="155"/>
      <c r="H349" s="85" t="s">
        <v>58</v>
      </c>
      <c r="I349" s="135"/>
      <c r="J349" s="84"/>
      <c r="K349" s="84"/>
      <c r="L349" s="86" t="b">
        <v>0</v>
      </c>
      <c r="M349" s="86" t="b">
        <v>0</v>
      </c>
      <c r="N349" s="83"/>
      <c r="O349" s="83"/>
      <c r="P349" s="87">
        <f t="shared" si="53"/>
        <v>0</v>
      </c>
      <c r="Q349" s="83"/>
      <c r="R349" s="84"/>
      <c r="S349" s="83"/>
      <c r="T349" s="83"/>
      <c r="U349" s="87">
        <f t="shared" si="54"/>
        <v>0</v>
      </c>
      <c r="V349" s="84"/>
      <c r="W349" s="84"/>
      <c r="X349" s="133"/>
      <c r="Y349" s="133"/>
      <c r="Z349" s="121"/>
      <c r="AA349" s="133"/>
      <c r="AB349" s="121"/>
      <c r="AC349" s="121"/>
      <c r="AD349" s="121"/>
      <c r="AE349" s="84"/>
      <c r="AF349" s="84"/>
      <c r="AG349" s="122"/>
      <c r="AH349" s="122"/>
      <c r="AI349" s="153"/>
    </row>
    <row r="350" spans="1:35" ht="15">
      <c r="A350" s="155"/>
      <c r="B350" s="155"/>
      <c r="C350" s="155"/>
      <c r="D350" s="157" t="s">
        <v>453</v>
      </c>
      <c r="E350" s="157" t="s">
        <v>463</v>
      </c>
      <c r="F350" s="157" t="s">
        <v>464</v>
      </c>
      <c r="G350" s="158"/>
      <c r="H350" s="5" t="s">
        <v>465</v>
      </c>
      <c r="I350" s="22"/>
      <c r="J350" s="9"/>
      <c r="K350" s="9"/>
      <c r="L350" s="11" t="b">
        <v>0</v>
      </c>
      <c r="M350" s="11" t="b">
        <v>0</v>
      </c>
      <c r="N350" s="7"/>
      <c r="O350" s="7"/>
      <c r="P350" s="8">
        <f t="shared" si="53"/>
        <v>0</v>
      </c>
      <c r="Q350" s="7"/>
      <c r="R350" s="9"/>
      <c r="S350" s="7"/>
      <c r="T350" s="7"/>
      <c r="U350" s="8">
        <f t="shared" si="54"/>
        <v>0</v>
      </c>
      <c r="V350" s="9"/>
      <c r="W350" s="9"/>
      <c r="X350" s="18"/>
      <c r="Y350" s="18"/>
      <c r="Z350" s="19"/>
      <c r="AA350" s="18"/>
      <c r="AB350" s="19"/>
      <c r="AC350" s="19"/>
      <c r="AD350" s="19"/>
      <c r="AE350" s="9"/>
      <c r="AF350" s="9"/>
      <c r="AG350" s="26"/>
      <c r="AH350" s="26"/>
      <c r="AI350" s="151"/>
    </row>
    <row r="351" spans="1:35" ht="15">
      <c r="A351" s="155"/>
      <c r="B351" s="155"/>
      <c r="C351" s="155"/>
      <c r="D351" s="155"/>
      <c r="E351" s="155"/>
      <c r="F351" s="155"/>
      <c r="G351" s="155"/>
      <c r="H351" s="5" t="s">
        <v>58</v>
      </c>
      <c r="I351" s="22"/>
      <c r="J351" s="9"/>
      <c r="K351" s="9"/>
      <c r="L351" s="11" t="b">
        <v>0</v>
      </c>
      <c r="M351" s="11" t="b">
        <v>0</v>
      </c>
      <c r="N351" s="7"/>
      <c r="O351" s="7"/>
      <c r="P351" s="8">
        <f t="shared" si="53"/>
        <v>0</v>
      </c>
      <c r="Q351" s="7"/>
      <c r="R351" s="9"/>
      <c r="S351" s="7"/>
      <c r="T351" s="7"/>
      <c r="U351" s="8">
        <f t="shared" si="54"/>
        <v>0</v>
      </c>
      <c r="V351" s="9"/>
      <c r="W351" s="9"/>
      <c r="X351" s="18"/>
      <c r="Y351" s="18"/>
      <c r="Z351" s="19"/>
      <c r="AA351" s="18"/>
      <c r="AB351" s="19"/>
      <c r="AC351" s="19"/>
      <c r="AD351" s="19"/>
      <c r="AE351" s="9"/>
      <c r="AF351" s="9"/>
      <c r="AG351" s="26"/>
      <c r="AH351" s="26"/>
      <c r="AI351" s="151"/>
    </row>
    <row r="352" spans="1:35" ht="12.75">
      <c r="A352" s="114"/>
      <c r="B352" s="114"/>
      <c r="C352" s="114"/>
      <c r="D352" s="115"/>
      <c r="E352" s="115"/>
      <c r="F352" s="115"/>
      <c r="G352" s="116"/>
      <c r="H352" s="115"/>
      <c r="I352" s="117"/>
      <c r="J352" s="116"/>
      <c r="K352" s="116"/>
      <c r="L352" s="116"/>
      <c r="M352" s="116"/>
      <c r="N352" s="118"/>
      <c r="O352" s="118"/>
      <c r="P352" s="119"/>
      <c r="Q352" s="118"/>
      <c r="R352" s="116"/>
      <c r="S352" s="118"/>
      <c r="T352" s="118"/>
      <c r="U352" s="119"/>
      <c r="V352" s="116"/>
      <c r="W352" s="116"/>
      <c r="X352" s="116"/>
      <c r="Y352" s="116"/>
      <c r="Z352" s="115"/>
      <c r="AA352" s="116"/>
      <c r="AB352" s="115"/>
      <c r="AC352" s="115"/>
      <c r="AD352" s="115"/>
      <c r="AE352" s="116"/>
      <c r="AF352" s="116"/>
      <c r="AG352" s="116"/>
      <c r="AH352" s="116"/>
      <c r="AI352" s="116"/>
    </row>
    <row r="353" spans="1:35" ht="12.75">
      <c r="A353" s="161" t="s">
        <v>319</v>
      </c>
      <c r="B353" s="161" t="s">
        <v>178</v>
      </c>
      <c r="C353" s="161" t="s">
        <v>319</v>
      </c>
      <c r="D353" s="162" t="s">
        <v>453</v>
      </c>
      <c r="E353" s="160" t="s">
        <v>47</v>
      </c>
      <c r="F353" s="162" t="s">
        <v>454</v>
      </c>
      <c r="G353" s="164"/>
      <c r="H353" s="77" t="s">
        <v>49</v>
      </c>
      <c r="I353" s="108"/>
      <c r="J353" s="78"/>
      <c r="K353" s="78"/>
      <c r="L353" s="79" t="b">
        <v>0</v>
      </c>
      <c r="M353" s="79" t="b">
        <v>0</v>
      </c>
      <c r="N353" s="81"/>
      <c r="O353" s="81"/>
      <c r="P353" s="80">
        <f t="shared" ref="P353:P364" si="55">N353+O353</f>
        <v>0</v>
      </c>
      <c r="Q353" s="81"/>
      <c r="R353" s="78"/>
      <c r="S353" s="81"/>
      <c r="T353" s="81"/>
      <c r="U353" s="80">
        <f t="shared" ref="U353:U364" si="56">S353+T353</f>
        <v>0</v>
      </c>
      <c r="V353" s="78"/>
      <c r="W353" s="78"/>
      <c r="X353" s="78"/>
      <c r="Y353" s="78"/>
      <c r="Z353" s="77"/>
      <c r="AA353" s="78"/>
      <c r="AB353" s="77"/>
      <c r="AC353" s="77"/>
      <c r="AD353" s="77"/>
      <c r="AE353" s="78"/>
      <c r="AF353" s="78"/>
      <c r="AG353" s="109"/>
      <c r="AH353" s="109"/>
      <c r="AI353" s="78"/>
    </row>
    <row r="354" spans="1:35" ht="12.75">
      <c r="A354" s="155"/>
      <c r="B354" s="155"/>
      <c r="C354" s="155"/>
      <c r="D354" s="155"/>
      <c r="E354" s="155"/>
      <c r="F354" s="155"/>
      <c r="G354" s="155"/>
      <c r="H354" s="85" t="s">
        <v>58</v>
      </c>
      <c r="I354" s="112"/>
      <c r="J354" s="84"/>
      <c r="K354" s="84"/>
      <c r="L354" s="86" t="b">
        <v>0</v>
      </c>
      <c r="M354" s="86" t="b">
        <v>0</v>
      </c>
      <c r="N354" s="83"/>
      <c r="O354" s="83"/>
      <c r="P354" s="87">
        <f t="shared" si="55"/>
        <v>0</v>
      </c>
      <c r="Q354" s="83"/>
      <c r="R354" s="84"/>
      <c r="S354" s="83"/>
      <c r="T354" s="83"/>
      <c r="U354" s="87">
        <f t="shared" si="56"/>
        <v>0</v>
      </c>
      <c r="V354" s="84"/>
      <c r="W354" s="84"/>
      <c r="X354" s="84"/>
      <c r="Y354" s="84"/>
      <c r="Z354" s="85"/>
      <c r="AA354" s="84"/>
      <c r="AB354" s="85"/>
      <c r="AC354" s="85"/>
      <c r="AD354" s="85"/>
      <c r="AE354" s="84"/>
      <c r="AF354" s="84"/>
      <c r="AG354" s="110"/>
      <c r="AH354" s="110"/>
      <c r="AI354" s="84"/>
    </row>
    <row r="355" spans="1:35" ht="12.75">
      <c r="A355" s="155"/>
      <c r="B355" s="155"/>
      <c r="C355" s="155"/>
      <c r="D355" s="157" t="s">
        <v>453</v>
      </c>
      <c r="E355" s="157" t="s">
        <v>59</v>
      </c>
      <c r="F355" s="157" t="s">
        <v>454</v>
      </c>
      <c r="G355" s="158"/>
      <c r="H355" s="5" t="s">
        <v>49</v>
      </c>
      <c r="I355" s="17"/>
      <c r="J355" s="9"/>
      <c r="K355" s="9"/>
      <c r="L355" s="11" t="b">
        <v>0</v>
      </c>
      <c r="M355" s="11" t="b">
        <v>0</v>
      </c>
      <c r="N355" s="7"/>
      <c r="O355" s="7"/>
      <c r="P355" s="8">
        <f t="shared" si="55"/>
        <v>0</v>
      </c>
      <c r="Q355" s="7"/>
      <c r="R355" s="9"/>
      <c r="S355" s="7"/>
      <c r="T355" s="7"/>
      <c r="U355" s="8">
        <f t="shared" si="56"/>
        <v>0</v>
      </c>
      <c r="V355" s="9"/>
      <c r="W355" s="9"/>
      <c r="X355" s="18"/>
      <c r="Y355" s="18"/>
      <c r="Z355" s="19"/>
      <c r="AA355" s="18"/>
      <c r="AB355" s="19"/>
      <c r="AC355" s="19"/>
      <c r="AD355" s="19"/>
      <c r="AE355" s="9"/>
      <c r="AF355" s="9"/>
      <c r="AG355" s="26"/>
      <c r="AH355" s="26"/>
      <c r="AI355" s="89"/>
    </row>
    <row r="356" spans="1:35" ht="12.75">
      <c r="A356" s="155"/>
      <c r="B356" s="155"/>
      <c r="C356" s="155"/>
      <c r="D356" s="155"/>
      <c r="E356" s="155"/>
      <c r="F356" s="155"/>
      <c r="G356" s="155"/>
      <c r="H356" s="5" t="s">
        <v>58</v>
      </c>
      <c r="I356" s="22"/>
      <c r="J356" s="9"/>
      <c r="K356" s="9"/>
      <c r="L356" s="11" t="b">
        <v>0</v>
      </c>
      <c r="M356" s="11" t="b">
        <v>0</v>
      </c>
      <c r="N356" s="7"/>
      <c r="O356" s="7"/>
      <c r="P356" s="8">
        <f t="shared" si="55"/>
        <v>0</v>
      </c>
      <c r="Q356" s="7"/>
      <c r="R356" s="9"/>
      <c r="S356" s="7"/>
      <c r="T356" s="7"/>
      <c r="U356" s="8">
        <f t="shared" si="56"/>
        <v>0</v>
      </c>
      <c r="V356" s="9"/>
      <c r="W356" s="9"/>
      <c r="X356" s="18"/>
      <c r="Y356" s="18"/>
      <c r="Z356" s="19"/>
      <c r="AA356" s="18"/>
      <c r="AB356" s="19"/>
      <c r="AC356" s="19"/>
      <c r="AD356" s="19"/>
      <c r="AE356" s="9"/>
      <c r="AF356" s="9"/>
      <c r="AG356" s="26"/>
      <c r="AH356" s="26"/>
      <c r="AI356" s="9"/>
    </row>
    <row r="357" spans="1:35" ht="15">
      <c r="A357" s="155"/>
      <c r="B357" s="155"/>
      <c r="C357" s="155"/>
      <c r="D357" s="176" t="s">
        <v>455</v>
      </c>
      <c r="E357" s="176" t="s">
        <v>456</v>
      </c>
      <c r="F357" s="177" t="s">
        <v>457</v>
      </c>
      <c r="G357" s="178"/>
      <c r="H357" s="85" t="s">
        <v>458</v>
      </c>
      <c r="I357" s="147"/>
      <c r="J357" s="84"/>
      <c r="K357" s="84"/>
      <c r="L357" s="86" t="b">
        <v>0</v>
      </c>
      <c r="M357" s="86" t="b">
        <v>0</v>
      </c>
      <c r="N357" s="83"/>
      <c r="O357" s="83"/>
      <c r="P357" s="87">
        <f t="shared" si="55"/>
        <v>0</v>
      </c>
      <c r="Q357" s="83"/>
      <c r="R357" s="84"/>
      <c r="S357" s="83"/>
      <c r="T357" s="83"/>
      <c r="U357" s="87">
        <f t="shared" si="56"/>
        <v>0</v>
      </c>
      <c r="V357" s="84"/>
      <c r="W357" s="84"/>
      <c r="X357" s="133"/>
      <c r="Y357" s="133"/>
      <c r="Z357" s="121"/>
      <c r="AA357" s="133"/>
      <c r="AB357" s="121"/>
      <c r="AC357" s="121"/>
      <c r="AD357" s="121"/>
      <c r="AE357" s="84"/>
      <c r="AF357" s="84"/>
      <c r="AG357" s="122"/>
      <c r="AH357" s="122"/>
      <c r="AI357" s="84"/>
    </row>
    <row r="358" spans="1:35" ht="15">
      <c r="A358" s="155"/>
      <c r="B358" s="155"/>
      <c r="C358" s="155"/>
      <c r="D358" s="155"/>
      <c r="E358" s="155"/>
      <c r="F358" s="155"/>
      <c r="G358" s="155"/>
      <c r="H358" s="85" t="s">
        <v>58</v>
      </c>
      <c r="I358" s="147"/>
      <c r="J358" s="84"/>
      <c r="K358" s="84"/>
      <c r="L358" s="86" t="b">
        <v>0</v>
      </c>
      <c r="M358" s="86" t="b">
        <v>0</v>
      </c>
      <c r="N358" s="83"/>
      <c r="O358" s="83"/>
      <c r="P358" s="87">
        <f t="shared" si="55"/>
        <v>0</v>
      </c>
      <c r="Q358" s="83"/>
      <c r="R358" s="84"/>
      <c r="S358" s="83"/>
      <c r="T358" s="83"/>
      <c r="U358" s="87">
        <f t="shared" si="56"/>
        <v>0</v>
      </c>
      <c r="V358" s="84"/>
      <c r="W358" s="84"/>
      <c r="X358" s="133"/>
      <c r="Y358" s="133"/>
      <c r="Z358" s="121"/>
      <c r="AA358" s="133"/>
      <c r="AB358" s="121"/>
      <c r="AC358" s="121"/>
      <c r="AD358" s="121"/>
      <c r="AE358" s="84"/>
      <c r="AF358" s="84"/>
      <c r="AG358" s="122"/>
      <c r="AH358" s="122"/>
      <c r="AI358" s="148"/>
    </row>
    <row r="359" spans="1:35" ht="15">
      <c r="A359" s="155"/>
      <c r="B359" s="155"/>
      <c r="C359" s="155"/>
      <c r="D359" s="157" t="s">
        <v>455</v>
      </c>
      <c r="E359" s="175" t="s">
        <v>459</v>
      </c>
      <c r="F359" s="156" t="s">
        <v>457</v>
      </c>
      <c r="G359" s="158"/>
      <c r="H359" s="5" t="s">
        <v>458</v>
      </c>
      <c r="I359" s="150"/>
      <c r="J359" s="9"/>
      <c r="K359" s="9"/>
      <c r="L359" s="11" t="b">
        <v>0</v>
      </c>
      <c r="M359" s="11" t="b">
        <v>0</v>
      </c>
      <c r="N359" s="7"/>
      <c r="O359" s="7"/>
      <c r="P359" s="8">
        <f t="shared" si="55"/>
        <v>0</v>
      </c>
      <c r="Q359" s="7"/>
      <c r="R359" s="9"/>
      <c r="S359" s="7"/>
      <c r="T359" s="7"/>
      <c r="U359" s="8">
        <f t="shared" si="56"/>
        <v>0</v>
      </c>
      <c r="V359" s="9"/>
      <c r="W359" s="9"/>
      <c r="X359" s="9"/>
      <c r="Y359" s="9"/>
      <c r="Z359" s="5"/>
      <c r="AA359" s="9"/>
      <c r="AB359" s="5"/>
      <c r="AC359" s="5"/>
      <c r="AD359" s="5"/>
      <c r="AE359" s="9"/>
      <c r="AF359" s="9"/>
      <c r="AG359" s="26"/>
      <c r="AH359" s="26"/>
      <c r="AI359" s="151"/>
    </row>
    <row r="360" spans="1:35" ht="12.75">
      <c r="A360" s="155"/>
      <c r="B360" s="155"/>
      <c r="C360" s="155"/>
      <c r="D360" s="155"/>
      <c r="E360" s="155"/>
      <c r="F360" s="155"/>
      <c r="G360" s="155"/>
      <c r="H360" s="5" t="s">
        <v>58</v>
      </c>
      <c r="I360" s="152"/>
      <c r="J360" s="9"/>
      <c r="K360" s="9"/>
      <c r="L360" s="11" t="b">
        <v>0</v>
      </c>
      <c r="M360" s="11" t="b">
        <v>0</v>
      </c>
      <c r="N360" s="7"/>
      <c r="O360" s="7"/>
      <c r="P360" s="8">
        <f t="shared" si="55"/>
        <v>0</v>
      </c>
      <c r="Q360" s="7"/>
      <c r="R360" s="9"/>
      <c r="S360" s="7"/>
      <c r="T360" s="7"/>
      <c r="U360" s="8">
        <f t="shared" si="56"/>
        <v>0</v>
      </c>
      <c r="V360" s="9"/>
      <c r="W360" s="9"/>
      <c r="X360" s="9"/>
      <c r="Y360" s="9"/>
      <c r="Z360" s="5"/>
      <c r="AA360" s="9"/>
      <c r="AB360" s="5"/>
      <c r="AC360" s="5"/>
      <c r="AD360" s="5"/>
      <c r="AE360" s="9"/>
      <c r="AF360" s="9"/>
      <c r="AG360" s="26"/>
      <c r="AH360" s="26"/>
      <c r="AI360" s="26"/>
    </row>
    <row r="361" spans="1:35" ht="15">
      <c r="A361" s="155"/>
      <c r="B361" s="155"/>
      <c r="C361" s="155"/>
      <c r="D361" s="176" t="s">
        <v>460</v>
      </c>
      <c r="E361" s="177" t="s">
        <v>461</v>
      </c>
      <c r="F361" s="176" t="s">
        <v>462</v>
      </c>
      <c r="G361" s="178"/>
      <c r="H361" s="85" t="s">
        <v>49</v>
      </c>
      <c r="I361" s="135"/>
      <c r="J361" s="84"/>
      <c r="K361" s="84"/>
      <c r="L361" s="86" t="b">
        <v>0</v>
      </c>
      <c r="M361" s="86" t="b">
        <v>0</v>
      </c>
      <c r="N361" s="83"/>
      <c r="O361" s="83"/>
      <c r="P361" s="87">
        <f t="shared" si="55"/>
        <v>0</v>
      </c>
      <c r="Q361" s="83"/>
      <c r="R361" s="84"/>
      <c r="S361" s="83"/>
      <c r="T361" s="83"/>
      <c r="U361" s="87">
        <f t="shared" si="56"/>
        <v>0</v>
      </c>
      <c r="V361" s="84"/>
      <c r="W361" s="84"/>
      <c r="X361" s="84"/>
      <c r="Y361" s="84"/>
      <c r="Z361" s="85"/>
      <c r="AA361" s="84"/>
      <c r="AB361" s="85"/>
      <c r="AC361" s="85"/>
      <c r="AD361" s="85"/>
      <c r="AE361" s="84"/>
      <c r="AF361" s="84"/>
      <c r="AG361" s="122"/>
      <c r="AH361" s="122"/>
      <c r="AI361" s="153"/>
    </row>
    <row r="362" spans="1:35" ht="15">
      <c r="A362" s="155"/>
      <c r="B362" s="155"/>
      <c r="C362" s="155"/>
      <c r="D362" s="155"/>
      <c r="E362" s="155"/>
      <c r="F362" s="155"/>
      <c r="G362" s="155"/>
      <c r="H362" s="85" t="s">
        <v>58</v>
      </c>
      <c r="I362" s="135"/>
      <c r="J362" s="84"/>
      <c r="K362" s="84"/>
      <c r="L362" s="86" t="b">
        <v>0</v>
      </c>
      <c r="M362" s="86" t="b">
        <v>0</v>
      </c>
      <c r="N362" s="83"/>
      <c r="O362" s="83"/>
      <c r="P362" s="87">
        <f t="shared" si="55"/>
        <v>0</v>
      </c>
      <c r="Q362" s="83"/>
      <c r="R362" s="84"/>
      <c r="S362" s="83"/>
      <c r="T362" s="83"/>
      <c r="U362" s="87">
        <f t="shared" si="56"/>
        <v>0</v>
      </c>
      <c r="V362" s="84"/>
      <c r="W362" s="84"/>
      <c r="X362" s="133"/>
      <c r="Y362" s="133"/>
      <c r="Z362" s="121"/>
      <c r="AA362" s="133"/>
      <c r="AB362" s="121"/>
      <c r="AC362" s="121"/>
      <c r="AD362" s="121"/>
      <c r="AE362" s="84"/>
      <c r="AF362" s="84"/>
      <c r="AG362" s="122"/>
      <c r="AH362" s="122"/>
      <c r="AI362" s="153"/>
    </row>
    <row r="363" spans="1:35" ht="15">
      <c r="A363" s="155"/>
      <c r="B363" s="155"/>
      <c r="C363" s="155"/>
      <c r="D363" s="157" t="s">
        <v>453</v>
      </c>
      <c r="E363" s="157" t="s">
        <v>463</v>
      </c>
      <c r="F363" s="157" t="s">
        <v>464</v>
      </c>
      <c r="G363" s="158"/>
      <c r="H363" s="5" t="s">
        <v>465</v>
      </c>
      <c r="I363" s="22"/>
      <c r="J363" s="9"/>
      <c r="K363" s="9"/>
      <c r="L363" s="11" t="b">
        <v>0</v>
      </c>
      <c r="M363" s="11" t="b">
        <v>0</v>
      </c>
      <c r="N363" s="7"/>
      <c r="O363" s="7"/>
      <c r="P363" s="8">
        <f t="shared" si="55"/>
        <v>0</v>
      </c>
      <c r="Q363" s="7"/>
      <c r="R363" s="9"/>
      <c r="S363" s="7"/>
      <c r="T363" s="7"/>
      <c r="U363" s="8">
        <f t="shared" si="56"/>
        <v>0</v>
      </c>
      <c r="V363" s="9"/>
      <c r="W363" s="9"/>
      <c r="X363" s="18"/>
      <c r="Y363" s="18"/>
      <c r="Z363" s="19"/>
      <c r="AA363" s="18"/>
      <c r="AB363" s="19"/>
      <c r="AC363" s="19"/>
      <c r="AD363" s="19"/>
      <c r="AE363" s="9"/>
      <c r="AF363" s="9"/>
      <c r="AG363" s="26"/>
      <c r="AH363" s="26"/>
      <c r="AI363" s="151"/>
    </row>
    <row r="364" spans="1:35" ht="15">
      <c r="A364" s="155"/>
      <c r="B364" s="155"/>
      <c r="C364" s="155"/>
      <c r="D364" s="155"/>
      <c r="E364" s="155"/>
      <c r="F364" s="155"/>
      <c r="G364" s="155"/>
      <c r="H364" s="5" t="s">
        <v>58</v>
      </c>
      <c r="I364" s="22"/>
      <c r="J364" s="9"/>
      <c r="K364" s="9"/>
      <c r="L364" s="11" t="b">
        <v>0</v>
      </c>
      <c r="M364" s="11" t="b">
        <v>0</v>
      </c>
      <c r="N364" s="7"/>
      <c r="O364" s="7"/>
      <c r="P364" s="8">
        <f t="shared" si="55"/>
        <v>0</v>
      </c>
      <c r="Q364" s="7"/>
      <c r="R364" s="9"/>
      <c r="S364" s="7"/>
      <c r="T364" s="7"/>
      <c r="U364" s="8">
        <f t="shared" si="56"/>
        <v>0</v>
      </c>
      <c r="V364" s="9"/>
      <c r="W364" s="9"/>
      <c r="X364" s="18"/>
      <c r="Y364" s="18"/>
      <c r="Z364" s="19"/>
      <c r="AA364" s="18"/>
      <c r="AB364" s="19"/>
      <c r="AC364" s="19"/>
      <c r="AD364" s="19"/>
      <c r="AE364" s="9"/>
      <c r="AF364" s="9"/>
      <c r="AG364" s="26"/>
      <c r="AH364" s="26"/>
      <c r="AI364" s="151"/>
    </row>
    <row r="365" spans="1:35" ht="12.75">
      <c r="A365" s="114"/>
      <c r="B365" s="114"/>
      <c r="C365" s="114"/>
      <c r="D365" s="115"/>
      <c r="E365" s="115"/>
      <c r="F365" s="115"/>
      <c r="G365" s="116"/>
      <c r="H365" s="115"/>
      <c r="I365" s="117"/>
      <c r="J365" s="116"/>
      <c r="K365" s="116"/>
      <c r="L365" s="116"/>
      <c r="M365" s="116"/>
      <c r="N365" s="118"/>
      <c r="O365" s="118"/>
      <c r="P365" s="119"/>
      <c r="Q365" s="118"/>
      <c r="R365" s="116"/>
      <c r="S365" s="118"/>
      <c r="T365" s="118"/>
      <c r="U365" s="119"/>
      <c r="V365" s="116"/>
      <c r="W365" s="116"/>
      <c r="X365" s="116"/>
      <c r="Y365" s="116"/>
      <c r="Z365" s="115"/>
      <c r="AA365" s="116"/>
      <c r="AB365" s="115"/>
      <c r="AC365" s="115"/>
      <c r="AD365" s="115"/>
      <c r="AE365" s="116"/>
      <c r="AF365" s="116"/>
      <c r="AG365" s="116"/>
      <c r="AH365" s="116"/>
      <c r="AI365" s="116"/>
    </row>
    <row r="366" spans="1:35" ht="12.75">
      <c r="A366" s="161" t="s">
        <v>332</v>
      </c>
      <c r="B366" s="161" t="s">
        <v>178</v>
      </c>
      <c r="C366" s="161" t="s">
        <v>319</v>
      </c>
      <c r="D366" s="162" t="s">
        <v>453</v>
      </c>
      <c r="E366" s="160" t="s">
        <v>47</v>
      </c>
      <c r="F366" s="162" t="s">
        <v>454</v>
      </c>
      <c r="G366" s="164"/>
      <c r="H366" s="77" t="s">
        <v>49</v>
      </c>
      <c r="I366" s="108"/>
      <c r="J366" s="78"/>
      <c r="K366" s="78"/>
      <c r="L366" s="79" t="b">
        <v>0</v>
      </c>
      <c r="M366" s="79" t="b">
        <v>0</v>
      </c>
      <c r="N366" s="81"/>
      <c r="O366" s="81"/>
      <c r="P366" s="80">
        <f t="shared" ref="P366:P377" si="57">N366+O366</f>
        <v>0</v>
      </c>
      <c r="Q366" s="81"/>
      <c r="R366" s="78"/>
      <c r="S366" s="81"/>
      <c r="T366" s="81"/>
      <c r="U366" s="80">
        <f t="shared" ref="U366:U377" si="58">S366+T366</f>
        <v>0</v>
      </c>
      <c r="V366" s="78"/>
      <c r="W366" s="78"/>
      <c r="X366" s="78"/>
      <c r="Y366" s="78"/>
      <c r="Z366" s="77"/>
      <c r="AA366" s="78"/>
      <c r="AB366" s="77"/>
      <c r="AC366" s="77"/>
      <c r="AD366" s="77"/>
      <c r="AE366" s="78"/>
      <c r="AF366" s="78"/>
      <c r="AG366" s="109"/>
      <c r="AH366" s="109"/>
      <c r="AI366" s="78"/>
    </row>
    <row r="367" spans="1:35" ht="12.75">
      <c r="A367" s="155"/>
      <c r="B367" s="155"/>
      <c r="C367" s="155"/>
      <c r="D367" s="155"/>
      <c r="E367" s="155"/>
      <c r="F367" s="155"/>
      <c r="G367" s="155"/>
      <c r="H367" s="85" t="s">
        <v>58</v>
      </c>
      <c r="I367" s="112"/>
      <c r="J367" s="84"/>
      <c r="K367" s="84"/>
      <c r="L367" s="86" t="b">
        <v>0</v>
      </c>
      <c r="M367" s="86" t="b">
        <v>0</v>
      </c>
      <c r="N367" s="83"/>
      <c r="O367" s="83"/>
      <c r="P367" s="87">
        <f t="shared" si="57"/>
        <v>0</v>
      </c>
      <c r="Q367" s="83"/>
      <c r="R367" s="84"/>
      <c r="S367" s="83"/>
      <c r="T367" s="83"/>
      <c r="U367" s="87">
        <f t="shared" si="58"/>
        <v>0</v>
      </c>
      <c r="V367" s="84"/>
      <c r="W367" s="84"/>
      <c r="X367" s="84"/>
      <c r="Y367" s="84"/>
      <c r="Z367" s="85"/>
      <c r="AA367" s="84"/>
      <c r="AB367" s="85"/>
      <c r="AC367" s="85"/>
      <c r="AD367" s="85"/>
      <c r="AE367" s="84"/>
      <c r="AF367" s="84"/>
      <c r="AG367" s="110"/>
      <c r="AH367" s="110"/>
      <c r="AI367" s="84"/>
    </row>
    <row r="368" spans="1:35" ht="12.75">
      <c r="A368" s="155"/>
      <c r="B368" s="155"/>
      <c r="C368" s="155"/>
      <c r="D368" s="157" t="s">
        <v>453</v>
      </c>
      <c r="E368" s="157" t="s">
        <v>59</v>
      </c>
      <c r="F368" s="157" t="s">
        <v>454</v>
      </c>
      <c r="G368" s="158"/>
      <c r="H368" s="5" t="s">
        <v>49</v>
      </c>
      <c r="I368" s="17"/>
      <c r="J368" s="9"/>
      <c r="K368" s="9"/>
      <c r="L368" s="11" t="b">
        <v>0</v>
      </c>
      <c r="M368" s="11" t="b">
        <v>0</v>
      </c>
      <c r="N368" s="7"/>
      <c r="O368" s="7"/>
      <c r="P368" s="8">
        <f t="shared" si="57"/>
        <v>0</v>
      </c>
      <c r="Q368" s="7"/>
      <c r="R368" s="9"/>
      <c r="S368" s="7"/>
      <c r="T368" s="7"/>
      <c r="U368" s="8">
        <f t="shared" si="58"/>
        <v>0</v>
      </c>
      <c r="V368" s="9"/>
      <c r="W368" s="9"/>
      <c r="X368" s="18"/>
      <c r="Y368" s="18"/>
      <c r="Z368" s="19"/>
      <c r="AA368" s="18"/>
      <c r="AB368" s="19"/>
      <c r="AC368" s="19"/>
      <c r="AD368" s="19"/>
      <c r="AE368" s="9"/>
      <c r="AF368" s="9"/>
      <c r="AG368" s="26"/>
      <c r="AH368" s="26"/>
      <c r="AI368" s="89"/>
    </row>
    <row r="369" spans="1:35" ht="12.75">
      <c r="A369" s="155"/>
      <c r="B369" s="155"/>
      <c r="C369" s="155"/>
      <c r="D369" s="155"/>
      <c r="E369" s="155"/>
      <c r="F369" s="155"/>
      <c r="G369" s="155"/>
      <c r="H369" s="5" t="s">
        <v>58</v>
      </c>
      <c r="I369" s="22"/>
      <c r="J369" s="9"/>
      <c r="K369" s="9"/>
      <c r="L369" s="11" t="b">
        <v>0</v>
      </c>
      <c r="M369" s="11" t="b">
        <v>0</v>
      </c>
      <c r="N369" s="7"/>
      <c r="O369" s="7"/>
      <c r="P369" s="8">
        <f t="shared" si="57"/>
        <v>0</v>
      </c>
      <c r="Q369" s="7"/>
      <c r="R369" s="9"/>
      <c r="S369" s="7"/>
      <c r="T369" s="7"/>
      <c r="U369" s="8">
        <f t="shared" si="58"/>
        <v>0</v>
      </c>
      <c r="V369" s="9"/>
      <c r="W369" s="9"/>
      <c r="X369" s="18"/>
      <c r="Y369" s="18"/>
      <c r="Z369" s="19"/>
      <c r="AA369" s="18"/>
      <c r="AB369" s="19"/>
      <c r="AC369" s="19"/>
      <c r="AD369" s="19"/>
      <c r="AE369" s="9"/>
      <c r="AF369" s="9"/>
      <c r="AG369" s="26"/>
      <c r="AH369" s="26"/>
      <c r="AI369" s="9"/>
    </row>
    <row r="370" spans="1:35" ht="15">
      <c r="A370" s="155"/>
      <c r="B370" s="155"/>
      <c r="C370" s="155"/>
      <c r="D370" s="176" t="s">
        <v>455</v>
      </c>
      <c r="E370" s="176" t="s">
        <v>456</v>
      </c>
      <c r="F370" s="177" t="s">
        <v>457</v>
      </c>
      <c r="G370" s="178"/>
      <c r="H370" s="85" t="s">
        <v>458</v>
      </c>
      <c r="I370" s="147"/>
      <c r="J370" s="84"/>
      <c r="K370" s="84"/>
      <c r="L370" s="86" t="b">
        <v>0</v>
      </c>
      <c r="M370" s="86" t="b">
        <v>0</v>
      </c>
      <c r="N370" s="83"/>
      <c r="O370" s="83"/>
      <c r="P370" s="87">
        <f t="shared" si="57"/>
        <v>0</v>
      </c>
      <c r="Q370" s="83"/>
      <c r="R370" s="84"/>
      <c r="S370" s="83"/>
      <c r="T370" s="83"/>
      <c r="U370" s="87">
        <f t="shared" si="58"/>
        <v>0</v>
      </c>
      <c r="V370" s="84"/>
      <c r="W370" s="84"/>
      <c r="X370" s="133"/>
      <c r="Y370" s="133"/>
      <c r="Z370" s="121"/>
      <c r="AA370" s="133"/>
      <c r="AB370" s="121"/>
      <c r="AC370" s="121"/>
      <c r="AD370" s="121"/>
      <c r="AE370" s="84"/>
      <c r="AF370" s="84"/>
      <c r="AG370" s="122"/>
      <c r="AH370" s="122"/>
      <c r="AI370" s="84"/>
    </row>
    <row r="371" spans="1:35" ht="15">
      <c r="A371" s="155"/>
      <c r="B371" s="155"/>
      <c r="C371" s="155"/>
      <c r="D371" s="155"/>
      <c r="E371" s="155"/>
      <c r="F371" s="155"/>
      <c r="G371" s="155"/>
      <c r="H371" s="85" t="s">
        <v>58</v>
      </c>
      <c r="I371" s="147"/>
      <c r="J371" s="84"/>
      <c r="K371" s="84"/>
      <c r="L371" s="86" t="b">
        <v>0</v>
      </c>
      <c r="M371" s="86" t="b">
        <v>0</v>
      </c>
      <c r="N371" s="83"/>
      <c r="O371" s="83"/>
      <c r="P371" s="87">
        <f t="shared" si="57"/>
        <v>0</v>
      </c>
      <c r="Q371" s="83"/>
      <c r="R371" s="84"/>
      <c r="S371" s="83"/>
      <c r="T371" s="83"/>
      <c r="U371" s="87">
        <f t="shared" si="58"/>
        <v>0</v>
      </c>
      <c r="V371" s="84"/>
      <c r="W371" s="84"/>
      <c r="X371" s="133"/>
      <c r="Y371" s="133"/>
      <c r="Z371" s="121"/>
      <c r="AA371" s="133"/>
      <c r="AB371" s="121"/>
      <c r="AC371" s="121"/>
      <c r="AD371" s="121"/>
      <c r="AE371" s="84"/>
      <c r="AF371" s="84"/>
      <c r="AG371" s="122"/>
      <c r="AH371" s="122"/>
      <c r="AI371" s="148"/>
    </row>
    <row r="372" spans="1:35" ht="15">
      <c r="A372" s="155"/>
      <c r="B372" s="155"/>
      <c r="C372" s="155"/>
      <c r="D372" s="157" t="s">
        <v>455</v>
      </c>
      <c r="E372" s="175" t="s">
        <v>459</v>
      </c>
      <c r="F372" s="156" t="s">
        <v>457</v>
      </c>
      <c r="G372" s="158"/>
      <c r="H372" s="5" t="s">
        <v>458</v>
      </c>
      <c r="I372" s="150"/>
      <c r="J372" s="9"/>
      <c r="K372" s="9"/>
      <c r="L372" s="11" t="b">
        <v>0</v>
      </c>
      <c r="M372" s="11" t="b">
        <v>0</v>
      </c>
      <c r="N372" s="7"/>
      <c r="O372" s="7"/>
      <c r="P372" s="8">
        <f t="shared" si="57"/>
        <v>0</v>
      </c>
      <c r="Q372" s="7"/>
      <c r="R372" s="9"/>
      <c r="S372" s="7"/>
      <c r="T372" s="7"/>
      <c r="U372" s="8">
        <f t="shared" si="58"/>
        <v>0</v>
      </c>
      <c r="V372" s="9"/>
      <c r="W372" s="9"/>
      <c r="X372" s="9"/>
      <c r="Y372" s="9"/>
      <c r="Z372" s="5"/>
      <c r="AA372" s="9"/>
      <c r="AB372" s="5"/>
      <c r="AC372" s="5"/>
      <c r="AD372" s="5"/>
      <c r="AE372" s="9"/>
      <c r="AF372" s="9"/>
      <c r="AG372" s="26"/>
      <c r="AH372" s="26"/>
      <c r="AI372" s="151"/>
    </row>
    <row r="373" spans="1:35" ht="12.75">
      <c r="A373" s="155"/>
      <c r="B373" s="155"/>
      <c r="C373" s="155"/>
      <c r="D373" s="155"/>
      <c r="E373" s="155"/>
      <c r="F373" s="155"/>
      <c r="G373" s="155"/>
      <c r="H373" s="5" t="s">
        <v>58</v>
      </c>
      <c r="I373" s="152"/>
      <c r="J373" s="9"/>
      <c r="K373" s="9"/>
      <c r="L373" s="11" t="b">
        <v>0</v>
      </c>
      <c r="M373" s="11" t="b">
        <v>0</v>
      </c>
      <c r="N373" s="7"/>
      <c r="O373" s="7"/>
      <c r="P373" s="8">
        <f t="shared" si="57"/>
        <v>0</v>
      </c>
      <c r="Q373" s="7"/>
      <c r="R373" s="9"/>
      <c r="S373" s="7"/>
      <c r="T373" s="7"/>
      <c r="U373" s="8">
        <f t="shared" si="58"/>
        <v>0</v>
      </c>
      <c r="V373" s="9"/>
      <c r="W373" s="9"/>
      <c r="X373" s="9"/>
      <c r="Y373" s="9"/>
      <c r="Z373" s="5"/>
      <c r="AA373" s="9"/>
      <c r="AB373" s="5"/>
      <c r="AC373" s="5"/>
      <c r="AD373" s="5"/>
      <c r="AE373" s="9"/>
      <c r="AF373" s="9"/>
      <c r="AG373" s="26"/>
      <c r="AH373" s="26"/>
      <c r="AI373" s="26"/>
    </row>
    <row r="374" spans="1:35" ht="15">
      <c r="A374" s="155"/>
      <c r="B374" s="155"/>
      <c r="C374" s="155"/>
      <c r="D374" s="176" t="s">
        <v>460</v>
      </c>
      <c r="E374" s="177" t="s">
        <v>461</v>
      </c>
      <c r="F374" s="176" t="s">
        <v>462</v>
      </c>
      <c r="G374" s="178"/>
      <c r="H374" s="85" t="s">
        <v>49</v>
      </c>
      <c r="I374" s="135"/>
      <c r="J374" s="84"/>
      <c r="K374" s="84"/>
      <c r="L374" s="86" t="b">
        <v>0</v>
      </c>
      <c r="M374" s="86" t="b">
        <v>0</v>
      </c>
      <c r="N374" s="83"/>
      <c r="O374" s="83"/>
      <c r="P374" s="87">
        <f t="shared" si="57"/>
        <v>0</v>
      </c>
      <c r="Q374" s="83"/>
      <c r="R374" s="84"/>
      <c r="S374" s="83"/>
      <c r="T374" s="83"/>
      <c r="U374" s="87">
        <f t="shared" si="58"/>
        <v>0</v>
      </c>
      <c r="V374" s="84"/>
      <c r="W374" s="84"/>
      <c r="X374" s="84"/>
      <c r="Y374" s="84"/>
      <c r="Z374" s="85"/>
      <c r="AA374" s="84"/>
      <c r="AB374" s="85"/>
      <c r="AC374" s="85"/>
      <c r="AD374" s="85"/>
      <c r="AE374" s="84"/>
      <c r="AF374" s="84"/>
      <c r="AG374" s="122"/>
      <c r="AH374" s="122"/>
      <c r="AI374" s="153"/>
    </row>
    <row r="375" spans="1:35" ht="15">
      <c r="A375" s="155"/>
      <c r="B375" s="155"/>
      <c r="C375" s="155"/>
      <c r="D375" s="155"/>
      <c r="E375" s="155"/>
      <c r="F375" s="155"/>
      <c r="G375" s="155"/>
      <c r="H375" s="85" t="s">
        <v>58</v>
      </c>
      <c r="I375" s="135"/>
      <c r="J375" s="84"/>
      <c r="K375" s="84"/>
      <c r="L375" s="86" t="b">
        <v>0</v>
      </c>
      <c r="M375" s="86" t="b">
        <v>0</v>
      </c>
      <c r="N375" s="83"/>
      <c r="O375" s="83"/>
      <c r="P375" s="87">
        <f t="shared" si="57"/>
        <v>0</v>
      </c>
      <c r="Q375" s="83"/>
      <c r="R375" s="84"/>
      <c r="S375" s="83"/>
      <c r="T375" s="83"/>
      <c r="U375" s="87">
        <f t="shared" si="58"/>
        <v>0</v>
      </c>
      <c r="V375" s="84"/>
      <c r="W375" s="84"/>
      <c r="X375" s="133"/>
      <c r="Y375" s="133"/>
      <c r="Z375" s="121"/>
      <c r="AA375" s="133"/>
      <c r="AB375" s="121"/>
      <c r="AC375" s="121"/>
      <c r="AD375" s="121"/>
      <c r="AE375" s="84"/>
      <c r="AF375" s="84"/>
      <c r="AG375" s="122"/>
      <c r="AH375" s="122"/>
      <c r="AI375" s="153"/>
    </row>
    <row r="376" spans="1:35" ht="15">
      <c r="A376" s="155"/>
      <c r="B376" s="155"/>
      <c r="C376" s="155"/>
      <c r="D376" s="157" t="s">
        <v>453</v>
      </c>
      <c r="E376" s="157" t="s">
        <v>463</v>
      </c>
      <c r="F376" s="157" t="s">
        <v>464</v>
      </c>
      <c r="G376" s="158"/>
      <c r="H376" s="5" t="s">
        <v>465</v>
      </c>
      <c r="I376" s="22"/>
      <c r="J376" s="9"/>
      <c r="K376" s="9"/>
      <c r="L376" s="11" t="b">
        <v>0</v>
      </c>
      <c r="M376" s="11" t="b">
        <v>0</v>
      </c>
      <c r="N376" s="7"/>
      <c r="O376" s="7"/>
      <c r="P376" s="8">
        <f t="shared" si="57"/>
        <v>0</v>
      </c>
      <c r="Q376" s="7"/>
      <c r="R376" s="9"/>
      <c r="S376" s="7"/>
      <c r="T376" s="7"/>
      <c r="U376" s="8">
        <f t="shared" si="58"/>
        <v>0</v>
      </c>
      <c r="V376" s="9"/>
      <c r="W376" s="9"/>
      <c r="X376" s="18"/>
      <c r="Y376" s="18"/>
      <c r="Z376" s="19"/>
      <c r="AA376" s="18"/>
      <c r="AB376" s="19"/>
      <c r="AC376" s="19"/>
      <c r="AD376" s="19"/>
      <c r="AE376" s="9"/>
      <c r="AF376" s="9"/>
      <c r="AG376" s="26"/>
      <c r="AH376" s="26"/>
      <c r="AI376" s="151"/>
    </row>
    <row r="377" spans="1:35" ht="15">
      <c r="A377" s="155"/>
      <c r="B377" s="155"/>
      <c r="C377" s="155"/>
      <c r="D377" s="155"/>
      <c r="E377" s="155"/>
      <c r="F377" s="155"/>
      <c r="G377" s="155"/>
      <c r="H377" s="5" t="s">
        <v>58</v>
      </c>
      <c r="I377" s="22"/>
      <c r="J377" s="9"/>
      <c r="K377" s="9"/>
      <c r="L377" s="11" t="b">
        <v>0</v>
      </c>
      <c r="M377" s="11" t="b">
        <v>0</v>
      </c>
      <c r="N377" s="7"/>
      <c r="O377" s="7"/>
      <c r="P377" s="8">
        <f t="shared" si="57"/>
        <v>0</v>
      </c>
      <c r="Q377" s="7"/>
      <c r="R377" s="9"/>
      <c r="S377" s="7"/>
      <c r="T377" s="7"/>
      <c r="U377" s="8">
        <f t="shared" si="58"/>
        <v>0</v>
      </c>
      <c r="V377" s="9"/>
      <c r="W377" s="9"/>
      <c r="X377" s="18"/>
      <c r="Y377" s="18"/>
      <c r="Z377" s="19"/>
      <c r="AA377" s="18"/>
      <c r="AB377" s="19"/>
      <c r="AC377" s="19"/>
      <c r="AD377" s="19"/>
      <c r="AE377" s="9"/>
      <c r="AF377" s="9"/>
      <c r="AG377" s="26"/>
      <c r="AH377" s="26"/>
      <c r="AI377" s="151"/>
    </row>
    <row r="378" spans="1:35" ht="12.75">
      <c r="A378" s="114"/>
      <c r="B378" s="114"/>
      <c r="C378" s="114"/>
      <c r="D378" s="115"/>
      <c r="E378" s="115"/>
      <c r="F378" s="115"/>
      <c r="G378" s="116"/>
      <c r="H378" s="115"/>
      <c r="I378" s="117"/>
      <c r="J378" s="116"/>
      <c r="K378" s="116"/>
      <c r="L378" s="116"/>
      <c r="M378" s="116"/>
      <c r="N378" s="118"/>
      <c r="O378" s="118"/>
      <c r="P378" s="119"/>
      <c r="Q378" s="118"/>
      <c r="R378" s="116"/>
      <c r="S378" s="118"/>
      <c r="T378" s="118"/>
      <c r="U378" s="119"/>
      <c r="V378" s="116"/>
      <c r="W378" s="116"/>
      <c r="X378" s="116"/>
      <c r="Y378" s="116"/>
      <c r="Z378" s="115"/>
      <c r="AA378" s="116"/>
      <c r="AB378" s="115"/>
      <c r="AC378" s="115"/>
      <c r="AD378" s="115"/>
      <c r="AE378" s="116"/>
      <c r="AF378" s="116"/>
      <c r="AG378" s="116"/>
      <c r="AH378" s="116"/>
      <c r="AI378" s="116"/>
    </row>
    <row r="379" spans="1:35" ht="12.75">
      <c r="A379" s="161" t="s">
        <v>342</v>
      </c>
      <c r="B379" s="161" t="s">
        <v>178</v>
      </c>
      <c r="C379" s="161" t="s">
        <v>342</v>
      </c>
      <c r="D379" s="162" t="s">
        <v>453</v>
      </c>
      <c r="E379" s="160" t="s">
        <v>47</v>
      </c>
      <c r="F379" s="162" t="s">
        <v>454</v>
      </c>
      <c r="G379" s="164"/>
      <c r="H379" s="77" t="s">
        <v>49</v>
      </c>
      <c r="I379" s="108"/>
      <c r="J379" s="78"/>
      <c r="K379" s="78"/>
      <c r="L379" s="79" t="b">
        <v>0</v>
      </c>
      <c r="M379" s="79" t="b">
        <v>0</v>
      </c>
      <c r="N379" s="81"/>
      <c r="O379" s="81"/>
      <c r="P379" s="80">
        <f t="shared" ref="P379:P390" si="59">N379+O379</f>
        <v>0</v>
      </c>
      <c r="Q379" s="81"/>
      <c r="R379" s="78"/>
      <c r="S379" s="81"/>
      <c r="T379" s="81"/>
      <c r="U379" s="80">
        <f t="shared" ref="U379:U390" si="60">S379+T379</f>
        <v>0</v>
      </c>
      <c r="V379" s="78"/>
      <c r="W379" s="78"/>
      <c r="X379" s="78"/>
      <c r="Y379" s="78"/>
      <c r="Z379" s="77"/>
      <c r="AA379" s="78"/>
      <c r="AB379" s="77"/>
      <c r="AC379" s="77"/>
      <c r="AD379" s="77"/>
      <c r="AE379" s="78"/>
      <c r="AF379" s="78"/>
      <c r="AG379" s="109"/>
      <c r="AH379" s="109"/>
      <c r="AI379" s="78"/>
    </row>
    <row r="380" spans="1:35" ht="12.75">
      <c r="A380" s="155"/>
      <c r="B380" s="155"/>
      <c r="C380" s="155"/>
      <c r="D380" s="155"/>
      <c r="E380" s="155"/>
      <c r="F380" s="155"/>
      <c r="G380" s="155"/>
      <c r="H380" s="85" t="s">
        <v>58</v>
      </c>
      <c r="I380" s="112"/>
      <c r="J380" s="84"/>
      <c r="K380" s="84"/>
      <c r="L380" s="86" t="b">
        <v>0</v>
      </c>
      <c r="M380" s="86" t="b">
        <v>0</v>
      </c>
      <c r="N380" s="83"/>
      <c r="O380" s="83"/>
      <c r="P380" s="87">
        <f t="shared" si="59"/>
        <v>0</v>
      </c>
      <c r="Q380" s="83"/>
      <c r="R380" s="84"/>
      <c r="S380" s="83"/>
      <c r="T380" s="83"/>
      <c r="U380" s="87">
        <f t="shared" si="60"/>
        <v>0</v>
      </c>
      <c r="V380" s="84"/>
      <c r="W380" s="84"/>
      <c r="X380" s="84"/>
      <c r="Y380" s="84"/>
      <c r="Z380" s="85"/>
      <c r="AA380" s="84"/>
      <c r="AB380" s="85"/>
      <c r="AC380" s="85"/>
      <c r="AD380" s="85"/>
      <c r="AE380" s="84"/>
      <c r="AF380" s="84"/>
      <c r="AG380" s="110"/>
      <c r="AH380" s="110"/>
      <c r="AI380" s="84"/>
    </row>
    <row r="381" spans="1:35" ht="12.75">
      <c r="A381" s="155"/>
      <c r="B381" s="155"/>
      <c r="C381" s="155"/>
      <c r="D381" s="157" t="s">
        <v>453</v>
      </c>
      <c r="E381" s="157" t="s">
        <v>59</v>
      </c>
      <c r="F381" s="157" t="s">
        <v>454</v>
      </c>
      <c r="G381" s="158"/>
      <c r="H381" s="5" t="s">
        <v>49</v>
      </c>
      <c r="I381" s="17"/>
      <c r="J381" s="9"/>
      <c r="K381" s="9"/>
      <c r="L381" s="11" t="b">
        <v>0</v>
      </c>
      <c r="M381" s="11" t="b">
        <v>0</v>
      </c>
      <c r="N381" s="7"/>
      <c r="O381" s="7"/>
      <c r="P381" s="8">
        <f t="shared" si="59"/>
        <v>0</v>
      </c>
      <c r="Q381" s="7"/>
      <c r="R381" s="9"/>
      <c r="S381" s="7"/>
      <c r="T381" s="7"/>
      <c r="U381" s="8">
        <f t="shared" si="60"/>
        <v>0</v>
      </c>
      <c r="V381" s="9"/>
      <c r="W381" s="9"/>
      <c r="X381" s="18"/>
      <c r="Y381" s="18"/>
      <c r="Z381" s="19"/>
      <c r="AA381" s="18"/>
      <c r="AB381" s="19"/>
      <c r="AC381" s="19"/>
      <c r="AD381" s="19"/>
      <c r="AE381" s="9"/>
      <c r="AF381" s="9"/>
      <c r="AG381" s="26"/>
      <c r="AH381" s="26"/>
      <c r="AI381" s="89"/>
    </row>
    <row r="382" spans="1:35" ht="12.75">
      <c r="A382" s="155"/>
      <c r="B382" s="155"/>
      <c r="C382" s="155"/>
      <c r="D382" s="155"/>
      <c r="E382" s="155"/>
      <c r="F382" s="155"/>
      <c r="G382" s="155"/>
      <c r="H382" s="5" t="s">
        <v>58</v>
      </c>
      <c r="I382" s="22"/>
      <c r="J382" s="9"/>
      <c r="K382" s="9"/>
      <c r="L382" s="11" t="b">
        <v>0</v>
      </c>
      <c r="M382" s="11" t="b">
        <v>0</v>
      </c>
      <c r="N382" s="7"/>
      <c r="O382" s="7"/>
      <c r="P382" s="8">
        <f t="shared" si="59"/>
        <v>0</v>
      </c>
      <c r="Q382" s="7"/>
      <c r="R382" s="9"/>
      <c r="S382" s="7"/>
      <c r="T382" s="7"/>
      <c r="U382" s="8">
        <f t="shared" si="60"/>
        <v>0</v>
      </c>
      <c r="V382" s="9"/>
      <c r="W382" s="9"/>
      <c r="X382" s="18"/>
      <c r="Y382" s="18"/>
      <c r="Z382" s="19"/>
      <c r="AA382" s="18"/>
      <c r="AB382" s="19"/>
      <c r="AC382" s="19"/>
      <c r="AD382" s="19"/>
      <c r="AE382" s="9"/>
      <c r="AF382" s="9"/>
      <c r="AG382" s="26"/>
      <c r="AH382" s="26"/>
      <c r="AI382" s="9"/>
    </row>
    <row r="383" spans="1:35" ht="15">
      <c r="A383" s="155"/>
      <c r="B383" s="155"/>
      <c r="C383" s="155"/>
      <c r="D383" s="176" t="s">
        <v>455</v>
      </c>
      <c r="E383" s="176" t="s">
        <v>456</v>
      </c>
      <c r="F383" s="177" t="s">
        <v>457</v>
      </c>
      <c r="G383" s="178"/>
      <c r="H383" s="85" t="s">
        <v>458</v>
      </c>
      <c r="I383" s="147"/>
      <c r="J383" s="84"/>
      <c r="K383" s="84"/>
      <c r="L383" s="86" t="b">
        <v>0</v>
      </c>
      <c r="M383" s="86" t="b">
        <v>0</v>
      </c>
      <c r="N383" s="83"/>
      <c r="O383" s="83"/>
      <c r="P383" s="87">
        <f t="shared" si="59"/>
        <v>0</v>
      </c>
      <c r="Q383" s="83"/>
      <c r="R383" s="84"/>
      <c r="S383" s="83"/>
      <c r="T383" s="83"/>
      <c r="U383" s="87">
        <f t="shared" si="60"/>
        <v>0</v>
      </c>
      <c r="V383" s="84"/>
      <c r="W383" s="84"/>
      <c r="X383" s="133"/>
      <c r="Y383" s="133"/>
      <c r="Z383" s="121"/>
      <c r="AA383" s="133"/>
      <c r="AB383" s="121"/>
      <c r="AC383" s="121"/>
      <c r="AD383" s="121"/>
      <c r="AE383" s="84"/>
      <c r="AF383" s="84"/>
      <c r="AG383" s="122"/>
      <c r="AH383" s="122"/>
      <c r="AI383" s="84"/>
    </row>
    <row r="384" spans="1:35" ht="15">
      <c r="A384" s="155"/>
      <c r="B384" s="155"/>
      <c r="C384" s="155"/>
      <c r="D384" s="155"/>
      <c r="E384" s="155"/>
      <c r="F384" s="155"/>
      <c r="G384" s="155"/>
      <c r="H384" s="85" t="s">
        <v>58</v>
      </c>
      <c r="I384" s="147"/>
      <c r="J384" s="84"/>
      <c r="K384" s="84"/>
      <c r="L384" s="86" t="b">
        <v>0</v>
      </c>
      <c r="M384" s="86" t="b">
        <v>0</v>
      </c>
      <c r="N384" s="83"/>
      <c r="O384" s="83"/>
      <c r="P384" s="87">
        <f t="shared" si="59"/>
        <v>0</v>
      </c>
      <c r="Q384" s="83"/>
      <c r="R384" s="84"/>
      <c r="S384" s="83"/>
      <c r="T384" s="83"/>
      <c r="U384" s="87">
        <f t="shared" si="60"/>
        <v>0</v>
      </c>
      <c r="V384" s="84"/>
      <c r="W384" s="84"/>
      <c r="X384" s="133"/>
      <c r="Y384" s="133"/>
      <c r="Z384" s="121"/>
      <c r="AA384" s="133"/>
      <c r="AB384" s="121"/>
      <c r="AC384" s="121"/>
      <c r="AD384" s="121"/>
      <c r="AE384" s="84"/>
      <c r="AF384" s="84"/>
      <c r="AG384" s="122"/>
      <c r="AH384" s="122"/>
      <c r="AI384" s="148"/>
    </row>
    <row r="385" spans="1:35" ht="15">
      <c r="A385" s="155"/>
      <c r="B385" s="155"/>
      <c r="C385" s="155"/>
      <c r="D385" s="157" t="s">
        <v>455</v>
      </c>
      <c r="E385" s="175" t="s">
        <v>459</v>
      </c>
      <c r="F385" s="156" t="s">
        <v>457</v>
      </c>
      <c r="G385" s="158"/>
      <c r="H385" s="5" t="s">
        <v>458</v>
      </c>
      <c r="I385" s="150"/>
      <c r="J385" s="9"/>
      <c r="K385" s="9"/>
      <c r="L385" s="11" t="b">
        <v>0</v>
      </c>
      <c r="M385" s="11" t="b">
        <v>0</v>
      </c>
      <c r="N385" s="7"/>
      <c r="O385" s="7"/>
      <c r="P385" s="8">
        <f t="shared" si="59"/>
        <v>0</v>
      </c>
      <c r="Q385" s="7"/>
      <c r="R385" s="9"/>
      <c r="S385" s="7"/>
      <c r="T385" s="7"/>
      <c r="U385" s="8">
        <f t="shared" si="60"/>
        <v>0</v>
      </c>
      <c r="V385" s="9"/>
      <c r="W385" s="9"/>
      <c r="X385" s="9"/>
      <c r="Y385" s="9"/>
      <c r="Z385" s="5"/>
      <c r="AA385" s="9"/>
      <c r="AB385" s="5"/>
      <c r="AC385" s="5"/>
      <c r="AD385" s="5"/>
      <c r="AE385" s="9"/>
      <c r="AF385" s="9"/>
      <c r="AG385" s="26"/>
      <c r="AH385" s="26"/>
      <c r="AI385" s="151"/>
    </row>
    <row r="386" spans="1:35" ht="12.75">
      <c r="A386" s="155"/>
      <c r="B386" s="155"/>
      <c r="C386" s="155"/>
      <c r="D386" s="155"/>
      <c r="E386" s="155"/>
      <c r="F386" s="155"/>
      <c r="G386" s="155"/>
      <c r="H386" s="5" t="s">
        <v>58</v>
      </c>
      <c r="I386" s="152"/>
      <c r="J386" s="9"/>
      <c r="K386" s="9"/>
      <c r="L386" s="11" t="b">
        <v>0</v>
      </c>
      <c r="M386" s="11" t="b">
        <v>0</v>
      </c>
      <c r="N386" s="7"/>
      <c r="O386" s="7"/>
      <c r="P386" s="8">
        <f t="shared" si="59"/>
        <v>0</v>
      </c>
      <c r="Q386" s="7"/>
      <c r="R386" s="9"/>
      <c r="S386" s="7"/>
      <c r="T386" s="7"/>
      <c r="U386" s="8">
        <f t="shared" si="60"/>
        <v>0</v>
      </c>
      <c r="V386" s="9"/>
      <c r="W386" s="9"/>
      <c r="X386" s="9"/>
      <c r="Y386" s="9"/>
      <c r="Z386" s="5"/>
      <c r="AA386" s="9"/>
      <c r="AB386" s="5"/>
      <c r="AC386" s="5"/>
      <c r="AD386" s="5"/>
      <c r="AE386" s="9"/>
      <c r="AF386" s="9"/>
      <c r="AG386" s="26"/>
      <c r="AH386" s="26"/>
      <c r="AI386" s="26"/>
    </row>
    <row r="387" spans="1:35" ht="15">
      <c r="A387" s="155"/>
      <c r="B387" s="155"/>
      <c r="C387" s="155"/>
      <c r="D387" s="176" t="s">
        <v>460</v>
      </c>
      <c r="E387" s="177" t="s">
        <v>461</v>
      </c>
      <c r="F387" s="176" t="s">
        <v>462</v>
      </c>
      <c r="G387" s="178"/>
      <c r="H387" s="85" t="s">
        <v>49</v>
      </c>
      <c r="I387" s="135"/>
      <c r="J387" s="84"/>
      <c r="K387" s="84"/>
      <c r="L387" s="86" t="b">
        <v>0</v>
      </c>
      <c r="M387" s="86" t="b">
        <v>0</v>
      </c>
      <c r="N387" s="83"/>
      <c r="O387" s="83"/>
      <c r="P387" s="87">
        <f t="shared" si="59"/>
        <v>0</v>
      </c>
      <c r="Q387" s="83"/>
      <c r="R387" s="84"/>
      <c r="S387" s="83"/>
      <c r="T387" s="83"/>
      <c r="U387" s="87">
        <f t="shared" si="60"/>
        <v>0</v>
      </c>
      <c r="V387" s="84"/>
      <c r="W387" s="84"/>
      <c r="X387" s="84"/>
      <c r="Y387" s="84"/>
      <c r="Z387" s="85"/>
      <c r="AA387" s="84"/>
      <c r="AB387" s="85"/>
      <c r="AC387" s="85"/>
      <c r="AD387" s="85"/>
      <c r="AE387" s="84"/>
      <c r="AF387" s="84"/>
      <c r="AG387" s="122"/>
      <c r="AH387" s="122"/>
      <c r="AI387" s="153"/>
    </row>
    <row r="388" spans="1:35" ht="15">
      <c r="A388" s="155"/>
      <c r="B388" s="155"/>
      <c r="C388" s="155"/>
      <c r="D388" s="155"/>
      <c r="E388" s="155"/>
      <c r="F388" s="155"/>
      <c r="G388" s="155"/>
      <c r="H388" s="85" t="s">
        <v>58</v>
      </c>
      <c r="I388" s="135"/>
      <c r="J388" s="84"/>
      <c r="K388" s="84"/>
      <c r="L388" s="86" t="b">
        <v>0</v>
      </c>
      <c r="M388" s="86" t="b">
        <v>0</v>
      </c>
      <c r="N388" s="83"/>
      <c r="O388" s="83"/>
      <c r="P388" s="87">
        <f t="shared" si="59"/>
        <v>0</v>
      </c>
      <c r="Q388" s="83"/>
      <c r="R388" s="84"/>
      <c r="S388" s="83"/>
      <c r="T388" s="83"/>
      <c r="U388" s="87">
        <f t="shared" si="60"/>
        <v>0</v>
      </c>
      <c r="V388" s="84"/>
      <c r="W388" s="84"/>
      <c r="X388" s="133"/>
      <c r="Y388" s="133"/>
      <c r="Z388" s="121"/>
      <c r="AA388" s="133"/>
      <c r="AB388" s="121"/>
      <c r="AC388" s="121"/>
      <c r="AD388" s="121"/>
      <c r="AE388" s="84"/>
      <c r="AF388" s="84"/>
      <c r="AG388" s="122"/>
      <c r="AH388" s="122"/>
      <c r="AI388" s="153"/>
    </row>
    <row r="389" spans="1:35" ht="15">
      <c r="A389" s="155"/>
      <c r="B389" s="155"/>
      <c r="C389" s="155"/>
      <c r="D389" s="157" t="s">
        <v>453</v>
      </c>
      <c r="E389" s="157" t="s">
        <v>463</v>
      </c>
      <c r="F389" s="157" t="s">
        <v>464</v>
      </c>
      <c r="G389" s="158"/>
      <c r="H389" s="5" t="s">
        <v>465</v>
      </c>
      <c r="I389" s="22"/>
      <c r="J389" s="9"/>
      <c r="K389" s="9"/>
      <c r="L389" s="11" t="b">
        <v>0</v>
      </c>
      <c r="M389" s="11" t="b">
        <v>0</v>
      </c>
      <c r="N389" s="7"/>
      <c r="O389" s="7"/>
      <c r="P389" s="8">
        <f t="shared" si="59"/>
        <v>0</v>
      </c>
      <c r="Q389" s="7"/>
      <c r="R389" s="9"/>
      <c r="S389" s="7"/>
      <c r="T389" s="7"/>
      <c r="U389" s="8">
        <f t="shared" si="60"/>
        <v>0</v>
      </c>
      <c r="V389" s="9"/>
      <c r="W389" s="9"/>
      <c r="X389" s="18"/>
      <c r="Y389" s="18"/>
      <c r="Z389" s="19"/>
      <c r="AA389" s="18"/>
      <c r="AB389" s="19"/>
      <c r="AC389" s="19"/>
      <c r="AD389" s="19"/>
      <c r="AE389" s="9"/>
      <c r="AF389" s="9"/>
      <c r="AG389" s="26"/>
      <c r="AH389" s="26"/>
      <c r="AI389" s="151"/>
    </row>
    <row r="390" spans="1:35" ht="15">
      <c r="A390" s="155"/>
      <c r="B390" s="155"/>
      <c r="C390" s="155"/>
      <c r="D390" s="155"/>
      <c r="E390" s="155"/>
      <c r="F390" s="155"/>
      <c r="G390" s="155"/>
      <c r="H390" s="5" t="s">
        <v>58</v>
      </c>
      <c r="I390" s="22"/>
      <c r="J390" s="9"/>
      <c r="K390" s="9"/>
      <c r="L390" s="11" t="b">
        <v>0</v>
      </c>
      <c r="M390" s="11" t="b">
        <v>0</v>
      </c>
      <c r="N390" s="7"/>
      <c r="O390" s="7"/>
      <c r="P390" s="8">
        <f t="shared" si="59"/>
        <v>0</v>
      </c>
      <c r="Q390" s="7"/>
      <c r="R390" s="9"/>
      <c r="S390" s="7"/>
      <c r="T390" s="7"/>
      <c r="U390" s="8">
        <f t="shared" si="60"/>
        <v>0</v>
      </c>
      <c r="V390" s="9"/>
      <c r="W390" s="9"/>
      <c r="X390" s="18"/>
      <c r="Y390" s="18"/>
      <c r="Z390" s="19"/>
      <c r="AA390" s="18"/>
      <c r="AB390" s="19"/>
      <c r="AC390" s="19"/>
      <c r="AD390" s="19"/>
      <c r="AE390" s="9"/>
      <c r="AF390" s="9"/>
      <c r="AG390" s="26"/>
      <c r="AH390" s="26"/>
      <c r="AI390" s="151"/>
    </row>
    <row r="391" spans="1:35" ht="12.75">
      <c r="A391" s="114"/>
      <c r="B391" s="114"/>
      <c r="C391" s="114"/>
      <c r="D391" s="115"/>
      <c r="E391" s="115"/>
      <c r="F391" s="115"/>
      <c r="G391" s="116"/>
      <c r="H391" s="115"/>
      <c r="I391" s="117"/>
      <c r="J391" s="116"/>
      <c r="K391" s="116"/>
      <c r="L391" s="116"/>
      <c r="M391" s="116"/>
      <c r="N391" s="118"/>
      <c r="O391" s="118"/>
      <c r="P391" s="119"/>
      <c r="Q391" s="118"/>
      <c r="R391" s="116"/>
      <c r="S391" s="118"/>
      <c r="T391" s="118"/>
      <c r="U391" s="119"/>
      <c r="V391" s="116"/>
      <c r="W391" s="116"/>
      <c r="X391" s="116"/>
      <c r="Y391" s="116"/>
      <c r="Z391" s="115"/>
      <c r="AA391" s="116"/>
      <c r="AB391" s="115"/>
      <c r="AC391" s="115"/>
      <c r="AD391" s="115"/>
      <c r="AE391" s="116"/>
      <c r="AF391" s="116"/>
      <c r="AG391" s="116"/>
      <c r="AH391" s="116"/>
      <c r="AI391" s="116"/>
    </row>
    <row r="392" spans="1:35" ht="12.75">
      <c r="A392" s="171" t="s">
        <v>352</v>
      </c>
      <c r="B392" s="171" t="s">
        <v>353</v>
      </c>
      <c r="C392" s="171" t="s">
        <v>354</v>
      </c>
      <c r="D392" s="162" t="s">
        <v>453</v>
      </c>
      <c r="E392" s="160" t="s">
        <v>47</v>
      </c>
      <c r="F392" s="162" t="s">
        <v>454</v>
      </c>
      <c r="G392" s="164"/>
      <c r="H392" s="77" t="s">
        <v>49</v>
      </c>
      <c r="I392" s="108"/>
      <c r="J392" s="78"/>
      <c r="K392" s="78"/>
      <c r="L392" s="79" t="b">
        <v>0</v>
      </c>
      <c r="M392" s="79" t="b">
        <v>0</v>
      </c>
      <c r="N392" s="81"/>
      <c r="O392" s="81"/>
      <c r="P392" s="80">
        <f t="shared" ref="P392:P403" si="61">N392+O392</f>
        <v>0</v>
      </c>
      <c r="Q392" s="81"/>
      <c r="R392" s="78"/>
      <c r="S392" s="81"/>
      <c r="T392" s="81"/>
      <c r="U392" s="80">
        <f t="shared" ref="U392:U403" si="62">S392+T392</f>
        <v>0</v>
      </c>
      <c r="V392" s="78"/>
      <c r="W392" s="78"/>
      <c r="X392" s="78"/>
      <c r="Y392" s="78"/>
      <c r="Z392" s="77"/>
      <c r="AA392" s="78"/>
      <c r="AB392" s="77"/>
      <c r="AC392" s="77"/>
      <c r="AD392" s="77"/>
      <c r="AE392" s="78"/>
      <c r="AF392" s="78"/>
      <c r="AG392" s="109"/>
      <c r="AH392" s="109"/>
      <c r="AI392" s="78"/>
    </row>
    <row r="393" spans="1:35" ht="12.75">
      <c r="A393" s="155"/>
      <c r="B393" s="155"/>
      <c r="C393" s="155"/>
      <c r="D393" s="155"/>
      <c r="E393" s="155"/>
      <c r="F393" s="155"/>
      <c r="G393" s="155"/>
      <c r="H393" s="85" t="s">
        <v>58</v>
      </c>
      <c r="I393" s="112"/>
      <c r="J393" s="84"/>
      <c r="K393" s="84"/>
      <c r="L393" s="86" t="b">
        <v>0</v>
      </c>
      <c r="M393" s="86" t="b">
        <v>0</v>
      </c>
      <c r="N393" s="83"/>
      <c r="O393" s="83"/>
      <c r="P393" s="87">
        <f t="shared" si="61"/>
        <v>0</v>
      </c>
      <c r="Q393" s="83"/>
      <c r="R393" s="84"/>
      <c r="S393" s="83"/>
      <c r="T393" s="83"/>
      <c r="U393" s="87">
        <f t="shared" si="62"/>
        <v>0</v>
      </c>
      <c r="V393" s="84"/>
      <c r="W393" s="84"/>
      <c r="X393" s="84"/>
      <c r="Y393" s="84"/>
      <c r="Z393" s="85"/>
      <c r="AA393" s="84"/>
      <c r="AB393" s="85"/>
      <c r="AC393" s="85"/>
      <c r="AD393" s="85"/>
      <c r="AE393" s="84"/>
      <c r="AF393" s="84"/>
      <c r="AG393" s="110"/>
      <c r="AH393" s="110"/>
      <c r="AI393" s="84"/>
    </row>
    <row r="394" spans="1:35" ht="12.75">
      <c r="A394" s="155"/>
      <c r="B394" s="155"/>
      <c r="C394" s="155"/>
      <c r="D394" s="157" t="s">
        <v>453</v>
      </c>
      <c r="E394" s="157" t="s">
        <v>59</v>
      </c>
      <c r="F394" s="157" t="s">
        <v>454</v>
      </c>
      <c r="G394" s="158"/>
      <c r="H394" s="5" t="s">
        <v>49</v>
      </c>
      <c r="I394" s="17"/>
      <c r="J394" s="9"/>
      <c r="K394" s="9"/>
      <c r="L394" s="11" t="b">
        <v>0</v>
      </c>
      <c r="M394" s="11" t="b">
        <v>0</v>
      </c>
      <c r="N394" s="7"/>
      <c r="O394" s="7"/>
      <c r="P394" s="8">
        <f t="shared" si="61"/>
        <v>0</v>
      </c>
      <c r="Q394" s="7"/>
      <c r="R394" s="9"/>
      <c r="S394" s="7"/>
      <c r="T394" s="7"/>
      <c r="U394" s="8">
        <f t="shared" si="62"/>
        <v>0</v>
      </c>
      <c r="V394" s="9"/>
      <c r="W394" s="9"/>
      <c r="X394" s="18"/>
      <c r="Y394" s="18"/>
      <c r="Z394" s="19"/>
      <c r="AA394" s="18"/>
      <c r="AB394" s="19"/>
      <c r="AC394" s="19"/>
      <c r="AD394" s="19"/>
      <c r="AE394" s="9"/>
      <c r="AF394" s="9"/>
      <c r="AG394" s="26"/>
      <c r="AH394" s="26"/>
      <c r="AI394" s="89"/>
    </row>
    <row r="395" spans="1:35" ht="12.75">
      <c r="A395" s="155"/>
      <c r="B395" s="155"/>
      <c r="C395" s="155"/>
      <c r="D395" s="155"/>
      <c r="E395" s="155"/>
      <c r="F395" s="155"/>
      <c r="G395" s="155"/>
      <c r="H395" s="5" t="s">
        <v>58</v>
      </c>
      <c r="I395" s="22"/>
      <c r="J395" s="9"/>
      <c r="K395" s="9"/>
      <c r="L395" s="11" t="b">
        <v>0</v>
      </c>
      <c r="M395" s="11" t="b">
        <v>0</v>
      </c>
      <c r="N395" s="7"/>
      <c r="O395" s="7"/>
      <c r="P395" s="8">
        <f t="shared" si="61"/>
        <v>0</v>
      </c>
      <c r="Q395" s="7"/>
      <c r="R395" s="9"/>
      <c r="S395" s="7"/>
      <c r="T395" s="7"/>
      <c r="U395" s="8">
        <f t="shared" si="62"/>
        <v>0</v>
      </c>
      <c r="V395" s="9"/>
      <c r="W395" s="9"/>
      <c r="X395" s="18"/>
      <c r="Y395" s="18"/>
      <c r="Z395" s="19"/>
      <c r="AA395" s="18"/>
      <c r="AB395" s="19"/>
      <c r="AC395" s="19"/>
      <c r="AD395" s="19"/>
      <c r="AE395" s="9"/>
      <c r="AF395" s="9"/>
      <c r="AG395" s="26"/>
      <c r="AH395" s="26"/>
      <c r="AI395" s="9"/>
    </row>
    <row r="396" spans="1:35" ht="15">
      <c r="A396" s="155"/>
      <c r="B396" s="155"/>
      <c r="C396" s="155"/>
      <c r="D396" s="176" t="s">
        <v>455</v>
      </c>
      <c r="E396" s="176" t="s">
        <v>456</v>
      </c>
      <c r="F396" s="177" t="s">
        <v>457</v>
      </c>
      <c r="G396" s="178"/>
      <c r="H396" s="85" t="s">
        <v>458</v>
      </c>
      <c r="I396" s="147"/>
      <c r="J396" s="84"/>
      <c r="K396" s="84"/>
      <c r="L396" s="86" t="b">
        <v>0</v>
      </c>
      <c r="M396" s="86" t="b">
        <v>0</v>
      </c>
      <c r="N396" s="83"/>
      <c r="O396" s="83"/>
      <c r="P396" s="87">
        <f t="shared" si="61"/>
        <v>0</v>
      </c>
      <c r="Q396" s="83"/>
      <c r="R396" s="84"/>
      <c r="S396" s="83"/>
      <c r="T396" s="83"/>
      <c r="U396" s="87">
        <f t="shared" si="62"/>
        <v>0</v>
      </c>
      <c r="V396" s="84"/>
      <c r="W396" s="84"/>
      <c r="X396" s="133"/>
      <c r="Y396" s="133"/>
      <c r="Z396" s="121"/>
      <c r="AA396" s="133"/>
      <c r="AB396" s="121"/>
      <c r="AC396" s="121"/>
      <c r="AD396" s="121"/>
      <c r="AE396" s="84"/>
      <c r="AF396" s="84"/>
      <c r="AG396" s="122"/>
      <c r="AH396" s="122"/>
      <c r="AI396" s="84"/>
    </row>
    <row r="397" spans="1:35" ht="15">
      <c r="A397" s="155"/>
      <c r="B397" s="155"/>
      <c r="C397" s="155"/>
      <c r="D397" s="155"/>
      <c r="E397" s="155"/>
      <c r="F397" s="155"/>
      <c r="G397" s="155"/>
      <c r="H397" s="85" t="s">
        <v>58</v>
      </c>
      <c r="I397" s="147"/>
      <c r="J397" s="84"/>
      <c r="K397" s="84"/>
      <c r="L397" s="86" t="b">
        <v>0</v>
      </c>
      <c r="M397" s="86" t="b">
        <v>0</v>
      </c>
      <c r="N397" s="83"/>
      <c r="O397" s="83"/>
      <c r="P397" s="87">
        <f t="shared" si="61"/>
        <v>0</v>
      </c>
      <c r="Q397" s="83"/>
      <c r="R397" s="84"/>
      <c r="S397" s="83"/>
      <c r="T397" s="83"/>
      <c r="U397" s="87">
        <f t="shared" si="62"/>
        <v>0</v>
      </c>
      <c r="V397" s="84"/>
      <c r="W397" s="84"/>
      <c r="X397" s="133"/>
      <c r="Y397" s="133"/>
      <c r="Z397" s="121"/>
      <c r="AA397" s="133"/>
      <c r="AB397" s="121"/>
      <c r="AC397" s="121"/>
      <c r="AD397" s="121"/>
      <c r="AE397" s="84"/>
      <c r="AF397" s="84"/>
      <c r="AG397" s="122"/>
      <c r="AH397" s="122"/>
      <c r="AI397" s="148"/>
    </row>
    <row r="398" spans="1:35" ht="15">
      <c r="A398" s="155"/>
      <c r="B398" s="155"/>
      <c r="C398" s="155"/>
      <c r="D398" s="157" t="s">
        <v>455</v>
      </c>
      <c r="E398" s="175" t="s">
        <v>459</v>
      </c>
      <c r="F398" s="156" t="s">
        <v>457</v>
      </c>
      <c r="G398" s="158"/>
      <c r="H398" s="5" t="s">
        <v>458</v>
      </c>
      <c r="I398" s="150"/>
      <c r="J398" s="9"/>
      <c r="K398" s="9"/>
      <c r="L398" s="11" t="b">
        <v>0</v>
      </c>
      <c r="M398" s="11" t="b">
        <v>0</v>
      </c>
      <c r="N398" s="7"/>
      <c r="O398" s="7"/>
      <c r="P398" s="8">
        <f t="shared" si="61"/>
        <v>0</v>
      </c>
      <c r="Q398" s="7"/>
      <c r="R398" s="9"/>
      <c r="S398" s="7"/>
      <c r="T398" s="7"/>
      <c r="U398" s="8">
        <f t="shared" si="62"/>
        <v>0</v>
      </c>
      <c r="V398" s="9"/>
      <c r="W398" s="9"/>
      <c r="X398" s="9"/>
      <c r="Y398" s="9"/>
      <c r="Z398" s="5"/>
      <c r="AA398" s="9"/>
      <c r="AB398" s="5"/>
      <c r="AC398" s="5"/>
      <c r="AD398" s="5"/>
      <c r="AE398" s="9"/>
      <c r="AF398" s="9"/>
      <c r="AG398" s="26"/>
      <c r="AH398" s="26"/>
      <c r="AI398" s="151"/>
    </row>
    <row r="399" spans="1:35" ht="12.75">
      <c r="A399" s="155"/>
      <c r="B399" s="155"/>
      <c r="C399" s="155"/>
      <c r="D399" s="155"/>
      <c r="E399" s="155"/>
      <c r="F399" s="155"/>
      <c r="G399" s="155"/>
      <c r="H399" s="5" t="s">
        <v>58</v>
      </c>
      <c r="I399" s="152"/>
      <c r="J399" s="9"/>
      <c r="K399" s="9"/>
      <c r="L399" s="11" t="b">
        <v>0</v>
      </c>
      <c r="M399" s="11" t="b">
        <v>0</v>
      </c>
      <c r="N399" s="7"/>
      <c r="O399" s="7"/>
      <c r="P399" s="8">
        <f t="shared" si="61"/>
        <v>0</v>
      </c>
      <c r="Q399" s="7"/>
      <c r="R399" s="9"/>
      <c r="S399" s="7"/>
      <c r="T399" s="7"/>
      <c r="U399" s="8">
        <f t="shared" si="62"/>
        <v>0</v>
      </c>
      <c r="V399" s="9"/>
      <c r="W399" s="9"/>
      <c r="X399" s="9"/>
      <c r="Y399" s="9"/>
      <c r="Z399" s="5"/>
      <c r="AA399" s="9"/>
      <c r="AB399" s="5"/>
      <c r="AC399" s="5"/>
      <c r="AD399" s="5"/>
      <c r="AE399" s="9"/>
      <c r="AF399" s="9"/>
      <c r="AG399" s="26"/>
      <c r="AH399" s="26"/>
      <c r="AI399" s="26"/>
    </row>
    <row r="400" spans="1:35" ht="15">
      <c r="A400" s="155"/>
      <c r="B400" s="155"/>
      <c r="C400" s="155"/>
      <c r="D400" s="176" t="s">
        <v>460</v>
      </c>
      <c r="E400" s="177" t="s">
        <v>461</v>
      </c>
      <c r="F400" s="176" t="s">
        <v>462</v>
      </c>
      <c r="G400" s="178"/>
      <c r="H400" s="85" t="s">
        <v>49</v>
      </c>
      <c r="I400" s="135"/>
      <c r="J400" s="84"/>
      <c r="K400" s="84"/>
      <c r="L400" s="86" t="b">
        <v>0</v>
      </c>
      <c r="M400" s="86" t="b">
        <v>0</v>
      </c>
      <c r="N400" s="83"/>
      <c r="O400" s="83"/>
      <c r="P400" s="87">
        <f t="shared" si="61"/>
        <v>0</v>
      </c>
      <c r="Q400" s="83"/>
      <c r="R400" s="84"/>
      <c r="S400" s="83"/>
      <c r="T400" s="83"/>
      <c r="U400" s="87">
        <f t="shared" si="62"/>
        <v>0</v>
      </c>
      <c r="V400" s="84"/>
      <c r="W400" s="84"/>
      <c r="X400" s="84"/>
      <c r="Y400" s="84"/>
      <c r="Z400" s="85"/>
      <c r="AA400" s="84"/>
      <c r="AB400" s="85"/>
      <c r="AC400" s="85"/>
      <c r="AD400" s="85"/>
      <c r="AE400" s="84"/>
      <c r="AF400" s="84"/>
      <c r="AG400" s="122"/>
      <c r="AH400" s="122"/>
      <c r="AI400" s="153"/>
    </row>
    <row r="401" spans="1:35" ht="15">
      <c r="A401" s="155"/>
      <c r="B401" s="155"/>
      <c r="C401" s="155"/>
      <c r="D401" s="155"/>
      <c r="E401" s="155"/>
      <c r="F401" s="155"/>
      <c r="G401" s="155"/>
      <c r="H401" s="85" t="s">
        <v>58</v>
      </c>
      <c r="I401" s="135"/>
      <c r="J401" s="84"/>
      <c r="K401" s="84"/>
      <c r="L401" s="86" t="b">
        <v>0</v>
      </c>
      <c r="M401" s="86" t="b">
        <v>0</v>
      </c>
      <c r="N401" s="83"/>
      <c r="O401" s="83"/>
      <c r="P401" s="87">
        <f t="shared" si="61"/>
        <v>0</v>
      </c>
      <c r="Q401" s="83"/>
      <c r="R401" s="84"/>
      <c r="S401" s="83"/>
      <c r="T401" s="83"/>
      <c r="U401" s="87">
        <f t="shared" si="62"/>
        <v>0</v>
      </c>
      <c r="V401" s="84"/>
      <c r="W401" s="84"/>
      <c r="X401" s="133"/>
      <c r="Y401" s="133"/>
      <c r="Z401" s="121"/>
      <c r="AA401" s="133"/>
      <c r="AB401" s="121"/>
      <c r="AC401" s="121"/>
      <c r="AD401" s="121"/>
      <c r="AE401" s="84"/>
      <c r="AF401" s="84"/>
      <c r="AG401" s="122"/>
      <c r="AH401" s="122"/>
      <c r="AI401" s="153"/>
    </row>
    <row r="402" spans="1:35" ht="15">
      <c r="A402" s="155"/>
      <c r="B402" s="155"/>
      <c r="C402" s="155"/>
      <c r="D402" s="157" t="s">
        <v>453</v>
      </c>
      <c r="E402" s="157" t="s">
        <v>463</v>
      </c>
      <c r="F402" s="157" t="s">
        <v>464</v>
      </c>
      <c r="G402" s="158"/>
      <c r="H402" s="5" t="s">
        <v>465</v>
      </c>
      <c r="I402" s="22"/>
      <c r="J402" s="9"/>
      <c r="K402" s="9"/>
      <c r="L402" s="11" t="b">
        <v>0</v>
      </c>
      <c r="M402" s="11" t="b">
        <v>0</v>
      </c>
      <c r="N402" s="7"/>
      <c r="O402" s="7"/>
      <c r="P402" s="8">
        <f t="shared" si="61"/>
        <v>0</v>
      </c>
      <c r="Q402" s="7"/>
      <c r="R402" s="9"/>
      <c r="S402" s="7"/>
      <c r="T402" s="7"/>
      <c r="U402" s="8">
        <f t="shared" si="62"/>
        <v>0</v>
      </c>
      <c r="V402" s="9"/>
      <c r="W402" s="9"/>
      <c r="X402" s="18"/>
      <c r="Y402" s="18"/>
      <c r="Z402" s="19"/>
      <c r="AA402" s="18"/>
      <c r="AB402" s="19"/>
      <c r="AC402" s="19"/>
      <c r="AD402" s="19"/>
      <c r="AE402" s="9"/>
      <c r="AF402" s="9"/>
      <c r="AG402" s="26"/>
      <c r="AH402" s="26"/>
      <c r="AI402" s="151"/>
    </row>
    <row r="403" spans="1:35" ht="15">
      <c r="A403" s="155"/>
      <c r="B403" s="155"/>
      <c r="C403" s="155"/>
      <c r="D403" s="155"/>
      <c r="E403" s="155"/>
      <c r="F403" s="155"/>
      <c r="G403" s="155"/>
      <c r="H403" s="5" t="s">
        <v>58</v>
      </c>
      <c r="I403" s="22"/>
      <c r="J403" s="9"/>
      <c r="K403" s="9"/>
      <c r="L403" s="11" t="b">
        <v>0</v>
      </c>
      <c r="M403" s="11" t="b">
        <v>0</v>
      </c>
      <c r="N403" s="7"/>
      <c r="O403" s="7"/>
      <c r="P403" s="8">
        <f t="shared" si="61"/>
        <v>0</v>
      </c>
      <c r="Q403" s="7"/>
      <c r="R403" s="9"/>
      <c r="S403" s="7"/>
      <c r="T403" s="7"/>
      <c r="U403" s="8">
        <f t="shared" si="62"/>
        <v>0</v>
      </c>
      <c r="V403" s="9"/>
      <c r="W403" s="9"/>
      <c r="X403" s="18"/>
      <c r="Y403" s="18"/>
      <c r="Z403" s="19"/>
      <c r="AA403" s="18"/>
      <c r="AB403" s="19"/>
      <c r="AC403" s="19"/>
      <c r="AD403" s="19"/>
      <c r="AE403" s="9"/>
      <c r="AF403" s="9"/>
      <c r="AG403" s="26"/>
      <c r="AH403" s="26"/>
      <c r="AI403" s="151"/>
    </row>
    <row r="404" spans="1:35" ht="12.75">
      <c r="A404" s="114"/>
      <c r="B404" s="114"/>
      <c r="C404" s="114"/>
      <c r="D404" s="115"/>
      <c r="E404" s="115"/>
      <c r="F404" s="115"/>
      <c r="G404" s="116"/>
      <c r="H404" s="115"/>
      <c r="I404" s="117"/>
      <c r="J404" s="116"/>
      <c r="K404" s="116"/>
      <c r="L404" s="116"/>
      <c r="M404" s="116"/>
      <c r="N404" s="118"/>
      <c r="O404" s="118"/>
      <c r="P404" s="119"/>
      <c r="Q404" s="118"/>
      <c r="R404" s="116"/>
      <c r="S404" s="118"/>
      <c r="T404" s="118"/>
      <c r="U404" s="119"/>
      <c r="V404" s="116"/>
      <c r="W404" s="116"/>
      <c r="X404" s="116"/>
      <c r="Y404" s="116"/>
      <c r="Z404" s="115"/>
      <c r="AA404" s="116"/>
      <c r="AB404" s="115"/>
      <c r="AC404" s="115"/>
      <c r="AD404" s="115"/>
      <c r="AE404" s="116"/>
      <c r="AF404" s="116"/>
      <c r="AG404" s="116"/>
      <c r="AH404" s="116"/>
      <c r="AI404" s="116"/>
    </row>
    <row r="405" spans="1:35" ht="12.75">
      <c r="A405" s="171" t="s">
        <v>365</v>
      </c>
      <c r="B405" s="171" t="s">
        <v>353</v>
      </c>
      <c r="C405" s="171" t="s">
        <v>354</v>
      </c>
      <c r="D405" s="162" t="s">
        <v>453</v>
      </c>
      <c r="E405" s="160" t="s">
        <v>47</v>
      </c>
      <c r="F405" s="162" t="s">
        <v>454</v>
      </c>
      <c r="G405" s="164"/>
      <c r="H405" s="77" t="s">
        <v>49</v>
      </c>
      <c r="I405" s="108"/>
      <c r="J405" s="78"/>
      <c r="K405" s="78"/>
      <c r="L405" s="79" t="b">
        <v>0</v>
      </c>
      <c r="M405" s="79" t="b">
        <v>0</v>
      </c>
      <c r="N405" s="81"/>
      <c r="O405" s="81"/>
      <c r="P405" s="80">
        <f t="shared" ref="P405:P416" si="63">N405+O405</f>
        <v>0</v>
      </c>
      <c r="Q405" s="81"/>
      <c r="R405" s="78"/>
      <c r="S405" s="81"/>
      <c r="T405" s="81"/>
      <c r="U405" s="80">
        <f t="shared" ref="U405:U416" si="64">S405+T405</f>
        <v>0</v>
      </c>
      <c r="V405" s="78"/>
      <c r="W405" s="78"/>
      <c r="X405" s="78"/>
      <c r="Y405" s="78"/>
      <c r="Z405" s="77"/>
      <c r="AA405" s="78"/>
      <c r="AB405" s="77"/>
      <c r="AC405" s="77"/>
      <c r="AD405" s="77"/>
      <c r="AE405" s="78"/>
      <c r="AF405" s="78"/>
      <c r="AG405" s="109"/>
      <c r="AH405" s="109"/>
      <c r="AI405" s="78"/>
    </row>
    <row r="406" spans="1:35" ht="12.75">
      <c r="A406" s="155"/>
      <c r="B406" s="155"/>
      <c r="C406" s="155"/>
      <c r="D406" s="155"/>
      <c r="E406" s="155"/>
      <c r="F406" s="155"/>
      <c r="G406" s="155"/>
      <c r="H406" s="85" t="s">
        <v>58</v>
      </c>
      <c r="I406" s="112"/>
      <c r="J406" s="84"/>
      <c r="K406" s="84"/>
      <c r="L406" s="86" t="b">
        <v>0</v>
      </c>
      <c r="M406" s="86" t="b">
        <v>0</v>
      </c>
      <c r="N406" s="83"/>
      <c r="O406" s="83"/>
      <c r="P406" s="87">
        <f t="shared" si="63"/>
        <v>0</v>
      </c>
      <c r="Q406" s="83"/>
      <c r="R406" s="84"/>
      <c r="S406" s="83"/>
      <c r="T406" s="83"/>
      <c r="U406" s="87">
        <f t="shared" si="64"/>
        <v>0</v>
      </c>
      <c r="V406" s="84"/>
      <c r="W406" s="84"/>
      <c r="X406" s="84"/>
      <c r="Y406" s="84"/>
      <c r="Z406" s="85"/>
      <c r="AA406" s="84"/>
      <c r="AB406" s="85"/>
      <c r="AC406" s="85"/>
      <c r="AD406" s="85"/>
      <c r="AE406" s="84"/>
      <c r="AF406" s="84"/>
      <c r="AG406" s="110"/>
      <c r="AH406" s="110"/>
      <c r="AI406" s="84"/>
    </row>
    <row r="407" spans="1:35" ht="12.75">
      <c r="A407" s="155"/>
      <c r="B407" s="155"/>
      <c r="C407" s="155"/>
      <c r="D407" s="157" t="s">
        <v>453</v>
      </c>
      <c r="E407" s="157" t="s">
        <v>59</v>
      </c>
      <c r="F407" s="157" t="s">
        <v>454</v>
      </c>
      <c r="G407" s="158"/>
      <c r="H407" s="5" t="s">
        <v>49</v>
      </c>
      <c r="I407" s="17"/>
      <c r="J407" s="9"/>
      <c r="K407" s="9"/>
      <c r="L407" s="11" t="b">
        <v>0</v>
      </c>
      <c r="M407" s="11" t="b">
        <v>0</v>
      </c>
      <c r="N407" s="7"/>
      <c r="O407" s="7"/>
      <c r="P407" s="8">
        <f t="shared" si="63"/>
        <v>0</v>
      </c>
      <c r="Q407" s="7"/>
      <c r="R407" s="9"/>
      <c r="S407" s="7"/>
      <c r="T407" s="7"/>
      <c r="U407" s="8">
        <f t="shared" si="64"/>
        <v>0</v>
      </c>
      <c r="V407" s="9"/>
      <c r="W407" s="9"/>
      <c r="X407" s="18"/>
      <c r="Y407" s="18"/>
      <c r="Z407" s="19"/>
      <c r="AA407" s="18"/>
      <c r="AB407" s="19"/>
      <c r="AC407" s="19"/>
      <c r="AD407" s="19"/>
      <c r="AE407" s="9"/>
      <c r="AF407" s="9"/>
      <c r="AG407" s="26"/>
      <c r="AH407" s="26"/>
      <c r="AI407" s="89"/>
    </row>
    <row r="408" spans="1:35" ht="12.75">
      <c r="A408" s="155"/>
      <c r="B408" s="155"/>
      <c r="C408" s="155"/>
      <c r="D408" s="155"/>
      <c r="E408" s="155"/>
      <c r="F408" s="155"/>
      <c r="G408" s="155"/>
      <c r="H408" s="5" t="s">
        <v>58</v>
      </c>
      <c r="I408" s="22"/>
      <c r="J408" s="9"/>
      <c r="K408" s="9"/>
      <c r="L408" s="11" t="b">
        <v>0</v>
      </c>
      <c r="M408" s="11" t="b">
        <v>0</v>
      </c>
      <c r="N408" s="7"/>
      <c r="O408" s="7"/>
      <c r="P408" s="8">
        <f t="shared" si="63"/>
        <v>0</v>
      </c>
      <c r="Q408" s="7"/>
      <c r="R408" s="9"/>
      <c r="S408" s="7"/>
      <c r="T408" s="7"/>
      <c r="U408" s="8">
        <f t="shared" si="64"/>
        <v>0</v>
      </c>
      <c r="V408" s="9"/>
      <c r="W408" s="9"/>
      <c r="X408" s="18"/>
      <c r="Y408" s="18"/>
      <c r="Z408" s="19"/>
      <c r="AA408" s="18"/>
      <c r="AB408" s="19"/>
      <c r="AC408" s="19"/>
      <c r="AD408" s="19"/>
      <c r="AE408" s="9"/>
      <c r="AF408" s="9"/>
      <c r="AG408" s="26"/>
      <c r="AH408" s="26"/>
      <c r="AI408" s="9"/>
    </row>
    <row r="409" spans="1:35" ht="15">
      <c r="A409" s="155"/>
      <c r="B409" s="155"/>
      <c r="C409" s="155"/>
      <c r="D409" s="176" t="s">
        <v>455</v>
      </c>
      <c r="E409" s="176" t="s">
        <v>456</v>
      </c>
      <c r="F409" s="177" t="s">
        <v>457</v>
      </c>
      <c r="G409" s="178"/>
      <c r="H409" s="85" t="s">
        <v>458</v>
      </c>
      <c r="I409" s="147"/>
      <c r="J409" s="84"/>
      <c r="K409" s="84"/>
      <c r="L409" s="86" t="b">
        <v>0</v>
      </c>
      <c r="M409" s="86" t="b">
        <v>0</v>
      </c>
      <c r="N409" s="83"/>
      <c r="O409" s="83"/>
      <c r="P409" s="87">
        <f t="shared" si="63"/>
        <v>0</v>
      </c>
      <c r="Q409" s="83"/>
      <c r="R409" s="84"/>
      <c r="S409" s="83"/>
      <c r="T409" s="83"/>
      <c r="U409" s="87">
        <f t="shared" si="64"/>
        <v>0</v>
      </c>
      <c r="V409" s="84"/>
      <c r="W409" s="84"/>
      <c r="X409" s="133"/>
      <c r="Y409" s="133"/>
      <c r="Z409" s="121"/>
      <c r="AA409" s="133"/>
      <c r="AB409" s="121"/>
      <c r="AC409" s="121"/>
      <c r="AD409" s="121"/>
      <c r="AE409" s="84"/>
      <c r="AF409" s="84"/>
      <c r="AG409" s="122"/>
      <c r="AH409" s="122"/>
      <c r="AI409" s="84"/>
    </row>
    <row r="410" spans="1:35" ht="15">
      <c r="A410" s="155"/>
      <c r="B410" s="155"/>
      <c r="C410" s="155"/>
      <c r="D410" s="155"/>
      <c r="E410" s="155"/>
      <c r="F410" s="155"/>
      <c r="G410" s="155"/>
      <c r="H410" s="85" t="s">
        <v>58</v>
      </c>
      <c r="I410" s="147"/>
      <c r="J410" s="84"/>
      <c r="K410" s="84"/>
      <c r="L410" s="86" t="b">
        <v>0</v>
      </c>
      <c r="M410" s="86" t="b">
        <v>0</v>
      </c>
      <c r="N410" s="83"/>
      <c r="O410" s="83"/>
      <c r="P410" s="87">
        <f t="shared" si="63"/>
        <v>0</v>
      </c>
      <c r="Q410" s="83"/>
      <c r="R410" s="84"/>
      <c r="S410" s="83"/>
      <c r="T410" s="83"/>
      <c r="U410" s="87">
        <f t="shared" si="64"/>
        <v>0</v>
      </c>
      <c r="V410" s="84"/>
      <c r="W410" s="84"/>
      <c r="X410" s="133"/>
      <c r="Y410" s="133"/>
      <c r="Z410" s="121"/>
      <c r="AA410" s="133"/>
      <c r="AB410" s="121"/>
      <c r="AC410" s="121"/>
      <c r="AD410" s="121"/>
      <c r="AE410" s="84"/>
      <c r="AF410" s="84"/>
      <c r="AG410" s="122"/>
      <c r="AH410" s="122"/>
      <c r="AI410" s="148"/>
    </row>
    <row r="411" spans="1:35" ht="15">
      <c r="A411" s="155"/>
      <c r="B411" s="155"/>
      <c r="C411" s="155"/>
      <c r="D411" s="157" t="s">
        <v>455</v>
      </c>
      <c r="E411" s="175" t="s">
        <v>459</v>
      </c>
      <c r="F411" s="156" t="s">
        <v>457</v>
      </c>
      <c r="G411" s="158"/>
      <c r="H411" s="5" t="s">
        <v>458</v>
      </c>
      <c r="I411" s="150"/>
      <c r="J411" s="9"/>
      <c r="K411" s="9"/>
      <c r="L411" s="11" t="b">
        <v>0</v>
      </c>
      <c r="M411" s="11" t="b">
        <v>0</v>
      </c>
      <c r="N411" s="7"/>
      <c r="O411" s="7"/>
      <c r="P411" s="8">
        <f t="shared" si="63"/>
        <v>0</v>
      </c>
      <c r="Q411" s="7"/>
      <c r="R411" s="9"/>
      <c r="S411" s="7"/>
      <c r="T411" s="7"/>
      <c r="U411" s="8">
        <f t="shared" si="64"/>
        <v>0</v>
      </c>
      <c r="V411" s="9"/>
      <c r="W411" s="9"/>
      <c r="X411" s="9"/>
      <c r="Y411" s="9"/>
      <c r="Z411" s="5"/>
      <c r="AA411" s="9"/>
      <c r="AB411" s="5"/>
      <c r="AC411" s="5"/>
      <c r="AD411" s="5"/>
      <c r="AE411" s="9"/>
      <c r="AF411" s="9"/>
      <c r="AG411" s="26"/>
      <c r="AH411" s="26"/>
      <c r="AI411" s="151"/>
    </row>
    <row r="412" spans="1:35" ht="12.75">
      <c r="A412" s="155"/>
      <c r="B412" s="155"/>
      <c r="C412" s="155"/>
      <c r="D412" s="155"/>
      <c r="E412" s="155"/>
      <c r="F412" s="155"/>
      <c r="G412" s="155"/>
      <c r="H412" s="5" t="s">
        <v>58</v>
      </c>
      <c r="I412" s="152"/>
      <c r="J412" s="9"/>
      <c r="K412" s="9"/>
      <c r="L412" s="11" t="b">
        <v>0</v>
      </c>
      <c r="M412" s="11" t="b">
        <v>0</v>
      </c>
      <c r="N412" s="7"/>
      <c r="O412" s="7"/>
      <c r="P412" s="8">
        <f t="shared" si="63"/>
        <v>0</v>
      </c>
      <c r="Q412" s="7"/>
      <c r="R412" s="9"/>
      <c r="S412" s="7"/>
      <c r="T412" s="7"/>
      <c r="U412" s="8">
        <f t="shared" si="64"/>
        <v>0</v>
      </c>
      <c r="V412" s="9"/>
      <c r="W412" s="9"/>
      <c r="X412" s="9"/>
      <c r="Y412" s="9"/>
      <c r="Z412" s="5"/>
      <c r="AA412" s="9"/>
      <c r="AB412" s="5"/>
      <c r="AC412" s="5"/>
      <c r="AD412" s="5"/>
      <c r="AE412" s="9"/>
      <c r="AF412" s="9"/>
      <c r="AG412" s="26"/>
      <c r="AH412" s="26"/>
      <c r="AI412" s="26"/>
    </row>
    <row r="413" spans="1:35" ht="15">
      <c r="A413" s="155"/>
      <c r="B413" s="155"/>
      <c r="C413" s="155"/>
      <c r="D413" s="176" t="s">
        <v>460</v>
      </c>
      <c r="E413" s="177" t="s">
        <v>461</v>
      </c>
      <c r="F413" s="176" t="s">
        <v>462</v>
      </c>
      <c r="G413" s="178"/>
      <c r="H413" s="85" t="s">
        <v>49</v>
      </c>
      <c r="I413" s="135"/>
      <c r="J413" s="84"/>
      <c r="K413" s="84"/>
      <c r="L413" s="86" t="b">
        <v>0</v>
      </c>
      <c r="M413" s="86" t="b">
        <v>0</v>
      </c>
      <c r="N413" s="83"/>
      <c r="O413" s="83"/>
      <c r="P413" s="87">
        <f t="shared" si="63"/>
        <v>0</v>
      </c>
      <c r="Q413" s="83"/>
      <c r="R413" s="84"/>
      <c r="S413" s="83"/>
      <c r="T413" s="83"/>
      <c r="U413" s="87">
        <f t="shared" si="64"/>
        <v>0</v>
      </c>
      <c r="V413" s="84"/>
      <c r="W413" s="84"/>
      <c r="X413" s="84"/>
      <c r="Y413" s="84"/>
      <c r="Z413" s="85"/>
      <c r="AA413" s="84"/>
      <c r="AB413" s="85"/>
      <c r="AC413" s="85"/>
      <c r="AD413" s="85"/>
      <c r="AE413" s="84"/>
      <c r="AF413" s="84"/>
      <c r="AG413" s="122"/>
      <c r="AH413" s="122"/>
      <c r="AI413" s="153"/>
    </row>
    <row r="414" spans="1:35" ht="15">
      <c r="A414" s="155"/>
      <c r="B414" s="155"/>
      <c r="C414" s="155"/>
      <c r="D414" s="155"/>
      <c r="E414" s="155"/>
      <c r="F414" s="155"/>
      <c r="G414" s="155"/>
      <c r="H414" s="85" t="s">
        <v>58</v>
      </c>
      <c r="I414" s="135"/>
      <c r="J414" s="84"/>
      <c r="K414" s="84"/>
      <c r="L414" s="86" t="b">
        <v>0</v>
      </c>
      <c r="M414" s="86" t="b">
        <v>0</v>
      </c>
      <c r="N414" s="83"/>
      <c r="O414" s="83"/>
      <c r="P414" s="87">
        <f t="shared" si="63"/>
        <v>0</v>
      </c>
      <c r="Q414" s="83"/>
      <c r="R414" s="84"/>
      <c r="S414" s="83"/>
      <c r="T414" s="83"/>
      <c r="U414" s="87">
        <f t="shared" si="64"/>
        <v>0</v>
      </c>
      <c r="V414" s="84"/>
      <c r="W414" s="84"/>
      <c r="X414" s="133"/>
      <c r="Y414" s="133"/>
      <c r="Z414" s="121"/>
      <c r="AA414" s="133"/>
      <c r="AB414" s="121"/>
      <c r="AC414" s="121"/>
      <c r="AD414" s="121"/>
      <c r="AE414" s="84"/>
      <c r="AF414" s="84"/>
      <c r="AG414" s="122"/>
      <c r="AH414" s="122"/>
      <c r="AI414" s="153"/>
    </row>
    <row r="415" spans="1:35" ht="15">
      <c r="A415" s="155"/>
      <c r="B415" s="155"/>
      <c r="C415" s="155"/>
      <c r="D415" s="157" t="s">
        <v>453</v>
      </c>
      <c r="E415" s="157" t="s">
        <v>463</v>
      </c>
      <c r="F415" s="157" t="s">
        <v>464</v>
      </c>
      <c r="G415" s="158"/>
      <c r="H415" s="5" t="s">
        <v>465</v>
      </c>
      <c r="I415" s="22"/>
      <c r="J415" s="9"/>
      <c r="K415" s="9"/>
      <c r="L415" s="11" t="b">
        <v>0</v>
      </c>
      <c r="M415" s="11" t="b">
        <v>0</v>
      </c>
      <c r="N415" s="7"/>
      <c r="O415" s="7"/>
      <c r="P415" s="8">
        <f t="shared" si="63"/>
        <v>0</v>
      </c>
      <c r="Q415" s="7"/>
      <c r="R415" s="9"/>
      <c r="S415" s="7"/>
      <c r="T415" s="7"/>
      <c r="U415" s="8">
        <f t="shared" si="64"/>
        <v>0</v>
      </c>
      <c r="V415" s="9"/>
      <c r="W415" s="9"/>
      <c r="X415" s="18"/>
      <c r="Y415" s="18"/>
      <c r="Z415" s="19"/>
      <c r="AA415" s="18"/>
      <c r="AB415" s="19"/>
      <c r="AC415" s="19"/>
      <c r="AD415" s="19"/>
      <c r="AE415" s="9"/>
      <c r="AF415" s="9"/>
      <c r="AG415" s="26"/>
      <c r="AH415" s="26"/>
      <c r="AI415" s="151"/>
    </row>
    <row r="416" spans="1:35" ht="15">
      <c r="A416" s="155"/>
      <c r="B416" s="155"/>
      <c r="C416" s="155"/>
      <c r="D416" s="155"/>
      <c r="E416" s="155"/>
      <c r="F416" s="155"/>
      <c r="G416" s="155"/>
      <c r="H416" s="5" t="s">
        <v>58</v>
      </c>
      <c r="I416" s="22"/>
      <c r="J416" s="9"/>
      <c r="K416" s="9"/>
      <c r="L416" s="11" t="b">
        <v>0</v>
      </c>
      <c r="M416" s="11" t="b">
        <v>0</v>
      </c>
      <c r="N416" s="7"/>
      <c r="O416" s="7"/>
      <c r="P416" s="8">
        <f t="shared" si="63"/>
        <v>0</v>
      </c>
      <c r="Q416" s="7"/>
      <c r="R416" s="9"/>
      <c r="S416" s="7"/>
      <c r="T416" s="7"/>
      <c r="U416" s="8">
        <f t="shared" si="64"/>
        <v>0</v>
      </c>
      <c r="V416" s="9"/>
      <c r="W416" s="9"/>
      <c r="X416" s="18"/>
      <c r="Y416" s="18"/>
      <c r="Z416" s="19"/>
      <c r="AA416" s="18"/>
      <c r="AB416" s="19"/>
      <c r="AC416" s="19"/>
      <c r="AD416" s="19"/>
      <c r="AE416" s="9"/>
      <c r="AF416" s="9"/>
      <c r="AG416" s="26"/>
      <c r="AH416" s="26"/>
      <c r="AI416" s="151"/>
    </row>
    <row r="417" spans="1:35" ht="12.75">
      <c r="A417" s="114"/>
      <c r="B417" s="114"/>
      <c r="C417" s="114"/>
      <c r="D417" s="115"/>
      <c r="E417" s="115"/>
      <c r="F417" s="115"/>
      <c r="G417" s="116"/>
      <c r="H417" s="115"/>
      <c r="I417" s="117"/>
      <c r="J417" s="116"/>
      <c r="K417" s="116"/>
      <c r="L417" s="116"/>
      <c r="M417" s="116"/>
      <c r="N417" s="118"/>
      <c r="O417" s="118"/>
      <c r="P417" s="119"/>
      <c r="Q417" s="118"/>
      <c r="R417" s="116"/>
      <c r="S417" s="118"/>
      <c r="T417" s="118"/>
      <c r="U417" s="119"/>
      <c r="V417" s="116"/>
      <c r="W417" s="116"/>
      <c r="X417" s="116"/>
      <c r="Y417" s="116"/>
      <c r="Z417" s="115"/>
      <c r="AA417" s="116"/>
      <c r="AB417" s="115"/>
      <c r="AC417" s="115"/>
      <c r="AD417" s="115"/>
      <c r="AE417" s="116"/>
      <c r="AF417" s="116"/>
      <c r="AG417" s="116"/>
      <c r="AH417" s="116"/>
      <c r="AI417" s="116"/>
    </row>
    <row r="418" spans="1:35" ht="12.75">
      <c r="A418" s="171" t="s">
        <v>373</v>
      </c>
      <c r="B418" s="171" t="s">
        <v>353</v>
      </c>
      <c r="C418" s="171" t="s">
        <v>354</v>
      </c>
      <c r="D418" s="162" t="s">
        <v>453</v>
      </c>
      <c r="E418" s="160" t="s">
        <v>47</v>
      </c>
      <c r="F418" s="162" t="s">
        <v>454</v>
      </c>
      <c r="G418" s="164"/>
      <c r="H418" s="77" t="s">
        <v>49</v>
      </c>
      <c r="I418" s="108"/>
      <c r="J418" s="78"/>
      <c r="K418" s="78"/>
      <c r="L418" s="79" t="b">
        <v>0</v>
      </c>
      <c r="M418" s="79" t="b">
        <v>0</v>
      </c>
      <c r="N418" s="81"/>
      <c r="O418" s="81"/>
      <c r="P418" s="80">
        <f t="shared" ref="P418:P429" si="65">N418+O418</f>
        <v>0</v>
      </c>
      <c r="Q418" s="81"/>
      <c r="R418" s="78"/>
      <c r="S418" s="81"/>
      <c r="T418" s="81"/>
      <c r="U418" s="80">
        <f t="shared" ref="U418:U429" si="66">S418+T418</f>
        <v>0</v>
      </c>
      <c r="V418" s="78"/>
      <c r="W418" s="78"/>
      <c r="X418" s="78"/>
      <c r="Y418" s="78"/>
      <c r="Z418" s="77"/>
      <c r="AA418" s="78"/>
      <c r="AB418" s="77"/>
      <c r="AC418" s="77"/>
      <c r="AD418" s="77"/>
      <c r="AE418" s="78"/>
      <c r="AF418" s="78"/>
      <c r="AG418" s="109"/>
      <c r="AH418" s="109"/>
      <c r="AI418" s="78"/>
    </row>
    <row r="419" spans="1:35" ht="12.75">
      <c r="A419" s="155"/>
      <c r="B419" s="155"/>
      <c r="C419" s="155"/>
      <c r="D419" s="155"/>
      <c r="E419" s="155"/>
      <c r="F419" s="155"/>
      <c r="G419" s="155"/>
      <c r="H419" s="85" t="s">
        <v>58</v>
      </c>
      <c r="I419" s="112"/>
      <c r="J419" s="84"/>
      <c r="K419" s="84"/>
      <c r="L419" s="86" t="b">
        <v>0</v>
      </c>
      <c r="M419" s="86" t="b">
        <v>0</v>
      </c>
      <c r="N419" s="83"/>
      <c r="O419" s="83"/>
      <c r="P419" s="87">
        <f t="shared" si="65"/>
        <v>0</v>
      </c>
      <c r="Q419" s="83"/>
      <c r="R419" s="84"/>
      <c r="S419" s="83"/>
      <c r="T419" s="83"/>
      <c r="U419" s="87">
        <f t="shared" si="66"/>
        <v>0</v>
      </c>
      <c r="V419" s="84"/>
      <c r="W419" s="84"/>
      <c r="X419" s="84"/>
      <c r="Y419" s="84"/>
      <c r="Z419" s="85"/>
      <c r="AA419" s="84"/>
      <c r="AB419" s="85"/>
      <c r="AC419" s="85"/>
      <c r="AD419" s="85"/>
      <c r="AE419" s="84"/>
      <c r="AF419" s="84"/>
      <c r="AG419" s="110"/>
      <c r="AH419" s="110"/>
      <c r="AI419" s="84"/>
    </row>
    <row r="420" spans="1:35" ht="12.75">
      <c r="A420" s="155"/>
      <c r="B420" s="155"/>
      <c r="C420" s="155"/>
      <c r="D420" s="157" t="s">
        <v>453</v>
      </c>
      <c r="E420" s="157" t="s">
        <v>59</v>
      </c>
      <c r="F420" s="157" t="s">
        <v>454</v>
      </c>
      <c r="G420" s="158"/>
      <c r="H420" s="5" t="s">
        <v>49</v>
      </c>
      <c r="I420" s="17"/>
      <c r="J420" s="9"/>
      <c r="K420" s="9"/>
      <c r="L420" s="11" t="b">
        <v>0</v>
      </c>
      <c r="M420" s="11" t="b">
        <v>0</v>
      </c>
      <c r="N420" s="7"/>
      <c r="O420" s="7"/>
      <c r="P420" s="8">
        <f t="shared" si="65"/>
        <v>0</v>
      </c>
      <c r="Q420" s="7"/>
      <c r="R420" s="9"/>
      <c r="S420" s="7"/>
      <c r="T420" s="7"/>
      <c r="U420" s="8">
        <f t="shared" si="66"/>
        <v>0</v>
      </c>
      <c r="V420" s="9"/>
      <c r="W420" s="9"/>
      <c r="X420" s="18"/>
      <c r="Y420" s="18"/>
      <c r="Z420" s="19"/>
      <c r="AA420" s="18"/>
      <c r="AB420" s="19"/>
      <c r="AC420" s="19"/>
      <c r="AD420" s="19"/>
      <c r="AE420" s="9"/>
      <c r="AF420" s="9"/>
      <c r="AG420" s="26"/>
      <c r="AH420" s="26"/>
      <c r="AI420" s="89"/>
    </row>
    <row r="421" spans="1:35" ht="12.75">
      <c r="A421" s="155"/>
      <c r="B421" s="155"/>
      <c r="C421" s="155"/>
      <c r="D421" s="155"/>
      <c r="E421" s="155"/>
      <c r="F421" s="155"/>
      <c r="G421" s="155"/>
      <c r="H421" s="5" t="s">
        <v>58</v>
      </c>
      <c r="I421" s="22"/>
      <c r="J421" s="9"/>
      <c r="K421" s="9"/>
      <c r="L421" s="11" t="b">
        <v>0</v>
      </c>
      <c r="M421" s="11" t="b">
        <v>0</v>
      </c>
      <c r="N421" s="7"/>
      <c r="O421" s="7"/>
      <c r="P421" s="8">
        <f t="shared" si="65"/>
        <v>0</v>
      </c>
      <c r="Q421" s="7"/>
      <c r="R421" s="9"/>
      <c r="S421" s="7"/>
      <c r="T421" s="7"/>
      <c r="U421" s="8">
        <f t="shared" si="66"/>
        <v>0</v>
      </c>
      <c r="V421" s="9"/>
      <c r="W421" s="9"/>
      <c r="X421" s="18"/>
      <c r="Y421" s="18"/>
      <c r="Z421" s="19"/>
      <c r="AA421" s="18"/>
      <c r="AB421" s="19"/>
      <c r="AC421" s="19"/>
      <c r="AD421" s="19"/>
      <c r="AE421" s="9"/>
      <c r="AF421" s="9"/>
      <c r="AG421" s="26"/>
      <c r="AH421" s="26"/>
      <c r="AI421" s="9"/>
    </row>
    <row r="422" spans="1:35" ht="15">
      <c r="A422" s="155"/>
      <c r="B422" s="155"/>
      <c r="C422" s="155"/>
      <c r="D422" s="176" t="s">
        <v>455</v>
      </c>
      <c r="E422" s="176" t="s">
        <v>456</v>
      </c>
      <c r="F422" s="177" t="s">
        <v>457</v>
      </c>
      <c r="G422" s="178"/>
      <c r="H422" s="85" t="s">
        <v>458</v>
      </c>
      <c r="I422" s="147"/>
      <c r="J422" s="84"/>
      <c r="K422" s="84"/>
      <c r="L422" s="86" t="b">
        <v>0</v>
      </c>
      <c r="M422" s="86" t="b">
        <v>0</v>
      </c>
      <c r="N422" s="83"/>
      <c r="O422" s="83"/>
      <c r="P422" s="87">
        <f t="shared" si="65"/>
        <v>0</v>
      </c>
      <c r="Q422" s="83"/>
      <c r="R422" s="84"/>
      <c r="S422" s="83"/>
      <c r="T422" s="83"/>
      <c r="U422" s="87">
        <f t="shared" si="66"/>
        <v>0</v>
      </c>
      <c r="V422" s="84"/>
      <c r="W422" s="84"/>
      <c r="X422" s="133"/>
      <c r="Y422" s="133"/>
      <c r="Z422" s="121"/>
      <c r="AA422" s="133"/>
      <c r="AB422" s="121"/>
      <c r="AC422" s="121"/>
      <c r="AD422" s="121"/>
      <c r="AE422" s="84"/>
      <c r="AF422" s="84"/>
      <c r="AG422" s="122"/>
      <c r="AH422" s="122"/>
      <c r="AI422" s="84"/>
    </row>
    <row r="423" spans="1:35" ht="15">
      <c r="A423" s="155"/>
      <c r="B423" s="155"/>
      <c r="C423" s="155"/>
      <c r="D423" s="155"/>
      <c r="E423" s="155"/>
      <c r="F423" s="155"/>
      <c r="G423" s="155"/>
      <c r="H423" s="85" t="s">
        <v>58</v>
      </c>
      <c r="I423" s="147"/>
      <c r="J423" s="84"/>
      <c r="K423" s="84"/>
      <c r="L423" s="86" t="b">
        <v>0</v>
      </c>
      <c r="M423" s="86" t="b">
        <v>0</v>
      </c>
      <c r="N423" s="83"/>
      <c r="O423" s="83"/>
      <c r="P423" s="87">
        <f t="shared" si="65"/>
        <v>0</v>
      </c>
      <c r="Q423" s="83"/>
      <c r="R423" s="84"/>
      <c r="S423" s="83"/>
      <c r="T423" s="83"/>
      <c r="U423" s="87">
        <f t="shared" si="66"/>
        <v>0</v>
      </c>
      <c r="V423" s="84"/>
      <c r="W423" s="84"/>
      <c r="X423" s="133"/>
      <c r="Y423" s="133"/>
      <c r="Z423" s="121"/>
      <c r="AA423" s="133"/>
      <c r="AB423" s="121"/>
      <c r="AC423" s="121"/>
      <c r="AD423" s="121"/>
      <c r="AE423" s="84"/>
      <c r="AF423" s="84"/>
      <c r="AG423" s="122"/>
      <c r="AH423" s="122"/>
      <c r="AI423" s="148"/>
    </row>
    <row r="424" spans="1:35" ht="15">
      <c r="A424" s="155"/>
      <c r="B424" s="155"/>
      <c r="C424" s="155"/>
      <c r="D424" s="157" t="s">
        <v>455</v>
      </c>
      <c r="E424" s="175" t="s">
        <v>459</v>
      </c>
      <c r="F424" s="156" t="s">
        <v>457</v>
      </c>
      <c r="G424" s="158"/>
      <c r="H424" s="5" t="s">
        <v>458</v>
      </c>
      <c r="I424" s="150"/>
      <c r="J424" s="9"/>
      <c r="K424" s="9"/>
      <c r="L424" s="11" t="b">
        <v>0</v>
      </c>
      <c r="M424" s="11" t="b">
        <v>0</v>
      </c>
      <c r="N424" s="7"/>
      <c r="O424" s="7"/>
      <c r="P424" s="8">
        <f t="shared" si="65"/>
        <v>0</v>
      </c>
      <c r="Q424" s="7"/>
      <c r="R424" s="9"/>
      <c r="S424" s="7"/>
      <c r="T424" s="7"/>
      <c r="U424" s="8">
        <f t="shared" si="66"/>
        <v>0</v>
      </c>
      <c r="V424" s="9"/>
      <c r="W424" s="9"/>
      <c r="X424" s="9"/>
      <c r="Y424" s="9"/>
      <c r="Z424" s="5"/>
      <c r="AA424" s="9"/>
      <c r="AB424" s="5"/>
      <c r="AC424" s="5"/>
      <c r="AD424" s="5"/>
      <c r="AE424" s="9"/>
      <c r="AF424" s="9"/>
      <c r="AG424" s="26"/>
      <c r="AH424" s="26"/>
      <c r="AI424" s="151"/>
    </row>
    <row r="425" spans="1:35" ht="12.75">
      <c r="A425" s="155"/>
      <c r="B425" s="155"/>
      <c r="C425" s="155"/>
      <c r="D425" s="155"/>
      <c r="E425" s="155"/>
      <c r="F425" s="155"/>
      <c r="G425" s="155"/>
      <c r="H425" s="5" t="s">
        <v>58</v>
      </c>
      <c r="I425" s="152"/>
      <c r="J425" s="9"/>
      <c r="K425" s="9"/>
      <c r="L425" s="11" t="b">
        <v>0</v>
      </c>
      <c r="M425" s="11" t="b">
        <v>0</v>
      </c>
      <c r="N425" s="7"/>
      <c r="O425" s="7"/>
      <c r="P425" s="8">
        <f t="shared" si="65"/>
        <v>0</v>
      </c>
      <c r="Q425" s="7"/>
      <c r="R425" s="9"/>
      <c r="S425" s="7"/>
      <c r="T425" s="7"/>
      <c r="U425" s="8">
        <f t="shared" si="66"/>
        <v>0</v>
      </c>
      <c r="V425" s="9"/>
      <c r="W425" s="9"/>
      <c r="X425" s="9"/>
      <c r="Y425" s="9"/>
      <c r="Z425" s="5"/>
      <c r="AA425" s="9"/>
      <c r="AB425" s="5"/>
      <c r="AC425" s="5"/>
      <c r="AD425" s="5"/>
      <c r="AE425" s="9"/>
      <c r="AF425" s="9"/>
      <c r="AG425" s="26"/>
      <c r="AH425" s="26"/>
      <c r="AI425" s="26"/>
    </row>
    <row r="426" spans="1:35" ht="15">
      <c r="A426" s="155"/>
      <c r="B426" s="155"/>
      <c r="C426" s="155"/>
      <c r="D426" s="176" t="s">
        <v>460</v>
      </c>
      <c r="E426" s="177" t="s">
        <v>461</v>
      </c>
      <c r="F426" s="176" t="s">
        <v>462</v>
      </c>
      <c r="G426" s="178"/>
      <c r="H426" s="85" t="s">
        <v>49</v>
      </c>
      <c r="I426" s="135"/>
      <c r="J426" s="84"/>
      <c r="K426" s="84"/>
      <c r="L426" s="86" t="b">
        <v>0</v>
      </c>
      <c r="M426" s="86" t="b">
        <v>0</v>
      </c>
      <c r="N426" s="83"/>
      <c r="O426" s="83"/>
      <c r="P426" s="87">
        <f t="shared" si="65"/>
        <v>0</v>
      </c>
      <c r="Q426" s="83"/>
      <c r="R426" s="84"/>
      <c r="S426" s="83"/>
      <c r="T426" s="83"/>
      <c r="U426" s="87">
        <f t="shared" si="66"/>
        <v>0</v>
      </c>
      <c r="V426" s="84"/>
      <c r="W426" s="84"/>
      <c r="X426" s="84"/>
      <c r="Y426" s="84"/>
      <c r="Z426" s="85"/>
      <c r="AA426" s="84"/>
      <c r="AB426" s="85"/>
      <c r="AC426" s="85"/>
      <c r="AD426" s="85"/>
      <c r="AE426" s="84"/>
      <c r="AF426" s="84"/>
      <c r="AG426" s="122"/>
      <c r="AH426" s="122"/>
      <c r="AI426" s="153"/>
    </row>
    <row r="427" spans="1:35" ht="15">
      <c r="A427" s="155"/>
      <c r="B427" s="155"/>
      <c r="C427" s="155"/>
      <c r="D427" s="155"/>
      <c r="E427" s="155"/>
      <c r="F427" s="155"/>
      <c r="G427" s="155"/>
      <c r="H427" s="85" t="s">
        <v>58</v>
      </c>
      <c r="I427" s="135"/>
      <c r="J427" s="84"/>
      <c r="K427" s="84"/>
      <c r="L427" s="86" t="b">
        <v>0</v>
      </c>
      <c r="M427" s="86" t="b">
        <v>0</v>
      </c>
      <c r="N427" s="83"/>
      <c r="O427" s="83"/>
      <c r="P427" s="87">
        <f t="shared" si="65"/>
        <v>0</v>
      </c>
      <c r="Q427" s="83"/>
      <c r="R427" s="84"/>
      <c r="S427" s="83"/>
      <c r="T427" s="83"/>
      <c r="U427" s="87">
        <f t="shared" si="66"/>
        <v>0</v>
      </c>
      <c r="V427" s="84"/>
      <c r="W427" s="84"/>
      <c r="X427" s="133"/>
      <c r="Y427" s="133"/>
      <c r="Z427" s="121"/>
      <c r="AA427" s="133"/>
      <c r="AB427" s="121"/>
      <c r="AC427" s="121"/>
      <c r="AD427" s="121"/>
      <c r="AE427" s="84"/>
      <c r="AF427" s="84"/>
      <c r="AG427" s="122"/>
      <c r="AH427" s="122"/>
      <c r="AI427" s="153"/>
    </row>
    <row r="428" spans="1:35" ht="15">
      <c r="A428" s="155"/>
      <c r="B428" s="155"/>
      <c r="C428" s="155"/>
      <c r="D428" s="157" t="s">
        <v>453</v>
      </c>
      <c r="E428" s="157" t="s">
        <v>463</v>
      </c>
      <c r="F428" s="157" t="s">
        <v>464</v>
      </c>
      <c r="G428" s="158"/>
      <c r="H428" s="5" t="s">
        <v>465</v>
      </c>
      <c r="I428" s="22"/>
      <c r="J428" s="9"/>
      <c r="K428" s="9"/>
      <c r="L428" s="11" t="b">
        <v>0</v>
      </c>
      <c r="M428" s="11" t="b">
        <v>0</v>
      </c>
      <c r="N428" s="7"/>
      <c r="O428" s="7"/>
      <c r="P428" s="8">
        <f t="shared" si="65"/>
        <v>0</v>
      </c>
      <c r="Q428" s="7"/>
      <c r="R428" s="9"/>
      <c r="S428" s="7"/>
      <c r="T428" s="7"/>
      <c r="U428" s="8">
        <f t="shared" si="66"/>
        <v>0</v>
      </c>
      <c r="V428" s="9"/>
      <c r="W428" s="9"/>
      <c r="X428" s="18"/>
      <c r="Y428" s="18"/>
      <c r="Z428" s="19"/>
      <c r="AA428" s="18"/>
      <c r="AB428" s="19"/>
      <c r="AC428" s="19"/>
      <c r="AD428" s="19"/>
      <c r="AE428" s="9"/>
      <c r="AF428" s="9"/>
      <c r="AG428" s="26"/>
      <c r="AH428" s="26"/>
      <c r="AI428" s="151"/>
    </row>
    <row r="429" spans="1:35" ht="15">
      <c r="A429" s="155"/>
      <c r="B429" s="155"/>
      <c r="C429" s="155"/>
      <c r="D429" s="155"/>
      <c r="E429" s="155"/>
      <c r="F429" s="155"/>
      <c r="G429" s="155"/>
      <c r="H429" s="5" t="s">
        <v>58</v>
      </c>
      <c r="I429" s="22"/>
      <c r="J429" s="9"/>
      <c r="K429" s="9"/>
      <c r="L429" s="11" t="b">
        <v>0</v>
      </c>
      <c r="M429" s="11" t="b">
        <v>0</v>
      </c>
      <c r="N429" s="7"/>
      <c r="O429" s="7"/>
      <c r="P429" s="8">
        <f t="shared" si="65"/>
        <v>0</v>
      </c>
      <c r="Q429" s="7"/>
      <c r="R429" s="9"/>
      <c r="S429" s="7"/>
      <c r="T429" s="7"/>
      <c r="U429" s="8">
        <f t="shared" si="66"/>
        <v>0</v>
      </c>
      <c r="V429" s="9"/>
      <c r="W429" s="9"/>
      <c r="X429" s="18"/>
      <c r="Y429" s="18"/>
      <c r="Z429" s="19"/>
      <c r="AA429" s="18"/>
      <c r="AB429" s="19"/>
      <c r="AC429" s="19"/>
      <c r="AD429" s="19"/>
      <c r="AE429" s="9"/>
      <c r="AF429" s="9"/>
      <c r="AG429" s="26"/>
      <c r="AH429" s="26"/>
      <c r="AI429" s="151"/>
    </row>
    <row r="430" spans="1:35" ht="12.75">
      <c r="A430" s="114"/>
      <c r="B430" s="114"/>
      <c r="C430" s="114"/>
      <c r="D430" s="115"/>
      <c r="E430" s="115"/>
      <c r="F430" s="115"/>
      <c r="G430" s="116"/>
      <c r="H430" s="115"/>
      <c r="I430" s="117"/>
      <c r="J430" s="116"/>
      <c r="K430" s="116"/>
      <c r="L430" s="116"/>
      <c r="M430" s="116"/>
      <c r="N430" s="118"/>
      <c r="O430" s="118"/>
      <c r="P430" s="119"/>
      <c r="Q430" s="118"/>
      <c r="R430" s="116"/>
      <c r="S430" s="118"/>
      <c r="T430" s="118"/>
      <c r="U430" s="119"/>
      <c r="V430" s="116"/>
      <c r="W430" s="116"/>
      <c r="X430" s="116"/>
      <c r="Y430" s="116"/>
      <c r="Z430" s="115"/>
      <c r="AA430" s="116"/>
      <c r="AB430" s="115"/>
      <c r="AC430" s="115"/>
      <c r="AD430" s="115"/>
      <c r="AE430" s="116"/>
      <c r="AF430" s="116"/>
      <c r="AG430" s="116"/>
      <c r="AH430" s="116"/>
      <c r="AI430" s="116"/>
    </row>
    <row r="431" spans="1:35" ht="12.75">
      <c r="A431" s="171" t="s">
        <v>379</v>
      </c>
      <c r="B431" s="171" t="s">
        <v>353</v>
      </c>
      <c r="C431" s="171" t="s">
        <v>354</v>
      </c>
      <c r="D431" s="162" t="s">
        <v>453</v>
      </c>
      <c r="E431" s="160" t="s">
        <v>47</v>
      </c>
      <c r="F431" s="162" t="s">
        <v>454</v>
      </c>
      <c r="G431" s="164"/>
      <c r="H431" s="77" t="s">
        <v>49</v>
      </c>
      <c r="I431" s="108"/>
      <c r="J431" s="78"/>
      <c r="K431" s="78"/>
      <c r="L431" s="79" t="b">
        <v>0</v>
      </c>
      <c r="M431" s="79" t="b">
        <v>0</v>
      </c>
      <c r="N431" s="81"/>
      <c r="O431" s="81"/>
      <c r="P431" s="80">
        <f t="shared" ref="P431:P442" si="67">N431+O431</f>
        <v>0</v>
      </c>
      <c r="Q431" s="81"/>
      <c r="R431" s="78"/>
      <c r="S431" s="81"/>
      <c r="T431" s="81"/>
      <c r="U431" s="80">
        <f t="shared" ref="U431:U442" si="68">S431+T431</f>
        <v>0</v>
      </c>
      <c r="V431" s="78"/>
      <c r="W431" s="78"/>
      <c r="X431" s="78"/>
      <c r="Y431" s="78"/>
      <c r="Z431" s="77"/>
      <c r="AA431" s="78"/>
      <c r="AB431" s="77"/>
      <c r="AC431" s="77"/>
      <c r="AD431" s="77"/>
      <c r="AE431" s="78"/>
      <c r="AF431" s="78"/>
      <c r="AG431" s="109"/>
      <c r="AH431" s="109"/>
      <c r="AI431" s="78"/>
    </row>
    <row r="432" spans="1:35" ht="12.75">
      <c r="A432" s="155"/>
      <c r="B432" s="155"/>
      <c r="C432" s="155"/>
      <c r="D432" s="155"/>
      <c r="E432" s="155"/>
      <c r="F432" s="155"/>
      <c r="G432" s="155"/>
      <c r="H432" s="85" t="s">
        <v>58</v>
      </c>
      <c r="I432" s="112"/>
      <c r="J432" s="84"/>
      <c r="K432" s="84"/>
      <c r="L432" s="86" t="b">
        <v>0</v>
      </c>
      <c r="M432" s="86" t="b">
        <v>0</v>
      </c>
      <c r="N432" s="83"/>
      <c r="O432" s="83"/>
      <c r="P432" s="87">
        <f t="shared" si="67"/>
        <v>0</v>
      </c>
      <c r="Q432" s="83"/>
      <c r="R432" s="84"/>
      <c r="S432" s="83"/>
      <c r="T432" s="83"/>
      <c r="U432" s="87">
        <f t="shared" si="68"/>
        <v>0</v>
      </c>
      <c r="V432" s="84"/>
      <c r="W432" s="84"/>
      <c r="X432" s="84"/>
      <c r="Y432" s="84"/>
      <c r="Z432" s="85"/>
      <c r="AA432" s="84"/>
      <c r="AB432" s="85"/>
      <c r="AC432" s="85"/>
      <c r="AD432" s="85"/>
      <c r="AE432" s="84"/>
      <c r="AF432" s="84"/>
      <c r="AG432" s="110"/>
      <c r="AH432" s="110"/>
      <c r="AI432" s="84"/>
    </row>
    <row r="433" spans="1:35" ht="12.75">
      <c r="A433" s="155"/>
      <c r="B433" s="155"/>
      <c r="C433" s="155"/>
      <c r="D433" s="157" t="s">
        <v>453</v>
      </c>
      <c r="E433" s="157" t="s">
        <v>59</v>
      </c>
      <c r="F433" s="157" t="s">
        <v>454</v>
      </c>
      <c r="G433" s="158"/>
      <c r="H433" s="5" t="s">
        <v>49</v>
      </c>
      <c r="I433" s="17"/>
      <c r="J433" s="9"/>
      <c r="K433" s="9"/>
      <c r="L433" s="11" t="b">
        <v>0</v>
      </c>
      <c r="M433" s="11" t="b">
        <v>0</v>
      </c>
      <c r="N433" s="7"/>
      <c r="O433" s="7"/>
      <c r="P433" s="8">
        <f t="shared" si="67"/>
        <v>0</v>
      </c>
      <c r="Q433" s="7"/>
      <c r="R433" s="9"/>
      <c r="S433" s="7"/>
      <c r="T433" s="7"/>
      <c r="U433" s="8">
        <f t="shared" si="68"/>
        <v>0</v>
      </c>
      <c r="V433" s="9"/>
      <c r="W433" s="9"/>
      <c r="X433" s="18"/>
      <c r="Y433" s="18"/>
      <c r="Z433" s="19"/>
      <c r="AA433" s="18"/>
      <c r="AB433" s="19"/>
      <c r="AC433" s="19"/>
      <c r="AD433" s="19"/>
      <c r="AE433" s="9"/>
      <c r="AF433" s="9"/>
      <c r="AG433" s="26"/>
      <c r="AH433" s="26"/>
      <c r="AI433" s="89"/>
    </row>
    <row r="434" spans="1:35" ht="12.75">
      <c r="A434" s="155"/>
      <c r="B434" s="155"/>
      <c r="C434" s="155"/>
      <c r="D434" s="155"/>
      <c r="E434" s="155"/>
      <c r="F434" s="155"/>
      <c r="G434" s="155"/>
      <c r="H434" s="5" t="s">
        <v>58</v>
      </c>
      <c r="I434" s="22"/>
      <c r="J434" s="9"/>
      <c r="K434" s="9"/>
      <c r="L434" s="11" t="b">
        <v>0</v>
      </c>
      <c r="M434" s="11" t="b">
        <v>0</v>
      </c>
      <c r="N434" s="7"/>
      <c r="O434" s="7"/>
      <c r="P434" s="8">
        <f t="shared" si="67"/>
        <v>0</v>
      </c>
      <c r="Q434" s="7"/>
      <c r="R434" s="9"/>
      <c r="S434" s="7"/>
      <c r="T434" s="7"/>
      <c r="U434" s="8">
        <f t="shared" si="68"/>
        <v>0</v>
      </c>
      <c r="V434" s="9"/>
      <c r="W434" s="9"/>
      <c r="X434" s="18"/>
      <c r="Y434" s="18"/>
      <c r="Z434" s="19"/>
      <c r="AA434" s="18"/>
      <c r="AB434" s="19"/>
      <c r="AC434" s="19"/>
      <c r="AD434" s="19"/>
      <c r="AE434" s="9"/>
      <c r="AF434" s="9"/>
      <c r="AG434" s="26"/>
      <c r="AH434" s="26"/>
      <c r="AI434" s="9"/>
    </row>
    <row r="435" spans="1:35" ht="15">
      <c r="A435" s="155"/>
      <c r="B435" s="155"/>
      <c r="C435" s="155"/>
      <c r="D435" s="176" t="s">
        <v>455</v>
      </c>
      <c r="E435" s="176" t="s">
        <v>456</v>
      </c>
      <c r="F435" s="177" t="s">
        <v>457</v>
      </c>
      <c r="G435" s="178"/>
      <c r="H435" s="85" t="s">
        <v>458</v>
      </c>
      <c r="I435" s="147"/>
      <c r="J435" s="84"/>
      <c r="K435" s="84"/>
      <c r="L435" s="86" t="b">
        <v>0</v>
      </c>
      <c r="M435" s="86" t="b">
        <v>0</v>
      </c>
      <c r="N435" s="83"/>
      <c r="O435" s="83"/>
      <c r="P435" s="87">
        <f t="shared" si="67"/>
        <v>0</v>
      </c>
      <c r="Q435" s="83"/>
      <c r="R435" s="84"/>
      <c r="S435" s="83"/>
      <c r="T435" s="83"/>
      <c r="U435" s="87">
        <f t="shared" si="68"/>
        <v>0</v>
      </c>
      <c r="V435" s="84"/>
      <c r="W435" s="84"/>
      <c r="X435" s="133"/>
      <c r="Y435" s="133"/>
      <c r="Z435" s="121"/>
      <c r="AA435" s="133"/>
      <c r="AB435" s="121"/>
      <c r="AC435" s="121"/>
      <c r="AD435" s="121"/>
      <c r="AE435" s="84"/>
      <c r="AF435" s="84"/>
      <c r="AG435" s="122"/>
      <c r="AH435" s="122"/>
      <c r="AI435" s="84"/>
    </row>
    <row r="436" spans="1:35" ht="15">
      <c r="A436" s="155"/>
      <c r="B436" s="155"/>
      <c r="C436" s="155"/>
      <c r="D436" s="155"/>
      <c r="E436" s="155"/>
      <c r="F436" s="155"/>
      <c r="G436" s="155"/>
      <c r="H436" s="85" t="s">
        <v>58</v>
      </c>
      <c r="I436" s="147"/>
      <c r="J436" s="84"/>
      <c r="K436" s="84"/>
      <c r="L436" s="86" t="b">
        <v>0</v>
      </c>
      <c r="M436" s="86" t="b">
        <v>0</v>
      </c>
      <c r="N436" s="83"/>
      <c r="O436" s="83"/>
      <c r="P436" s="87">
        <f t="shared" si="67"/>
        <v>0</v>
      </c>
      <c r="Q436" s="83"/>
      <c r="R436" s="84"/>
      <c r="S436" s="83"/>
      <c r="T436" s="83"/>
      <c r="U436" s="87">
        <f t="shared" si="68"/>
        <v>0</v>
      </c>
      <c r="V436" s="84"/>
      <c r="W436" s="84"/>
      <c r="X436" s="133"/>
      <c r="Y436" s="133"/>
      <c r="Z436" s="121"/>
      <c r="AA436" s="133"/>
      <c r="AB436" s="121"/>
      <c r="AC436" s="121"/>
      <c r="AD436" s="121"/>
      <c r="AE436" s="84"/>
      <c r="AF436" s="84"/>
      <c r="AG436" s="122"/>
      <c r="AH436" s="122"/>
      <c r="AI436" s="148"/>
    </row>
    <row r="437" spans="1:35" ht="15">
      <c r="A437" s="155"/>
      <c r="B437" s="155"/>
      <c r="C437" s="155"/>
      <c r="D437" s="157" t="s">
        <v>455</v>
      </c>
      <c r="E437" s="175" t="s">
        <v>459</v>
      </c>
      <c r="F437" s="156" t="s">
        <v>457</v>
      </c>
      <c r="G437" s="158"/>
      <c r="H437" s="5" t="s">
        <v>458</v>
      </c>
      <c r="I437" s="150"/>
      <c r="J437" s="9"/>
      <c r="K437" s="9"/>
      <c r="L437" s="11" t="b">
        <v>0</v>
      </c>
      <c r="M437" s="11" t="b">
        <v>0</v>
      </c>
      <c r="N437" s="7"/>
      <c r="O437" s="7"/>
      <c r="P437" s="8">
        <f t="shared" si="67"/>
        <v>0</v>
      </c>
      <c r="Q437" s="7"/>
      <c r="R437" s="9"/>
      <c r="S437" s="7"/>
      <c r="T437" s="7"/>
      <c r="U437" s="8">
        <f t="shared" si="68"/>
        <v>0</v>
      </c>
      <c r="V437" s="9"/>
      <c r="W437" s="9"/>
      <c r="X437" s="9"/>
      <c r="Y437" s="9"/>
      <c r="Z437" s="5"/>
      <c r="AA437" s="9"/>
      <c r="AB437" s="5"/>
      <c r="AC437" s="5"/>
      <c r="AD437" s="5"/>
      <c r="AE437" s="9"/>
      <c r="AF437" s="9"/>
      <c r="AG437" s="26"/>
      <c r="AH437" s="26"/>
      <c r="AI437" s="151"/>
    </row>
    <row r="438" spans="1:35" ht="12.75">
      <c r="A438" s="155"/>
      <c r="B438" s="155"/>
      <c r="C438" s="155"/>
      <c r="D438" s="155"/>
      <c r="E438" s="155"/>
      <c r="F438" s="155"/>
      <c r="G438" s="155"/>
      <c r="H438" s="5" t="s">
        <v>58</v>
      </c>
      <c r="I438" s="152"/>
      <c r="J438" s="9"/>
      <c r="K438" s="9"/>
      <c r="L438" s="11" t="b">
        <v>0</v>
      </c>
      <c r="M438" s="11" t="b">
        <v>0</v>
      </c>
      <c r="N438" s="7"/>
      <c r="O438" s="7"/>
      <c r="P438" s="8">
        <f t="shared" si="67"/>
        <v>0</v>
      </c>
      <c r="Q438" s="7"/>
      <c r="R438" s="9"/>
      <c r="S438" s="7"/>
      <c r="T438" s="7"/>
      <c r="U438" s="8">
        <f t="shared" si="68"/>
        <v>0</v>
      </c>
      <c r="V438" s="9"/>
      <c r="W438" s="9"/>
      <c r="X438" s="9"/>
      <c r="Y438" s="9"/>
      <c r="Z438" s="5"/>
      <c r="AA438" s="9"/>
      <c r="AB438" s="5"/>
      <c r="AC438" s="5"/>
      <c r="AD438" s="5"/>
      <c r="AE438" s="9"/>
      <c r="AF438" s="9"/>
      <c r="AG438" s="26"/>
      <c r="AH438" s="26"/>
      <c r="AI438" s="26"/>
    </row>
    <row r="439" spans="1:35" ht="15">
      <c r="A439" s="155"/>
      <c r="B439" s="155"/>
      <c r="C439" s="155"/>
      <c r="D439" s="176" t="s">
        <v>460</v>
      </c>
      <c r="E439" s="177" t="s">
        <v>461</v>
      </c>
      <c r="F439" s="176" t="s">
        <v>462</v>
      </c>
      <c r="G439" s="178"/>
      <c r="H439" s="85" t="s">
        <v>49</v>
      </c>
      <c r="I439" s="135"/>
      <c r="J439" s="84"/>
      <c r="K439" s="84"/>
      <c r="L439" s="86" t="b">
        <v>0</v>
      </c>
      <c r="M439" s="86" t="b">
        <v>0</v>
      </c>
      <c r="N439" s="83"/>
      <c r="O439" s="83"/>
      <c r="P439" s="87">
        <f t="shared" si="67"/>
        <v>0</v>
      </c>
      <c r="Q439" s="83"/>
      <c r="R439" s="84"/>
      <c r="S439" s="83"/>
      <c r="T439" s="83"/>
      <c r="U439" s="87">
        <f t="shared" si="68"/>
        <v>0</v>
      </c>
      <c r="V439" s="84"/>
      <c r="W439" s="84"/>
      <c r="X439" s="84"/>
      <c r="Y439" s="84"/>
      <c r="Z439" s="85"/>
      <c r="AA439" s="84"/>
      <c r="AB439" s="85"/>
      <c r="AC439" s="85"/>
      <c r="AD439" s="85"/>
      <c r="AE439" s="84"/>
      <c r="AF439" s="84"/>
      <c r="AG439" s="122"/>
      <c r="AH439" s="122"/>
      <c r="AI439" s="153"/>
    </row>
    <row r="440" spans="1:35" ht="15">
      <c r="A440" s="155"/>
      <c r="B440" s="155"/>
      <c r="C440" s="155"/>
      <c r="D440" s="155"/>
      <c r="E440" s="155"/>
      <c r="F440" s="155"/>
      <c r="G440" s="155"/>
      <c r="H440" s="85" t="s">
        <v>58</v>
      </c>
      <c r="I440" s="135"/>
      <c r="J440" s="84"/>
      <c r="K440" s="84"/>
      <c r="L440" s="86" t="b">
        <v>0</v>
      </c>
      <c r="M440" s="86" t="b">
        <v>0</v>
      </c>
      <c r="N440" s="83"/>
      <c r="O440" s="83"/>
      <c r="P440" s="87">
        <f t="shared" si="67"/>
        <v>0</v>
      </c>
      <c r="Q440" s="83"/>
      <c r="R440" s="84"/>
      <c r="S440" s="83"/>
      <c r="T440" s="83"/>
      <c r="U440" s="87">
        <f t="shared" si="68"/>
        <v>0</v>
      </c>
      <c r="V440" s="84"/>
      <c r="W440" s="84"/>
      <c r="X440" s="133"/>
      <c r="Y440" s="133"/>
      <c r="Z440" s="121"/>
      <c r="AA440" s="133"/>
      <c r="AB440" s="121"/>
      <c r="AC440" s="121"/>
      <c r="AD440" s="121"/>
      <c r="AE440" s="84"/>
      <c r="AF440" s="84"/>
      <c r="AG440" s="122"/>
      <c r="AH440" s="122"/>
      <c r="AI440" s="153"/>
    </row>
    <row r="441" spans="1:35" ht="15">
      <c r="A441" s="155"/>
      <c r="B441" s="155"/>
      <c r="C441" s="155"/>
      <c r="D441" s="157" t="s">
        <v>453</v>
      </c>
      <c r="E441" s="157" t="s">
        <v>463</v>
      </c>
      <c r="F441" s="157" t="s">
        <v>464</v>
      </c>
      <c r="G441" s="158"/>
      <c r="H441" s="5" t="s">
        <v>465</v>
      </c>
      <c r="I441" s="22"/>
      <c r="J441" s="9"/>
      <c r="K441" s="9"/>
      <c r="L441" s="11" t="b">
        <v>0</v>
      </c>
      <c r="M441" s="11" t="b">
        <v>0</v>
      </c>
      <c r="N441" s="7"/>
      <c r="O441" s="7"/>
      <c r="P441" s="8">
        <f t="shared" si="67"/>
        <v>0</v>
      </c>
      <c r="Q441" s="7"/>
      <c r="R441" s="9"/>
      <c r="S441" s="7"/>
      <c r="T441" s="7"/>
      <c r="U441" s="8">
        <f t="shared" si="68"/>
        <v>0</v>
      </c>
      <c r="V441" s="9"/>
      <c r="W441" s="9"/>
      <c r="X441" s="18"/>
      <c r="Y441" s="18"/>
      <c r="Z441" s="19"/>
      <c r="AA441" s="18"/>
      <c r="AB441" s="19"/>
      <c r="AC441" s="19"/>
      <c r="AD441" s="19"/>
      <c r="AE441" s="9"/>
      <c r="AF441" s="9"/>
      <c r="AG441" s="26"/>
      <c r="AH441" s="26"/>
      <c r="AI441" s="151"/>
    </row>
    <row r="442" spans="1:35" ht="15">
      <c r="A442" s="155"/>
      <c r="B442" s="155"/>
      <c r="C442" s="155"/>
      <c r="D442" s="155"/>
      <c r="E442" s="155"/>
      <c r="F442" s="155"/>
      <c r="G442" s="155"/>
      <c r="H442" s="5" t="s">
        <v>58</v>
      </c>
      <c r="I442" s="22"/>
      <c r="J442" s="9"/>
      <c r="K442" s="9"/>
      <c r="L442" s="11" t="b">
        <v>0</v>
      </c>
      <c r="M442" s="11" t="b">
        <v>0</v>
      </c>
      <c r="N442" s="7"/>
      <c r="O442" s="7"/>
      <c r="P442" s="8">
        <f t="shared" si="67"/>
        <v>0</v>
      </c>
      <c r="Q442" s="7"/>
      <c r="R442" s="9"/>
      <c r="S442" s="7"/>
      <c r="T442" s="7"/>
      <c r="U442" s="8">
        <f t="shared" si="68"/>
        <v>0</v>
      </c>
      <c r="V442" s="9"/>
      <c r="W442" s="9"/>
      <c r="X442" s="18"/>
      <c r="Y442" s="18"/>
      <c r="Z442" s="19"/>
      <c r="AA442" s="18"/>
      <c r="AB442" s="19"/>
      <c r="AC442" s="19"/>
      <c r="AD442" s="19"/>
      <c r="AE442" s="9"/>
      <c r="AF442" s="9"/>
      <c r="AG442" s="26"/>
      <c r="AH442" s="26"/>
      <c r="AI442" s="151"/>
    </row>
    <row r="443" spans="1:35" ht="12.75">
      <c r="A443" s="114"/>
      <c r="B443" s="114"/>
      <c r="C443" s="114"/>
      <c r="D443" s="115"/>
      <c r="E443" s="115"/>
      <c r="F443" s="115"/>
      <c r="G443" s="116"/>
      <c r="H443" s="115"/>
      <c r="I443" s="117"/>
      <c r="J443" s="116"/>
      <c r="K443" s="116"/>
      <c r="L443" s="116"/>
      <c r="M443" s="116"/>
      <c r="N443" s="118"/>
      <c r="O443" s="118"/>
      <c r="P443" s="119"/>
      <c r="Q443" s="118"/>
      <c r="R443" s="116"/>
      <c r="S443" s="118"/>
      <c r="T443" s="118"/>
      <c r="U443" s="119"/>
      <c r="V443" s="116"/>
      <c r="W443" s="116"/>
      <c r="X443" s="116"/>
      <c r="Y443" s="116"/>
      <c r="Z443" s="115"/>
      <c r="AA443" s="116"/>
      <c r="AB443" s="115"/>
      <c r="AC443" s="115"/>
      <c r="AD443" s="115"/>
      <c r="AE443" s="116"/>
      <c r="AF443" s="116"/>
      <c r="AG443" s="116"/>
      <c r="AH443" s="116"/>
      <c r="AI443" s="116"/>
    </row>
    <row r="444" spans="1:35" ht="12.75">
      <c r="A444" s="171" t="s">
        <v>389</v>
      </c>
      <c r="B444" s="171" t="s">
        <v>353</v>
      </c>
      <c r="C444" s="171" t="s">
        <v>390</v>
      </c>
      <c r="D444" s="162" t="s">
        <v>453</v>
      </c>
      <c r="E444" s="160" t="s">
        <v>47</v>
      </c>
      <c r="F444" s="162" t="s">
        <v>454</v>
      </c>
      <c r="G444" s="164"/>
      <c r="H444" s="77" t="s">
        <v>49</v>
      </c>
      <c r="I444" s="108"/>
      <c r="J444" s="78"/>
      <c r="K444" s="78"/>
      <c r="L444" s="79" t="b">
        <v>0</v>
      </c>
      <c r="M444" s="79" t="b">
        <v>0</v>
      </c>
      <c r="N444" s="81"/>
      <c r="O444" s="81"/>
      <c r="P444" s="80">
        <f t="shared" ref="P444:P455" si="69">N444+O444</f>
        <v>0</v>
      </c>
      <c r="Q444" s="81"/>
      <c r="R444" s="78"/>
      <c r="S444" s="81"/>
      <c r="T444" s="81"/>
      <c r="U444" s="80">
        <f t="shared" ref="U444:U455" si="70">S444+T444</f>
        <v>0</v>
      </c>
      <c r="V444" s="78"/>
      <c r="W444" s="78"/>
      <c r="X444" s="78"/>
      <c r="Y444" s="78"/>
      <c r="Z444" s="77"/>
      <c r="AA444" s="78"/>
      <c r="AB444" s="77"/>
      <c r="AC444" s="77"/>
      <c r="AD444" s="77"/>
      <c r="AE444" s="78"/>
      <c r="AF444" s="78"/>
      <c r="AG444" s="109"/>
      <c r="AH444" s="109"/>
      <c r="AI444" s="78"/>
    </row>
    <row r="445" spans="1:35" ht="12.75">
      <c r="A445" s="155"/>
      <c r="B445" s="155"/>
      <c r="C445" s="155"/>
      <c r="D445" s="155"/>
      <c r="E445" s="155"/>
      <c r="F445" s="155"/>
      <c r="G445" s="155"/>
      <c r="H445" s="85" t="s">
        <v>58</v>
      </c>
      <c r="I445" s="112"/>
      <c r="J445" s="84"/>
      <c r="K445" s="84"/>
      <c r="L445" s="86" t="b">
        <v>0</v>
      </c>
      <c r="M445" s="86" t="b">
        <v>0</v>
      </c>
      <c r="N445" s="83"/>
      <c r="O445" s="83"/>
      <c r="P445" s="87">
        <f t="shared" si="69"/>
        <v>0</v>
      </c>
      <c r="Q445" s="83"/>
      <c r="R445" s="84"/>
      <c r="S445" s="83"/>
      <c r="T445" s="83"/>
      <c r="U445" s="87">
        <f t="shared" si="70"/>
        <v>0</v>
      </c>
      <c r="V445" s="84"/>
      <c r="W445" s="84"/>
      <c r="X445" s="84"/>
      <c r="Y445" s="84"/>
      <c r="Z445" s="85"/>
      <c r="AA445" s="84"/>
      <c r="AB445" s="85"/>
      <c r="AC445" s="85"/>
      <c r="AD445" s="85"/>
      <c r="AE445" s="84"/>
      <c r="AF445" s="84"/>
      <c r="AG445" s="110"/>
      <c r="AH445" s="110"/>
      <c r="AI445" s="84"/>
    </row>
    <row r="446" spans="1:35" ht="12.75">
      <c r="A446" s="155"/>
      <c r="B446" s="155"/>
      <c r="C446" s="155"/>
      <c r="D446" s="157" t="s">
        <v>453</v>
      </c>
      <c r="E446" s="157" t="s">
        <v>59</v>
      </c>
      <c r="F446" s="157" t="s">
        <v>454</v>
      </c>
      <c r="G446" s="158"/>
      <c r="H446" s="5" t="s">
        <v>49</v>
      </c>
      <c r="I446" s="17"/>
      <c r="J446" s="9"/>
      <c r="K446" s="9"/>
      <c r="L446" s="11" t="b">
        <v>0</v>
      </c>
      <c r="M446" s="11" t="b">
        <v>0</v>
      </c>
      <c r="N446" s="7"/>
      <c r="O446" s="7"/>
      <c r="P446" s="8">
        <f t="shared" si="69"/>
        <v>0</v>
      </c>
      <c r="Q446" s="7"/>
      <c r="R446" s="9"/>
      <c r="S446" s="7"/>
      <c r="T446" s="7"/>
      <c r="U446" s="8">
        <f t="shared" si="70"/>
        <v>0</v>
      </c>
      <c r="V446" s="9"/>
      <c r="W446" s="9"/>
      <c r="X446" s="18"/>
      <c r="Y446" s="18"/>
      <c r="Z446" s="19"/>
      <c r="AA446" s="18"/>
      <c r="AB446" s="19"/>
      <c r="AC446" s="19"/>
      <c r="AD446" s="19"/>
      <c r="AE446" s="9"/>
      <c r="AF446" s="9"/>
      <c r="AG446" s="26"/>
      <c r="AH446" s="26"/>
      <c r="AI446" s="89"/>
    </row>
    <row r="447" spans="1:35" ht="12.75">
      <c r="A447" s="155"/>
      <c r="B447" s="155"/>
      <c r="C447" s="155"/>
      <c r="D447" s="155"/>
      <c r="E447" s="155"/>
      <c r="F447" s="155"/>
      <c r="G447" s="155"/>
      <c r="H447" s="5" t="s">
        <v>58</v>
      </c>
      <c r="I447" s="22"/>
      <c r="J447" s="9"/>
      <c r="K447" s="9"/>
      <c r="L447" s="11" t="b">
        <v>0</v>
      </c>
      <c r="M447" s="11" t="b">
        <v>0</v>
      </c>
      <c r="N447" s="7"/>
      <c r="O447" s="7"/>
      <c r="P447" s="8">
        <f t="shared" si="69"/>
        <v>0</v>
      </c>
      <c r="Q447" s="7"/>
      <c r="R447" s="9"/>
      <c r="S447" s="7"/>
      <c r="T447" s="7"/>
      <c r="U447" s="8">
        <f t="shared" si="70"/>
        <v>0</v>
      </c>
      <c r="V447" s="9"/>
      <c r="W447" s="9"/>
      <c r="X447" s="18"/>
      <c r="Y447" s="18"/>
      <c r="Z447" s="19"/>
      <c r="AA447" s="18"/>
      <c r="AB447" s="19"/>
      <c r="AC447" s="19"/>
      <c r="AD447" s="19"/>
      <c r="AE447" s="9"/>
      <c r="AF447" s="9"/>
      <c r="AG447" s="26"/>
      <c r="AH447" s="26"/>
      <c r="AI447" s="9"/>
    </row>
    <row r="448" spans="1:35" ht="15">
      <c r="A448" s="155"/>
      <c r="B448" s="155"/>
      <c r="C448" s="155"/>
      <c r="D448" s="176" t="s">
        <v>455</v>
      </c>
      <c r="E448" s="176" t="s">
        <v>456</v>
      </c>
      <c r="F448" s="177" t="s">
        <v>457</v>
      </c>
      <c r="G448" s="178"/>
      <c r="H448" s="85" t="s">
        <v>458</v>
      </c>
      <c r="I448" s="147"/>
      <c r="J448" s="84"/>
      <c r="K448" s="84"/>
      <c r="L448" s="86" t="b">
        <v>0</v>
      </c>
      <c r="M448" s="86" t="b">
        <v>0</v>
      </c>
      <c r="N448" s="83"/>
      <c r="O448" s="83"/>
      <c r="P448" s="87">
        <f t="shared" si="69"/>
        <v>0</v>
      </c>
      <c r="Q448" s="83"/>
      <c r="R448" s="84"/>
      <c r="S448" s="83"/>
      <c r="T448" s="83"/>
      <c r="U448" s="87">
        <f t="shared" si="70"/>
        <v>0</v>
      </c>
      <c r="V448" s="84"/>
      <c r="W448" s="84"/>
      <c r="X448" s="133"/>
      <c r="Y448" s="133"/>
      <c r="Z448" s="121"/>
      <c r="AA448" s="133"/>
      <c r="AB448" s="121"/>
      <c r="AC448" s="121"/>
      <c r="AD448" s="121"/>
      <c r="AE448" s="84"/>
      <c r="AF448" s="84"/>
      <c r="AG448" s="122"/>
      <c r="AH448" s="122"/>
      <c r="AI448" s="84"/>
    </row>
    <row r="449" spans="1:35" ht="15">
      <c r="A449" s="155"/>
      <c r="B449" s="155"/>
      <c r="C449" s="155"/>
      <c r="D449" s="155"/>
      <c r="E449" s="155"/>
      <c r="F449" s="155"/>
      <c r="G449" s="155"/>
      <c r="H449" s="85" t="s">
        <v>58</v>
      </c>
      <c r="I449" s="147"/>
      <c r="J449" s="84"/>
      <c r="K449" s="84"/>
      <c r="L449" s="86" t="b">
        <v>0</v>
      </c>
      <c r="M449" s="86" t="b">
        <v>0</v>
      </c>
      <c r="N449" s="83"/>
      <c r="O449" s="83"/>
      <c r="P449" s="87">
        <f t="shared" si="69"/>
        <v>0</v>
      </c>
      <c r="Q449" s="83"/>
      <c r="R449" s="84"/>
      <c r="S449" s="83"/>
      <c r="T449" s="83"/>
      <c r="U449" s="87">
        <f t="shared" si="70"/>
        <v>0</v>
      </c>
      <c r="V449" s="84"/>
      <c r="W449" s="84"/>
      <c r="X449" s="133"/>
      <c r="Y449" s="133"/>
      <c r="Z449" s="121"/>
      <c r="AA449" s="133"/>
      <c r="AB449" s="121"/>
      <c r="AC449" s="121"/>
      <c r="AD449" s="121"/>
      <c r="AE449" s="84"/>
      <c r="AF449" s="84"/>
      <c r="AG449" s="122"/>
      <c r="AH449" s="122"/>
      <c r="AI449" s="148"/>
    </row>
    <row r="450" spans="1:35" ht="15">
      <c r="A450" s="155"/>
      <c r="B450" s="155"/>
      <c r="C450" s="155"/>
      <c r="D450" s="157" t="s">
        <v>455</v>
      </c>
      <c r="E450" s="175" t="s">
        <v>459</v>
      </c>
      <c r="F450" s="156" t="s">
        <v>457</v>
      </c>
      <c r="G450" s="158"/>
      <c r="H450" s="5" t="s">
        <v>458</v>
      </c>
      <c r="I450" s="150"/>
      <c r="J450" s="9"/>
      <c r="K450" s="9"/>
      <c r="L450" s="11" t="b">
        <v>0</v>
      </c>
      <c r="M450" s="11" t="b">
        <v>0</v>
      </c>
      <c r="N450" s="7"/>
      <c r="O450" s="7"/>
      <c r="P450" s="8">
        <f t="shared" si="69"/>
        <v>0</v>
      </c>
      <c r="Q450" s="7"/>
      <c r="R450" s="9"/>
      <c r="S450" s="7"/>
      <c r="T450" s="7"/>
      <c r="U450" s="8">
        <f t="shared" si="70"/>
        <v>0</v>
      </c>
      <c r="V450" s="9"/>
      <c r="W450" s="9"/>
      <c r="X450" s="9"/>
      <c r="Y450" s="9"/>
      <c r="Z450" s="5"/>
      <c r="AA450" s="9"/>
      <c r="AB450" s="5"/>
      <c r="AC450" s="5"/>
      <c r="AD450" s="5"/>
      <c r="AE450" s="9"/>
      <c r="AF450" s="9"/>
      <c r="AG450" s="26"/>
      <c r="AH450" s="26"/>
      <c r="AI450" s="151"/>
    </row>
    <row r="451" spans="1:35" ht="12.75">
      <c r="A451" s="155"/>
      <c r="B451" s="155"/>
      <c r="C451" s="155"/>
      <c r="D451" s="155"/>
      <c r="E451" s="155"/>
      <c r="F451" s="155"/>
      <c r="G451" s="155"/>
      <c r="H451" s="5" t="s">
        <v>58</v>
      </c>
      <c r="I451" s="152"/>
      <c r="J451" s="9"/>
      <c r="K451" s="9"/>
      <c r="L451" s="11" t="b">
        <v>0</v>
      </c>
      <c r="M451" s="11" t="b">
        <v>0</v>
      </c>
      <c r="N451" s="7"/>
      <c r="O451" s="7"/>
      <c r="P451" s="8">
        <f t="shared" si="69"/>
        <v>0</v>
      </c>
      <c r="Q451" s="7"/>
      <c r="R451" s="9"/>
      <c r="S451" s="7"/>
      <c r="T451" s="7"/>
      <c r="U451" s="8">
        <f t="shared" si="70"/>
        <v>0</v>
      </c>
      <c r="V451" s="9"/>
      <c r="W451" s="9"/>
      <c r="X451" s="9"/>
      <c r="Y451" s="9"/>
      <c r="Z451" s="5"/>
      <c r="AA451" s="9"/>
      <c r="AB451" s="5"/>
      <c r="AC451" s="5"/>
      <c r="AD451" s="5"/>
      <c r="AE451" s="9"/>
      <c r="AF451" s="9"/>
      <c r="AG451" s="26"/>
      <c r="AH451" s="26"/>
      <c r="AI451" s="26"/>
    </row>
    <row r="452" spans="1:35" ht="15">
      <c r="A452" s="155"/>
      <c r="B452" s="155"/>
      <c r="C452" s="155"/>
      <c r="D452" s="176" t="s">
        <v>460</v>
      </c>
      <c r="E452" s="177" t="s">
        <v>461</v>
      </c>
      <c r="F452" s="176" t="s">
        <v>462</v>
      </c>
      <c r="G452" s="178"/>
      <c r="H452" s="85" t="s">
        <v>49</v>
      </c>
      <c r="I452" s="135"/>
      <c r="J452" s="84"/>
      <c r="K452" s="84"/>
      <c r="L452" s="86" t="b">
        <v>0</v>
      </c>
      <c r="M452" s="86" t="b">
        <v>0</v>
      </c>
      <c r="N452" s="83"/>
      <c r="O452" s="83"/>
      <c r="P452" s="87">
        <f t="shared" si="69"/>
        <v>0</v>
      </c>
      <c r="Q452" s="83"/>
      <c r="R452" s="84"/>
      <c r="S452" s="83"/>
      <c r="T452" s="83"/>
      <c r="U452" s="87">
        <f t="shared" si="70"/>
        <v>0</v>
      </c>
      <c r="V452" s="84"/>
      <c r="W452" s="84"/>
      <c r="X452" s="84"/>
      <c r="Y452" s="84"/>
      <c r="Z452" s="85"/>
      <c r="AA452" s="84"/>
      <c r="AB452" s="85"/>
      <c r="AC452" s="85"/>
      <c r="AD452" s="85"/>
      <c r="AE452" s="84"/>
      <c r="AF452" s="84"/>
      <c r="AG452" s="122"/>
      <c r="AH452" s="122"/>
      <c r="AI452" s="153"/>
    </row>
    <row r="453" spans="1:35" ht="15">
      <c r="A453" s="155"/>
      <c r="B453" s="155"/>
      <c r="C453" s="155"/>
      <c r="D453" s="155"/>
      <c r="E453" s="155"/>
      <c r="F453" s="155"/>
      <c r="G453" s="155"/>
      <c r="H453" s="85" t="s">
        <v>58</v>
      </c>
      <c r="I453" s="135"/>
      <c r="J453" s="84"/>
      <c r="K453" s="84"/>
      <c r="L453" s="86" t="b">
        <v>0</v>
      </c>
      <c r="M453" s="86" t="b">
        <v>0</v>
      </c>
      <c r="N453" s="83"/>
      <c r="O453" s="83"/>
      <c r="P453" s="87">
        <f t="shared" si="69"/>
        <v>0</v>
      </c>
      <c r="Q453" s="83"/>
      <c r="R453" s="84"/>
      <c r="S453" s="83"/>
      <c r="T453" s="83"/>
      <c r="U453" s="87">
        <f t="shared" si="70"/>
        <v>0</v>
      </c>
      <c r="V453" s="84"/>
      <c r="W453" s="84"/>
      <c r="X453" s="133"/>
      <c r="Y453" s="133"/>
      <c r="Z453" s="121"/>
      <c r="AA453" s="133"/>
      <c r="AB453" s="121"/>
      <c r="AC453" s="121"/>
      <c r="AD453" s="121"/>
      <c r="AE453" s="84"/>
      <c r="AF453" s="84"/>
      <c r="AG453" s="122"/>
      <c r="AH453" s="122"/>
      <c r="AI453" s="153"/>
    </row>
    <row r="454" spans="1:35" ht="15">
      <c r="A454" s="155"/>
      <c r="B454" s="155"/>
      <c r="C454" s="155"/>
      <c r="D454" s="157" t="s">
        <v>453</v>
      </c>
      <c r="E454" s="157" t="s">
        <v>463</v>
      </c>
      <c r="F454" s="157" t="s">
        <v>464</v>
      </c>
      <c r="G454" s="158"/>
      <c r="H454" s="5" t="s">
        <v>465</v>
      </c>
      <c r="I454" s="22"/>
      <c r="J454" s="9"/>
      <c r="K454" s="9"/>
      <c r="L454" s="11" t="b">
        <v>0</v>
      </c>
      <c r="M454" s="11" t="b">
        <v>0</v>
      </c>
      <c r="N454" s="7"/>
      <c r="O454" s="7"/>
      <c r="P454" s="8">
        <f t="shared" si="69"/>
        <v>0</v>
      </c>
      <c r="Q454" s="7"/>
      <c r="R454" s="9"/>
      <c r="S454" s="7"/>
      <c r="T454" s="7"/>
      <c r="U454" s="8">
        <f t="shared" si="70"/>
        <v>0</v>
      </c>
      <c r="V454" s="9"/>
      <c r="W454" s="9"/>
      <c r="X454" s="18"/>
      <c r="Y454" s="18"/>
      <c r="Z454" s="19"/>
      <c r="AA454" s="18"/>
      <c r="AB454" s="19"/>
      <c r="AC454" s="19"/>
      <c r="AD454" s="19"/>
      <c r="AE454" s="9"/>
      <c r="AF454" s="9"/>
      <c r="AG454" s="26"/>
      <c r="AH454" s="26"/>
      <c r="AI454" s="151"/>
    </row>
    <row r="455" spans="1:35" ht="15">
      <c r="A455" s="155"/>
      <c r="B455" s="155"/>
      <c r="C455" s="155"/>
      <c r="D455" s="155"/>
      <c r="E455" s="155"/>
      <c r="F455" s="155"/>
      <c r="G455" s="155"/>
      <c r="H455" s="5" t="s">
        <v>58</v>
      </c>
      <c r="I455" s="22"/>
      <c r="J455" s="9"/>
      <c r="K455" s="9"/>
      <c r="L455" s="11" t="b">
        <v>0</v>
      </c>
      <c r="M455" s="11" t="b">
        <v>0</v>
      </c>
      <c r="N455" s="7"/>
      <c r="O455" s="7"/>
      <c r="P455" s="8">
        <f t="shared" si="69"/>
        <v>0</v>
      </c>
      <c r="Q455" s="7"/>
      <c r="R455" s="9"/>
      <c r="S455" s="7"/>
      <c r="T455" s="7"/>
      <c r="U455" s="8">
        <f t="shared" si="70"/>
        <v>0</v>
      </c>
      <c r="V455" s="9"/>
      <c r="W455" s="9"/>
      <c r="X455" s="18"/>
      <c r="Y455" s="18"/>
      <c r="Z455" s="19"/>
      <c r="AA455" s="18"/>
      <c r="AB455" s="19"/>
      <c r="AC455" s="19"/>
      <c r="AD455" s="19"/>
      <c r="AE455" s="9"/>
      <c r="AF455" s="9"/>
      <c r="AG455" s="26"/>
      <c r="AH455" s="26"/>
      <c r="AI455" s="151"/>
    </row>
    <row r="456" spans="1:35" ht="12.75">
      <c r="A456" s="114"/>
      <c r="B456" s="114"/>
      <c r="C456" s="114"/>
      <c r="D456" s="115"/>
      <c r="E456" s="115"/>
      <c r="F456" s="115"/>
      <c r="G456" s="116"/>
      <c r="H456" s="115"/>
      <c r="I456" s="117"/>
      <c r="J456" s="116"/>
      <c r="K456" s="116"/>
      <c r="L456" s="116"/>
      <c r="M456" s="116"/>
      <c r="N456" s="118"/>
      <c r="O456" s="118"/>
      <c r="P456" s="119"/>
      <c r="Q456" s="118"/>
      <c r="R456" s="116"/>
      <c r="S456" s="118"/>
      <c r="T456" s="118"/>
      <c r="U456" s="119"/>
      <c r="V456" s="116"/>
      <c r="W456" s="116"/>
      <c r="X456" s="116"/>
      <c r="Y456" s="116"/>
      <c r="Z456" s="115"/>
      <c r="AA456" s="116"/>
      <c r="AB456" s="115"/>
      <c r="AC456" s="115"/>
      <c r="AD456" s="115"/>
      <c r="AE456" s="116"/>
      <c r="AF456" s="116"/>
      <c r="AG456" s="116"/>
      <c r="AH456" s="116"/>
      <c r="AI456" s="116"/>
    </row>
    <row r="457" spans="1:35" ht="12.75">
      <c r="A457" s="114"/>
      <c r="B457" s="114"/>
      <c r="C457" s="114"/>
      <c r="D457" s="115"/>
      <c r="E457" s="115"/>
      <c r="F457" s="115"/>
      <c r="G457" s="116"/>
      <c r="H457" s="115"/>
      <c r="I457" s="117"/>
      <c r="J457" s="116"/>
      <c r="K457" s="116"/>
      <c r="L457" s="116"/>
      <c r="M457" s="116"/>
      <c r="N457" s="118"/>
      <c r="O457" s="118"/>
      <c r="P457" s="119"/>
      <c r="Q457" s="118"/>
      <c r="R457" s="116"/>
      <c r="S457" s="118"/>
      <c r="T457" s="118"/>
      <c r="U457" s="119"/>
      <c r="V457" s="116"/>
      <c r="W457" s="116"/>
      <c r="X457" s="116"/>
      <c r="Y457" s="116"/>
      <c r="Z457" s="115"/>
      <c r="AA457" s="116"/>
      <c r="AB457" s="115"/>
      <c r="AC457" s="115"/>
      <c r="AD457" s="115"/>
      <c r="AE457" s="116"/>
      <c r="AF457" s="116"/>
      <c r="AG457" s="116"/>
      <c r="AH457" s="116"/>
      <c r="AI457" s="116"/>
    </row>
    <row r="458" spans="1:35" ht="12.75">
      <c r="A458" s="171" t="s">
        <v>403</v>
      </c>
      <c r="B458" s="171" t="s">
        <v>353</v>
      </c>
      <c r="C458" s="171" t="s">
        <v>403</v>
      </c>
      <c r="D458" s="162" t="s">
        <v>453</v>
      </c>
      <c r="E458" s="160" t="s">
        <v>47</v>
      </c>
      <c r="F458" s="162" t="s">
        <v>454</v>
      </c>
      <c r="G458" s="164"/>
      <c r="H458" s="77" t="s">
        <v>49</v>
      </c>
      <c r="I458" s="108"/>
      <c r="J458" s="78"/>
      <c r="K458" s="78"/>
      <c r="L458" s="79" t="b">
        <v>0</v>
      </c>
      <c r="M458" s="79" t="b">
        <v>0</v>
      </c>
      <c r="N458" s="81"/>
      <c r="O458" s="81"/>
      <c r="P458" s="80">
        <f t="shared" ref="P458:P469" si="71">N458+O458</f>
        <v>0</v>
      </c>
      <c r="Q458" s="81"/>
      <c r="R458" s="78"/>
      <c r="S458" s="81"/>
      <c r="T458" s="81"/>
      <c r="U458" s="80">
        <f t="shared" ref="U458:U469" si="72">S458+T458</f>
        <v>0</v>
      </c>
      <c r="V458" s="78"/>
      <c r="W458" s="78"/>
      <c r="X458" s="78"/>
      <c r="Y458" s="78"/>
      <c r="Z458" s="77"/>
      <c r="AA458" s="78"/>
      <c r="AB458" s="77"/>
      <c r="AC458" s="77"/>
      <c r="AD458" s="77"/>
      <c r="AE458" s="78"/>
      <c r="AF458" s="78"/>
      <c r="AG458" s="109"/>
      <c r="AH458" s="109"/>
      <c r="AI458" s="78"/>
    </row>
    <row r="459" spans="1:35" ht="12.75">
      <c r="A459" s="155"/>
      <c r="B459" s="155"/>
      <c r="C459" s="155"/>
      <c r="D459" s="155"/>
      <c r="E459" s="155"/>
      <c r="F459" s="155"/>
      <c r="G459" s="155"/>
      <c r="H459" s="85" t="s">
        <v>58</v>
      </c>
      <c r="I459" s="112"/>
      <c r="J459" s="84"/>
      <c r="K459" s="84"/>
      <c r="L459" s="86" t="b">
        <v>0</v>
      </c>
      <c r="M459" s="86" t="b">
        <v>0</v>
      </c>
      <c r="N459" s="83"/>
      <c r="O459" s="83"/>
      <c r="P459" s="87">
        <f t="shared" si="71"/>
        <v>0</v>
      </c>
      <c r="Q459" s="83"/>
      <c r="R459" s="84"/>
      <c r="S459" s="83"/>
      <c r="T459" s="83"/>
      <c r="U459" s="87">
        <f t="shared" si="72"/>
        <v>0</v>
      </c>
      <c r="V459" s="84"/>
      <c r="W459" s="84"/>
      <c r="X459" s="84"/>
      <c r="Y459" s="84"/>
      <c r="Z459" s="85"/>
      <c r="AA459" s="84"/>
      <c r="AB459" s="85"/>
      <c r="AC459" s="85"/>
      <c r="AD459" s="85"/>
      <c r="AE459" s="84"/>
      <c r="AF459" s="84"/>
      <c r="AG459" s="110"/>
      <c r="AH459" s="110"/>
      <c r="AI459" s="84"/>
    </row>
    <row r="460" spans="1:35" ht="12.75">
      <c r="A460" s="155"/>
      <c r="B460" s="155"/>
      <c r="C460" s="155"/>
      <c r="D460" s="157" t="s">
        <v>453</v>
      </c>
      <c r="E460" s="157" t="s">
        <v>59</v>
      </c>
      <c r="F460" s="157" t="s">
        <v>454</v>
      </c>
      <c r="G460" s="158"/>
      <c r="H460" s="5" t="s">
        <v>49</v>
      </c>
      <c r="I460" s="17"/>
      <c r="J460" s="9"/>
      <c r="K460" s="9"/>
      <c r="L460" s="11" t="b">
        <v>0</v>
      </c>
      <c r="M460" s="11" t="b">
        <v>0</v>
      </c>
      <c r="N460" s="7"/>
      <c r="O460" s="7"/>
      <c r="P460" s="8">
        <f t="shared" si="71"/>
        <v>0</v>
      </c>
      <c r="Q460" s="7"/>
      <c r="R460" s="9"/>
      <c r="S460" s="7"/>
      <c r="T460" s="7"/>
      <c r="U460" s="8">
        <f t="shared" si="72"/>
        <v>0</v>
      </c>
      <c r="V460" s="9"/>
      <c r="W460" s="9"/>
      <c r="X460" s="18"/>
      <c r="Y460" s="18"/>
      <c r="Z460" s="19"/>
      <c r="AA460" s="18"/>
      <c r="AB460" s="19"/>
      <c r="AC460" s="19"/>
      <c r="AD460" s="19"/>
      <c r="AE460" s="9"/>
      <c r="AF460" s="9"/>
      <c r="AG460" s="26"/>
      <c r="AH460" s="26"/>
      <c r="AI460" s="89"/>
    </row>
    <row r="461" spans="1:35" ht="12.75">
      <c r="A461" s="155"/>
      <c r="B461" s="155"/>
      <c r="C461" s="155"/>
      <c r="D461" s="155"/>
      <c r="E461" s="155"/>
      <c r="F461" s="155"/>
      <c r="G461" s="155"/>
      <c r="H461" s="5" t="s">
        <v>58</v>
      </c>
      <c r="I461" s="22"/>
      <c r="J461" s="9"/>
      <c r="K461" s="9"/>
      <c r="L461" s="11" t="b">
        <v>0</v>
      </c>
      <c r="M461" s="11" t="b">
        <v>0</v>
      </c>
      <c r="N461" s="7"/>
      <c r="O461" s="7"/>
      <c r="P461" s="8">
        <f t="shared" si="71"/>
        <v>0</v>
      </c>
      <c r="Q461" s="7"/>
      <c r="R461" s="9"/>
      <c r="S461" s="7"/>
      <c r="T461" s="7"/>
      <c r="U461" s="8">
        <f t="shared" si="72"/>
        <v>0</v>
      </c>
      <c r="V461" s="9"/>
      <c r="W461" s="9"/>
      <c r="X461" s="18"/>
      <c r="Y461" s="18"/>
      <c r="Z461" s="19"/>
      <c r="AA461" s="18"/>
      <c r="AB461" s="19"/>
      <c r="AC461" s="19"/>
      <c r="AD461" s="19"/>
      <c r="AE461" s="9"/>
      <c r="AF461" s="9"/>
      <c r="AG461" s="26"/>
      <c r="AH461" s="26"/>
      <c r="AI461" s="9"/>
    </row>
    <row r="462" spans="1:35" ht="15">
      <c r="A462" s="155"/>
      <c r="B462" s="155"/>
      <c r="C462" s="155"/>
      <c r="D462" s="176" t="s">
        <v>455</v>
      </c>
      <c r="E462" s="176" t="s">
        <v>456</v>
      </c>
      <c r="F462" s="177" t="s">
        <v>457</v>
      </c>
      <c r="G462" s="178"/>
      <c r="H462" s="85" t="s">
        <v>458</v>
      </c>
      <c r="I462" s="147"/>
      <c r="J462" s="84"/>
      <c r="K462" s="84"/>
      <c r="L462" s="86" t="b">
        <v>0</v>
      </c>
      <c r="M462" s="86" t="b">
        <v>0</v>
      </c>
      <c r="N462" s="83"/>
      <c r="O462" s="83"/>
      <c r="P462" s="87">
        <f t="shared" si="71"/>
        <v>0</v>
      </c>
      <c r="Q462" s="83"/>
      <c r="R462" s="84"/>
      <c r="S462" s="83"/>
      <c r="T462" s="83"/>
      <c r="U462" s="87">
        <f t="shared" si="72"/>
        <v>0</v>
      </c>
      <c r="V462" s="84"/>
      <c r="W462" s="84"/>
      <c r="X462" s="133"/>
      <c r="Y462" s="133"/>
      <c r="Z462" s="121"/>
      <c r="AA462" s="133"/>
      <c r="AB462" s="121"/>
      <c r="AC462" s="121"/>
      <c r="AD462" s="121"/>
      <c r="AE462" s="84"/>
      <c r="AF462" s="84"/>
      <c r="AG462" s="122"/>
      <c r="AH462" s="122"/>
      <c r="AI462" s="84"/>
    </row>
    <row r="463" spans="1:35" ht="15">
      <c r="A463" s="155"/>
      <c r="B463" s="155"/>
      <c r="C463" s="155"/>
      <c r="D463" s="155"/>
      <c r="E463" s="155"/>
      <c r="F463" s="155"/>
      <c r="G463" s="155"/>
      <c r="H463" s="85" t="s">
        <v>58</v>
      </c>
      <c r="I463" s="147"/>
      <c r="J463" s="84"/>
      <c r="K463" s="84"/>
      <c r="L463" s="86" t="b">
        <v>0</v>
      </c>
      <c r="M463" s="86" t="b">
        <v>0</v>
      </c>
      <c r="N463" s="83"/>
      <c r="O463" s="83"/>
      <c r="P463" s="87">
        <f t="shared" si="71"/>
        <v>0</v>
      </c>
      <c r="Q463" s="83"/>
      <c r="R463" s="84"/>
      <c r="S463" s="83"/>
      <c r="T463" s="83"/>
      <c r="U463" s="87">
        <f t="shared" si="72"/>
        <v>0</v>
      </c>
      <c r="V463" s="84"/>
      <c r="W463" s="84"/>
      <c r="X463" s="133"/>
      <c r="Y463" s="133"/>
      <c r="Z463" s="121"/>
      <c r="AA463" s="133"/>
      <c r="AB463" s="121"/>
      <c r="AC463" s="121"/>
      <c r="AD463" s="121"/>
      <c r="AE463" s="84"/>
      <c r="AF463" s="84"/>
      <c r="AG463" s="122"/>
      <c r="AH463" s="122"/>
      <c r="AI463" s="148"/>
    </row>
    <row r="464" spans="1:35" ht="15">
      <c r="A464" s="155"/>
      <c r="B464" s="155"/>
      <c r="C464" s="155"/>
      <c r="D464" s="157" t="s">
        <v>455</v>
      </c>
      <c r="E464" s="175" t="s">
        <v>459</v>
      </c>
      <c r="F464" s="156" t="s">
        <v>457</v>
      </c>
      <c r="G464" s="158"/>
      <c r="H464" s="5" t="s">
        <v>458</v>
      </c>
      <c r="I464" s="150"/>
      <c r="J464" s="9"/>
      <c r="K464" s="9"/>
      <c r="L464" s="11" t="b">
        <v>0</v>
      </c>
      <c r="M464" s="11" t="b">
        <v>0</v>
      </c>
      <c r="N464" s="7"/>
      <c r="O464" s="7"/>
      <c r="P464" s="8">
        <f t="shared" si="71"/>
        <v>0</v>
      </c>
      <c r="Q464" s="7"/>
      <c r="R464" s="9"/>
      <c r="S464" s="7"/>
      <c r="T464" s="7"/>
      <c r="U464" s="8">
        <f t="shared" si="72"/>
        <v>0</v>
      </c>
      <c r="V464" s="9"/>
      <c r="W464" s="9"/>
      <c r="X464" s="9"/>
      <c r="Y464" s="9"/>
      <c r="Z464" s="5"/>
      <c r="AA464" s="9"/>
      <c r="AB464" s="5"/>
      <c r="AC464" s="5"/>
      <c r="AD464" s="5"/>
      <c r="AE464" s="9"/>
      <c r="AF464" s="9"/>
      <c r="AG464" s="26"/>
      <c r="AH464" s="26"/>
      <c r="AI464" s="151"/>
    </row>
    <row r="465" spans="1:35" ht="12.75">
      <c r="A465" s="155"/>
      <c r="B465" s="155"/>
      <c r="C465" s="155"/>
      <c r="D465" s="155"/>
      <c r="E465" s="155"/>
      <c r="F465" s="155"/>
      <c r="G465" s="155"/>
      <c r="H465" s="5" t="s">
        <v>58</v>
      </c>
      <c r="I465" s="152"/>
      <c r="J465" s="9"/>
      <c r="K465" s="9"/>
      <c r="L465" s="11" t="b">
        <v>0</v>
      </c>
      <c r="M465" s="11" t="b">
        <v>0</v>
      </c>
      <c r="N465" s="7"/>
      <c r="O465" s="7"/>
      <c r="P465" s="8">
        <f t="shared" si="71"/>
        <v>0</v>
      </c>
      <c r="Q465" s="7"/>
      <c r="R465" s="9"/>
      <c r="S465" s="7"/>
      <c r="T465" s="7"/>
      <c r="U465" s="8">
        <f t="shared" si="72"/>
        <v>0</v>
      </c>
      <c r="V465" s="9"/>
      <c r="W465" s="9"/>
      <c r="X465" s="9"/>
      <c r="Y465" s="9"/>
      <c r="Z465" s="5"/>
      <c r="AA465" s="9"/>
      <c r="AB465" s="5"/>
      <c r="AC465" s="5"/>
      <c r="AD465" s="5"/>
      <c r="AE465" s="9"/>
      <c r="AF465" s="9"/>
      <c r="AG465" s="26"/>
      <c r="AH465" s="26"/>
      <c r="AI465" s="26"/>
    </row>
    <row r="466" spans="1:35" ht="15">
      <c r="A466" s="155"/>
      <c r="B466" s="155"/>
      <c r="C466" s="155"/>
      <c r="D466" s="176" t="s">
        <v>460</v>
      </c>
      <c r="E466" s="177" t="s">
        <v>461</v>
      </c>
      <c r="F466" s="176" t="s">
        <v>462</v>
      </c>
      <c r="G466" s="178"/>
      <c r="H466" s="85" t="s">
        <v>49</v>
      </c>
      <c r="I466" s="135"/>
      <c r="J466" s="84"/>
      <c r="K466" s="84"/>
      <c r="L466" s="86" t="b">
        <v>0</v>
      </c>
      <c r="M466" s="86" t="b">
        <v>0</v>
      </c>
      <c r="N466" s="83"/>
      <c r="O466" s="83"/>
      <c r="P466" s="87">
        <f t="shared" si="71"/>
        <v>0</v>
      </c>
      <c r="Q466" s="83"/>
      <c r="R466" s="84"/>
      <c r="S466" s="83"/>
      <c r="T466" s="83"/>
      <c r="U466" s="87">
        <f t="shared" si="72"/>
        <v>0</v>
      </c>
      <c r="V466" s="84"/>
      <c r="W466" s="84"/>
      <c r="X466" s="84"/>
      <c r="Y466" s="84"/>
      <c r="Z466" s="85"/>
      <c r="AA466" s="84"/>
      <c r="AB466" s="85"/>
      <c r="AC466" s="85"/>
      <c r="AD466" s="85"/>
      <c r="AE466" s="84"/>
      <c r="AF466" s="84"/>
      <c r="AG466" s="122"/>
      <c r="AH466" s="122"/>
      <c r="AI466" s="153"/>
    </row>
    <row r="467" spans="1:35" ht="15">
      <c r="A467" s="155"/>
      <c r="B467" s="155"/>
      <c r="C467" s="155"/>
      <c r="D467" s="155"/>
      <c r="E467" s="155"/>
      <c r="F467" s="155"/>
      <c r="G467" s="155"/>
      <c r="H467" s="85" t="s">
        <v>58</v>
      </c>
      <c r="I467" s="135"/>
      <c r="J467" s="84"/>
      <c r="K467" s="84"/>
      <c r="L467" s="86" t="b">
        <v>0</v>
      </c>
      <c r="M467" s="86" t="b">
        <v>0</v>
      </c>
      <c r="N467" s="83"/>
      <c r="O467" s="83"/>
      <c r="P467" s="87">
        <f t="shared" si="71"/>
        <v>0</v>
      </c>
      <c r="Q467" s="83"/>
      <c r="R467" s="84"/>
      <c r="S467" s="83"/>
      <c r="T467" s="83"/>
      <c r="U467" s="87">
        <f t="shared" si="72"/>
        <v>0</v>
      </c>
      <c r="V467" s="84"/>
      <c r="W467" s="84"/>
      <c r="X467" s="133"/>
      <c r="Y467" s="133"/>
      <c r="Z467" s="121"/>
      <c r="AA467" s="133"/>
      <c r="AB467" s="121"/>
      <c r="AC467" s="121"/>
      <c r="AD467" s="121"/>
      <c r="AE467" s="84"/>
      <c r="AF467" s="84"/>
      <c r="AG467" s="122"/>
      <c r="AH467" s="122"/>
      <c r="AI467" s="153"/>
    </row>
    <row r="468" spans="1:35" ht="15">
      <c r="A468" s="155"/>
      <c r="B468" s="155"/>
      <c r="C468" s="155"/>
      <c r="D468" s="157" t="s">
        <v>453</v>
      </c>
      <c r="E468" s="157" t="s">
        <v>463</v>
      </c>
      <c r="F468" s="157" t="s">
        <v>464</v>
      </c>
      <c r="G468" s="158"/>
      <c r="H468" s="5" t="s">
        <v>465</v>
      </c>
      <c r="I468" s="22"/>
      <c r="J468" s="9"/>
      <c r="K468" s="9"/>
      <c r="L468" s="11" t="b">
        <v>0</v>
      </c>
      <c r="M468" s="11" t="b">
        <v>0</v>
      </c>
      <c r="N468" s="7"/>
      <c r="O468" s="7"/>
      <c r="P468" s="8">
        <f t="shared" si="71"/>
        <v>0</v>
      </c>
      <c r="Q468" s="7"/>
      <c r="R468" s="9"/>
      <c r="S468" s="7"/>
      <c r="T468" s="7"/>
      <c r="U468" s="8">
        <f t="shared" si="72"/>
        <v>0</v>
      </c>
      <c r="V468" s="9"/>
      <c r="W468" s="9"/>
      <c r="X468" s="18"/>
      <c r="Y468" s="18"/>
      <c r="Z468" s="19"/>
      <c r="AA468" s="18"/>
      <c r="AB468" s="19"/>
      <c r="AC468" s="19"/>
      <c r="AD468" s="19"/>
      <c r="AE468" s="9"/>
      <c r="AF468" s="9"/>
      <c r="AG468" s="26"/>
      <c r="AH468" s="26"/>
      <c r="AI468" s="151"/>
    </row>
    <row r="469" spans="1:35" ht="15">
      <c r="A469" s="155"/>
      <c r="B469" s="155"/>
      <c r="C469" s="155"/>
      <c r="D469" s="155"/>
      <c r="E469" s="155"/>
      <c r="F469" s="155"/>
      <c r="G469" s="155"/>
      <c r="H469" s="5" t="s">
        <v>58</v>
      </c>
      <c r="I469" s="22"/>
      <c r="J469" s="9"/>
      <c r="K469" s="9"/>
      <c r="L469" s="11" t="b">
        <v>0</v>
      </c>
      <c r="M469" s="11" t="b">
        <v>0</v>
      </c>
      <c r="N469" s="7"/>
      <c r="O469" s="7"/>
      <c r="P469" s="8">
        <f t="shared" si="71"/>
        <v>0</v>
      </c>
      <c r="Q469" s="7"/>
      <c r="R469" s="9"/>
      <c r="S469" s="7"/>
      <c r="T469" s="7"/>
      <c r="U469" s="8">
        <f t="shared" si="72"/>
        <v>0</v>
      </c>
      <c r="V469" s="9"/>
      <c r="W469" s="9"/>
      <c r="X469" s="18"/>
      <c r="Y469" s="18"/>
      <c r="Z469" s="19"/>
      <c r="AA469" s="18"/>
      <c r="AB469" s="19"/>
      <c r="AC469" s="19"/>
      <c r="AD469" s="19"/>
      <c r="AE469" s="9"/>
      <c r="AF469" s="9"/>
      <c r="AG469" s="26"/>
      <c r="AH469" s="26"/>
      <c r="AI469" s="151"/>
    </row>
    <row r="470" spans="1:35" ht="12.75">
      <c r="A470" s="114"/>
      <c r="B470" s="114"/>
      <c r="C470" s="114"/>
      <c r="D470" s="115"/>
      <c r="E470" s="115"/>
      <c r="F470" s="115"/>
      <c r="G470" s="116"/>
      <c r="H470" s="115"/>
      <c r="I470" s="117"/>
      <c r="J470" s="116"/>
      <c r="K470" s="116"/>
      <c r="L470" s="116"/>
      <c r="M470" s="116"/>
      <c r="N470" s="118"/>
      <c r="O470" s="118"/>
      <c r="P470" s="119"/>
      <c r="Q470" s="118"/>
      <c r="R470" s="116"/>
      <c r="S470" s="118"/>
      <c r="T470" s="118"/>
      <c r="U470" s="119"/>
      <c r="V470" s="116"/>
      <c r="W470" s="116"/>
      <c r="X470" s="116"/>
      <c r="Y470" s="116"/>
      <c r="Z470" s="115"/>
      <c r="AA470" s="116"/>
      <c r="AB470" s="115"/>
      <c r="AC470" s="115"/>
      <c r="AD470" s="115"/>
      <c r="AE470" s="116"/>
      <c r="AF470" s="116"/>
      <c r="AG470" s="116"/>
      <c r="AH470" s="116"/>
      <c r="AI470" s="116"/>
    </row>
    <row r="471" spans="1:35" ht="12.75">
      <c r="A471" s="161" t="s">
        <v>411</v>
      </c>
      <c r="B471" s="161" t="s">
        <v>412</v>
      </c>
      <c r="C471" s="161" t="s">
        <v>411</v>
      </c>
      <c r="D471" s="162" t="s">
        <v>453</v>
      </c>
      <c r="E471" s="160" t="s">
        <v>47</v>
      </c>
      <c r="F471" s="162" t="s">
        <v>454</v>
      </c>
      <c r="G471" s="164"/>
      <c r="H471" s="77" t="s">
        <v>49</v>
      </c>
      <c r="I471" s="108"/>
      <c r="J471" s="78"/>
      <c r="K471" s="78"/>
      <c r="L471" s="79" t="b">
        <v>0</v>
      </c>
      <c r="M471" s="79" t="b">
        <v>0</v>
      </c>
      <c r="N471" s="81"/>
      <c r="O471" s="81"/>
      <c r="P471" s="80">
        <f t="shared" ref="P471:P482" si="73">N471+O471</f>
        <v>0</v>
      </c>
      <c r="Q471" s="81"/>
      <c r="R471" s="78"/>
      <c r="S471" s="81"/>
      <c r="T471" s="81"/>
      <c r="U471" s="80">
        <f t="shared" ref="U471:U482" si="74">S471+T471</f>
        <v>0</v>
      </c>
      <c r="V471" s="78"/>
      <c r="W471" s="78"/>
      <c r="X471" s="78"/>
      <c r="Y471" s="78"/>
      <c r="Z471" s="77"/>
      <c r="AA471" s="78"/>
      <c r="AB471" s="77"/>
      <c r="AC471" s="77"/>
      <c r="AD471" s="77"/>
      <c r="AE471" s="78"/>
      <c r="AF471" s="78"/>
      <c r="AG471" s="109"/>
      <c r="AH471" s="109"/>
      <c r="AI471" s="78"/>
    </row>
    <row r="472" spans="1:35" ht="12.75">
      <c r="A472" s="155"/>
      <c r="B472" s="155"/>
      <c r="C472" s="155"/>
      <c r="D472" s="155"/>
      <c r="E472" s="155"/>
      <c r="F472" s="155"/>
      <c r="G472" s="155"/>
      <c r="H472" s="85" t="s">
        <v>58</v>
      </c>
      <c r="I472" s="112"/>
      <c r="J472" s="84"/>
      <c r="K472" s="84"/>
      <c r="L472" s="86" t="b">
        <v>0</v>
      </c>
      <c r="M472" s="86" t="b">
        <v>0</v>
      </c>
      <c r="N472" s="83"/>
      <c r="O472" s="83"/>
      <c r="P472" s="87">
        <f t="shared" si="73"/>
        <v>0</v>
      </c>
      <c r="Q472" s="83"/>
      <c r="R472" s="84"/>
      <c r="S472" s="83"/>
      <c r="T472" s="83"/>
      <c r="U472" s="87">
        <f t="shared" si="74"/>
        <v>0</v>
      </c>
      <c r="V472" s="84"/>
      <c r="W472" s="84"/>
      <c r="X472" s="84"/>
      <c r="Y472" s="84"/>
      <c r="Z472" s="85"/>
      <c r="AA472" s="84"/>
      <c r="AB472" s="85"/>
      <c r="AC472" s="85"/>
      <c r="AD472" s="85"/>
      <c r="AE472" s="84"/>
      <c r="AF472" s="84"/>
      <c r="AG472" s="110"/>
      <c r="AH472" s="110"/>
      <c r="AI472" s="84"/>
    </row>
    <row r="473" spans="1:35" ht="12.75">
      <c r="A473" s="155"/>
      <c r="B473" s="155"/>
      <c r="C473" s="155"/>
      <c r="D473" s="157" t="s">
        <v>453</v>
      </c>
      <c r="E473" s="157" t="s">
        <v>59</v>
      </c>
      <c r="F473" s="157" t="s">
        <v>454</v>
      </c>
      <c r="G473" s="158"/>
      <c r="H473" s="5" t="s">
        <v>49</v>
      </c>
      <c r="I473" s="17"/>
      <c r="J473" s="9"/>
      <c r="K473" s="9"/>
      <c r="L473" s="11" t="b">
        <v>0</v>
      </c>
      <c r="M473" s="11" t="b">
        <v>0</v>
      </c>
      <c r="N473" s="7"/>
      <c r="O473" s="7"/>
      <c r="P473" s="8">
        <f t="shared" si="73"/>
        <v>0</v>
      </c>
      <c r="Q473" s="7"/>
      <c r="R473" s="9"/>
      <c r="S473" s="7"/>
      <c r="T473" s="7"/>
      <c r="U473" s="8">
        <f t="shared" si="74"/>
        <v>0</v>
      </c>
      <c r="V473" s="9"/>
      <c r="W473" s="9"/>
      <c r="X473" s="18"/>
      <c r="Y473" s="18"/>
      <c r="Z473" s="19"/>
      <c r="AA473" s="18"/>
      <c r="AB473" s="19"/>
      <c r="AC473" s="19"/>
      <c r="AD473" s="19"/>
      <c r="AE473" s="9"/>
      <c r="AF473" s="9"/>
      <c r="AG473" s="26"/>
      <c r="AH473" s="26"/>
      <c r="AI473" s="89"/>
    </row>
    <row r="474" spans="1:35" ht="12.75">
      <c r="A474" s="155"/>
      <c r="B474" s="155"/>
      <c r="C474" s="155"/>
      <c r="D474" s="155"/>
      <c r="E474" s="155"/>
      <c r="F474" s="155"/>
      <c r="G474" s="155"/>
      <c r="H474" s="5" t="s">
        <v>58</v>
      </c>
      <c r="I474" s="22"/>
      <c r="J474" s="9"/>
      <c r="K474" s="9"/>
      <c r="L474" s="11" t="b">
        <v>0</v>
      </c>
      <c r="M474" s="11" t="b">
        <v>0</v>
      </c>
      <c r="N474" s="7"/>
      <c r="O474" s="7"/>
      <c r="P474" s="8">
        <f t="shared" si="73"/>
        <v>0</v>
      </c>
      <c r="Q474" s="7"/>
      <c r="R474" s="9"/>
      <c r="S474" s="7"/>
      <c r="T474" s="7"/>
      <c r="U474" s="8">
        <f t="shared" si="74"/>
        <v>0</v>
      </c>
      <c r="V474" s="9"/>
      <c r="W474" s="9"/>
      <c r="X474" s="18"/>
      <c r="Y474" s="18"/>
      <c r="Z474" s="19"/>
      <c r="AA474" s="18"/>
      <c r="AB474" s="19"/>
      <c r="AC474" s="19"/>
      <c r="AD474" s="19"/>
      <c r="AE474" s="9"/>
      <c r="AF474" s="9"/>
      <c r="AG474" s="26"/>
      <c r="AH474" s="26"/>
      <c r="AI474" s="9"/>
    </row>
    <row r="475" spans="1:35" ht="15">
      <c r="A475" s="155"/>
      <c r="B475" s="155"/>
      <c r="C475" s="155"/>
      <c r="D475" s="176" t="s">
        <v>455</v>
      </c>
      <c r="E475" s="176" t="s">
        <v>456</v>
      </c>
      <c r="F475" s="177" t="s">
        <v>457</v>
      </c>
      <c r="G475" s="178"/>
      <c r="H475" s="85" t="s">
        <v>458</v>
      </c>
      <c r="I475" s="147"/>
      <c r="J475" s="84"/>
      <c r="K475" s="84"/>
      <c r="L475" s="86" t="b">
        <v>0</v>
      </c>
      <c r="M475" s="86" t="b">
        <v>0</v>
      </c>
      <c r="N475" s="83"/>
      <c r="O475" s="83"/>
      <c r="P475" s="87">
        <f t="shared" si="73"/>
        <v>0</v>
      </c>
      <c r="Q475" s="83"/>
      <c r="R475" s="84"/>
      <c r="S475" s="83"/>
      <c r="T475" s="83"/>
      <c r="U475" s="87">
        <f t="shared" si="74"/>
        <v>0</v>
      </c>
      <c r="V475" s="84"/>
      <c r="W475" s="84"/>
      <c r="X475" s="133"/>
      <c r="Y475" s="133"/>
      <c r="Z475" s="121"/>
      <c r="AA475" s="133"/>
      <c r="AB475" s="121"/>
      <c r="AC475" s="121"/>
      <c r="AD475" s="121"/>
      <c r="AE475" s="84"/>
      <c r="AF475" s="84"/>
      <c r="AG475" s="122"/>
      <c r="AH475" s="122"/>
      <c r="AI475" s="84"/>
    </row>
    <row r="476" spans="1:35" ht="15">
      <c r="A476" s="155"/>
      <c r="B476" s="155"/>
      <c r="C476" s="155"/>
      <c r="D476" s="155"/>
      <c r="E476" s="155"/>
      <c r="F476" s="155"/>
      <c r="G476" s="155"/>
      <c r="H476" s="85" t="s">
        <v>58</v>
      </c>
      <c r="I476" s="147"/>
      <c r="J476" s="84"/>
      <c r="K476" s="84"/>
      <c r="L476" s="86" t="b">
        <v>0</v>
      </c>
      <c r="M476" s="86" t="b">
        <v>0</v>
      </c>
      <c r="N476" s="83"/>
      <c r="O476" s="83"/>
      <c r="P476" s="87">
        <f t="shared" si="73"/>
        <v>0</v>
      </c>
      <c r="Q476" s="83"/>
      <c r="R476" s="84"/>
      <c r="S476" s="83"/>
      <c r="T476" s="83"/>
      <c r="U476" s="87">
        <f t="shared" si="74"/>
        <v>0</v>
      </c>
      <c r="V476" s="84"/>
      <c r="W476" s="84"/>
      <c r="X476" s="133"/>
      <c r="Y476" s="133"/>
      <c r="Z476" s="121"/>
      <c r="AA476" s="133"/>
      <c r="AB476" s="121"/>
      <c r="AC476" s="121"/>
      <c r="AD476" s="121"/>
      <c r="AE476" s="84"/>
      <c r="AF476" s="84"/>
      <c r="AG476" s="122"/>
      <c r="AH476" s="122"/>
      <c r="AI476" s="148"/>
    </row>
    <row r="477" spans="1:35" ht="15">
      <c r="A477" s="155"/>
      <c r="B477" s="155"/>
      <c r="C477" s="155"/>
      <c r="D477" s="157" t="s">
        <v>455</v>
      </c>
      <c r="E477" s="175" t="s">
        <v>459</v>
      </c>
      <c r="F477" s="156" t="s">
        <v>457</v>
      </c>
      <c r="G477" s="158"/>
      <c r="H477" s="5" t="s">
        <v>458</v>
      </c>
      <c r="I477" s="150"/>
      <c r="J477" s="9"/>
      <c r="K477" s="9"/>
      <c r="L477" s="11" t="b">
        <v>0</v>
      </c>
      <c r="M477" s="11" t="b">
        <v>0</v>
      </c>
      <c r="N477" s="7"/>
      <c r="O477" s="7"/>
      <c r="P477" s="8">
        <f t="shared" si="73"/>
        <v>0</v>
      </c>
      <c r="Q477" s="7"/>
      <c r="R477" s="9"/>
      <c r="S477" s="7"/>
      <c r="T477" s="7"/>
      <c r="U477" s="8">
        <f t="shared" si="74"/>
        <v>0</v>
      </c>
      <c r="V477" s="9"/>
      <c r="W477" s="9"/>
      <c r="X477" s="9"/>
      <c r="Y477" s="9"/>
      <c r="Z477" s="5"/>
      <c r="AA477" s="9"/>
      <c r="AB477" s="5"/>
      <c r="AC477" s="5"/>
      <c r="AD477" s="5"/>
      <c r="AE477" s="9"/>
      <c r="AF477" s="9"/>
      <c r="AG477" s="26"/>
      <c r="AH477" s="26"/>
      <c r="AI477" s="151"/>
    </row>
    <row r="478" spans="1:35" ht="12.75">
      <c r="A478" s="155"/>
      <c r="B478" s="155"/>
      <c r="C478" s="155"/>
      <c r="D478" s="155"/>
      <c r="E478" s="155"/>
      <c r="F478" s="155"/>
      <c r="G478" s="155"/>
      <c r="H478" s="5" t="s">
        <v>58</v>
      </c>
      <c r="I478" s="152"/>
      <c r="J478" s="9"/>
      <c r="K478" s="9"/>
      <c r="L478" s="11" t="b">
        <v>0</v>
      </c>
      <c r="M478" s="11" t="b">
        <v>0</v>
      </c>
      <c r="N478" s="7"/>
      <c r="O478" s="7"/>
      <c r="P478" s="8">
        <f t="shared" si="73"/>
        <v>0</v>
      </c>
      <c r="Q478" s="7"/>
      <c r="R478" s="9"/>
      <c r="S478" s="7"/>
      <c r="T478" s="7"/>
      <c r="U478" s="8">
        <f t="shared" si="74"/>
        <v>0</v>
      </c>
      <c r="V478" s="9"/>
      <c r="W478" s="9"/>
      <c r="X478" s="9"/>
      <c r="Y478" s="9"/>
      <c r="Z478" s="5"/>
      <c r="AA478" s="9"/>
      <c r="AB478" s="5"/>
      <c r="AC478" s="5"/>
      <c r="AD478" s="5"/>
      <c r="AE478" s="9"/>
      <c r="AF478" s="9"/>
      <c r="AG478" s="26"/>
      <c r="AH478" s="26"/>
      <c r="AI478" s="26"/>
    </row>
    <row r="479" spans="1:35" ht="15">
      <c r="A479" s="155"/>
      <c r="B479" s="155"/>
      <c r="C479" s="155"/>
      <c r="D479" s="176" t="s">
        <v>460</v>
      </c>
      <c r="E479" s="177" t="s">
        <v>461</v>
      </c>
      <c r="F479" s="176" t="s">
        <v>462</v>
      </c>
      <c r="G479" s="178"/>
      <c r="H479" s="85" t="s">
        <v>49</v>
      </c>
      <c r="I479" s="135"/>
      <c r="J479" s="84"/>
      <c r="K479" s="84"/>
      <c r="L479" s="86" t="b">
        <v>0</v>
      </c>
      <c r="M479" s="86" t="b">
        <v>0</v>
      </c>
      <c r="N479" s="83"/>
      <c r="O479" s="83"/>
      <c r="P479" s="87">
        <f t="shared" si="73"/>
        <v>0</v>
      </c>
      <c r="Q479" s="83"/>
      <c r="R479" s="84"/>
      <c r="S479" s="83"/>
      <c r="T479" s="83"/>
      <c r="U479" s="87">
        <f t="shared" si="74"/>
        <v>0</v>
      </c>
      <c r="V479" s="84"/>
      <c r="W479" s="84"/>
      <c r="X479" s="84"/>
      <c r="Y479" s="84"/>
      <c r="Z479" s="85"/>
      <c r="AA479" s="84"/>
      <c r="AB479" s="85"/>
      <c r="AC479" s="85"/>
      <c r="AD479" s="85"/>
      <c r="AE479" s="84"/>
      <c r="AF479" s="84"/>
      <c r="AG479" s="122"/>
      <c r="AH479" s="122"/>
      <c r="AI479" s="153"/>
    </row>
    <row r="480" spans="1:35" ht="15">
      <c r="A480" s="155"/>
      <c r="B480" s="155"/>
      <c r="C480" s="155"/>
      <c r="D480" s="155"/>
      <c r="E480" s="155"/>
      <c r="F480" s="155"/>
      <c r="G480" s="155"/>
      <c r="H480" s="85" t="s">
        <v>58</v>
      </c>
      <c r="I480" s="135"/>
      <c r="J480" s="84"/>
      <c r="K480" s="84"/>
      <c r="L480" s="86" t="b">
        <v>0</v>
      </c>
      <c r="M480" s="86" t="b">
        <v>0</v>
      </c>
      <c r="N480" s="83"/>
      <c r="O480" s="83"/>
      <c r="P480" s="87">
        <f t="shared" si="73"/>
        <v>0</v>
      </c>
      <c r="Q480" s="83"/>
      <c r="R480" s="84"/>
      <c r="S480" s="83"/>
      <c r="T480" s="83"/>
      <c r="U480" s="87">
        <f t="shared" si="74"/>
        <v>0</v>
      </c>
      <c r="V480" s="84"/>
      <c r="W480" s="84"/>
      <c r="X480" s="133"/>
      <c r="Y480" s="133"/>
      <c r="Z480" s="121"/>
      <c r="AA480" s="133"/>
      <c r="AB480" s="121"/>
      <c r="AC480" s="121"/>
      <c r="AD480" s="121"/>
      <c r="AE480" s="84"/>
      <c r="AF480" s="84"/>
      <c r="AG480" s="122"/>
      <c r="AH480" s="122"/>
      <c r="AI480" s="153"/>
    </row>
    <row r="481" spans="1:35" ht="15">
      <c r="A481" s="155"/>
      <c r="B481" s="155"/>
      <c r="C481" s="155"/>
      <c r="D481" s="157" t="s">
        <v>453</v>
      </c>
      <c r="E481" s="157" t="s">
        <v>463</v>
      </c>
      <c r="F481" s="157" t="s">
        <v>464</v>
      </c>
      <c r="G481" s="158"/>
      <c r="H481" s="5" t="s">
        <v>465</v>
      </c>
      <c r="I481" s="22"/>
      <c r="J481" s="9"/>
      <c r="K481" s="9"/>
      <c r="L481" s="11" t="b">
        <v>0</v>
      </c>
      <c r="M481" s="11" t="b">
        <v>0</v>
      </c>
      <c r="N481" s="7"/>
      <c r="O481" s="7"/>
      <c r="P481" s="8">
        <f t="shared" si="73"/>
        <v>0</v>
      </c>
      <c r="Q481" s="7"/>
      <c r="R481" s="9"/>
      <c r="S481" s="7"/>
      <c r="T481" s="7"/>
      <c r="U481" s="8">
        <f t="shared" si="74"/>
        <v>0</v>
      </c>
      <c r="V481" s="9"/>
      <c r="W481" s="9"/>
      <c r="X481" s="18"/>
      <c r="Y481" s="18"/>
      <c r="Z481" s="19"/>
      <c r="AA481" s="18"/>
      <c r="AB481" s="19"/>
      <c r="AC481" s="19"/>
      <c r="AD481" s="19"/>
      <c r="AE481" s="9"/>
      <c r="AF481" s="9"/>
      <c r="AG481" s="26"/>
      <c r="AH481" s="26"/>
      <c r="AI481" s="151"/>
    </row>
    <row r="482" spans="1:35" ht="15">
      <c r="A482" s="155"/>
      <c r="B482" s="155"/>
      <c r="C482" s="155"/>
      <c r="D482" s="155"/>
      <c r="E482" s="155"/>
      <c r="F482" s="155"/>
      <c r="G482" s="155"/>
      <c r="H482" s="5" t="s">
        <v>58</v>
      </c>
      <c r="I482" s="22"/>
      <c r="J482" s="9"/>
      <c r="K482" s="9"/>
      <c r="L482" s="11" t="b">
        <v>0</v>
      </c>
      <c r="M482" s="11" t="b">
        <v>0</v>
      </c>
      <c r="N482" s="7"/>
      <c r="O482" s="7"/>
      <c r="P482" s="8">
        <f t="shared" si="73"/>
        <v>0</v>
      </c>
      <c r="Q482" s="7"/>
      <c r="R482" s="9"/>
      <c r="S482" s="7"/>
      <c r="T482" s="7"/>
      <c r="U482" s="8">
        <f t="shared" si="74"/>
        <v>0</v>
      </c>
      <c r="V482" s="9"/>
      <c r="W482" s="9"/>
      <c r="X482" s="18"/>
      <c r="Y482" s="18"/>
      <c r="Z482" s="19"/>
      <c r="AA482" s="18"/>
      <c r="AB482" s="19"/>
      <c r="AC482" s="19"/>
      <c r="AD482" s="19"/>
      <c r="AE482" s="9"/>
      <c r="AF482" s="9"/>
      <c r="AG482" s="26"/>
      <c r="AH482" s="26"/>
      <c r="AI482" s="151"/>
    </row>
    <row r="483" spans="1:35" ht="12.75">
      <c r="A483" s="114"/>
      <c r="B483" s="114"/>
      <c r="C483" s="114"/>
      <c r="D483" s="115"/>
      <c r="E483" s="115"/>
      <c r="F483" s="115"/>
      <c r="G483" s="116"/>
      <c r="H483" s="115"/>
      <c r="I483" s="117"/>
      <c r="J483" s="116"/>
      <c r="K483" s="116"/>
      <c r="L483" s="116"/>
      <c r="M483" s="116"/>
      <c r="N483" s="118"/>
      <c r="O483" s="118"/>
      <c r="P483" s="119"/>
      <c r="Q483" s="118"/>
      <c r="R483" s="116"/>
      <c r="S483" s="118"/>
      <c r="T483" s="118"/>
      <c r="U483" s="119"/>
      <c r="V483" s="116"/>
      <c r="W483" s="116"/>
      <c r="X483" s="116"/>
      <c r="Y483" s="116"/>
      <c r="Z483" s="115"/>
      <c r="AA483" s="116"/>
      <c r="AB483" s="115"/>
      <c r="AC483" s="115"/>
      <c r="AD483" s="115"/>
      <c r="AE483" s="116"/>
      <c r="AF483" s="116"/>
      <c r="AG483" s="116"/>
      <c r="AH483" s="116"/>
      <c r="AI483" s="116"/>
    </row>
    <row r="484" spans="1:35" ht="12.75">
      <c r="A484" s="161" t="s">
        <v>420</v>
      </c>
      <c r="B484" s="161" t="s">
        <v>412</v>
      </c>
      <c r="C484" s="161" t="s">
        <v>421</v>
      </c>
      <c r="D484" s="162" t="s">
        <v>453</v>
      </c>
      <c r="E484" s="160" t="s">
        <v>47</v>
      </c>
      <c r="F484" s="162" t="s">
        <v>454</v>
      </c>
      <c r="G484" s="164"/>
      <c r="H484" s="77" t="s">
        <v>49</v>
      </c>
      <c r="I484" s="108"/>
      <c r="J484" s="78"/>
      <c r="K484" s="78"/>
      <c r="L484" s="79" t="b">
        <v>0</v>
      </c>
      <c r="M484" s="79" t="b">
        <v>0</v>
      </c>
      <c r="N484" s="81"/>
      <c r="O484" s="81"/>
      <c r="P484" s="80">
        <f t="shared" ref="P484:P495" si="75">N484+O484</f>
        <v>0</v>
      </c>
      <c r="Q484" s="81"/>
      <c r="R484" s="78"/>
      <c r="S484" s="81"/>
      <c r="T484" s="81"/>
      <c r="U484" s="80">
        <f t="shared" ref="U484:U495" si="76">S484+T484</f>
        <v>0</v>
      </c>
      <c r="V484" s="78"/>
      <c r="W484" s="78"/>
      <c r="X484" s="78"/>
      <c r="Y484" s="78"/>
      <c r="Z484" s="77"/>
      <c r="AA484" s="78"/>
      <c r="AB484" s="77"/>
      <c r="AC484" s="77"/>
      <c r="AD484" s="77"/>
      <c r="AE484" s="78"/>
      <c r="AF484" s="78"/>
      <c r="AG484" s="109"/>
      <c r="AH484" s="109"/>
      <c r="AI484" s="78"/>
    </row>
    <row r="485" spans="1:35" ht="12.75">
      <c r="A485" s="155"/>
      <c r="B485" s="155"/>
      <c r="C485" s="155"/>
      <c r="D485" s="155"/>
      <c r="E485" s="155"/>
      <c r="F485" s="155"/>
      <c r="G485" s="155"/>
      <c r="H485" s="85" t="s">
        <v>58</v>
      </c>
      <c r="I485" s="112"/>
      <c r="J485" s="84"/>
      <c r="K485" s="84"/>
      <c r="L485" s="86" t="b">
        <v>0</v>
      </c>
      <c r="M485" s="86" t="b">
        <v>0</v>
      </c>
      <c r="N485" s="83"/>
      <c r="O485" s="83"/>
      <c r="P485" s="87">
        <f t="shared" si="75"/>
        <v>0</v>
      </c>
      <c r="Q485" s="83"/>
      <c r="R485" s="84"/>
      <c r="S485" s="83"/>
      <c r="T485" s="83"/>
      <c r="U485" s="87">
        <f t="shared" si="76"/>
        <v>0</v>
      </c>
      <c r="V485" s="84"/>
      <c r="W485" s="84"/>
      <c r="X485" s="84"/>
      <c r="Y485" s="84"/>
      <c r="Z485" s="85"/>
      <c r="AA485" s="84"/>
      <c r="AB485" s="85"/>
      <c r="AC485" s="85"/>
      <c r="AD485" s="85"/>
      <c r="AE485" s="84"/>
      <c r="AF485" s="84"/>
      <c r="AG485" s="110"/>
      <c r="AH485" s="110"/>
      <c r="AI485" s="84"/>
    </row>
    <row r="486" spans="1:35" ht="12.75">
      <c r="A486" s="155"/>
      <c r="B486" s="155"/>
      <c r="C486" s="155"/>
      <c r="D486" s="157" t="s">
        <v>453</v>
      </c>
      <c r="E486" s="157" t="s">
        <v>59</v>
      </c>
      <c r="F486" s="157" t="s">
        <v>454</v>
      </c>
      <c r="G486" s="158"/>
      <c r="H486" s="5" t="s">
        <v>49</v>
      </c>
      <c r="I486" s="17"/>
      <c r="J486" s="9"/>
      <c r="K486" s="9"/>
      <c r="L486" s="11" t="b">
        <v>0</v>
      </c>
      <c r="M486" s="11" t="b">
        <v>0</v>
      </c>
      <c r="N486" s="7"/>
      <c r="O486" s="7"/>
      <c r="P486" s="8">
        <f t="shared" si="75"/>
        <v>0</v>
      </c>
      <c r="Q486" s="7"/>
      <c r="R486" s="9"/>
      <c r="S486" s="7"/>
      <c r="T486" s="7"/>
      <c r="U486" s="8">
        <f t="shared" si="76"/>
        <v>0</v>
      </c>
      <c r="V486" s="9"/>
      <c r="W486" s="9"/>
      <c r="X486" s="18"/>
      <c r="Y486" s="18"/>
      <c r="Z486" s="19"/>
      <c r="AA486" s="18"/>
      <c r="AB486" s="19"/>
      <c r="AC486" s="19"/>
      <c r="AD486" s="19"/>
      <c r="AE486" s="9"/>
      <c r="AF486" s="9"/>
      <c r="AG486" s="26"/>
      <c r="AH486" s="26"/>
      <c r="AI486" s="89"/>
    </row>
    <row r="487" spans="1:35" ht="12.75">
      <c r="A487" s="155"/>
      <c r="B487" s="155"/>
      <c r="C487" s="155"/>
      <c r="D487" s="155"/>
      <c r="E487" s="155"/>
      <c r="F487" s="155"/>
      <c r="G487" s="155"/>
      <c r="H487" s="5" t="s">
        <v>58</v>
      </c>
      <c r="I487" s="22"/>
      <c r="J487" s="9"/>
      <c r="K487" s="9"/>
      <c r="L487" s="11" t="b">
        <v>0</v>
      </c>
      <c r="M487" s="11" t="b">
        <v>0</v>
      </c>
      <c r="N487" s="7"/>
      <c r="O487" s="7"/>
      <c r="P487" s="8">
        <f t="shared" si="75"/>
        <v>0</v>
      </c>
      <c r="Q487" s="7"/>
      <c r="R487" s="9"/>
      <c r="S487" s="7"/>
      <c r="T487" s="7"/>
      <c r="U487" s="8">
        <f t="shared" si="76"/>
        <v>0</v>
      </c>
      <c r="V487" s="9"/>
      <c r="W487" s="9"/>
      <c r="X487" s="18"/>
      <c r="Y487" s="18"/>
      <c r="Z487" s="19"/>
      <c r="AA487" s="18"/>
      <c r="AB487" s="19"/>
      <c r="AC487" s="19"/>
      <c r="AD487" s="19"/>
      <c r="AE487" s="9"/>
      <c r="AF487" s="9"/>
      <c r="AG487" s="26"/>
      <c r="AH487" s="26"/>
      <c r="AI487" s="9"/>
    </row>
    <row r="488" spans="1:35" ht="15">
      <c r="A488" s="155"/>
      <c r="B488" s="155"/>
      <c r="C488" s="155"/>
      <c r="D488" s="176" t="s">
        <v>455</v>
      </c>
      <c r="E488" s="176" t="s">
        <v>456</v>
      </c>
      <c r="F488" s="177" t="s">
        <v>457</v>
      </c>
      <c r="G488" s="178"/>
      <c r="H488" s="85" t="s">
        <v>458</v>
      </c>
      <c r="I488" s="147"/>
      <c r="J488" s="84"/>
      <c r="K488" s="84"/>
      <c r="L488" s="86" t="b">
        <v>0</v>
      </c>
      <c r="M488" s="86" t="b">
        <v>0</v>
      </c>
      <c r="N488" s="83"/>
      <c r="O488" s="83"/>
      <c r="P488" s="87">
        <f t="shared" si="75"/>
        <v>0</v>
      </c>
      <c r="Q488" s="83"/>
      <c r="R488" s="84"/>
      <c r="S488" s="83"/>
      <c r="T488" s="83"/>
      <c r="U488" s="87">
        <f t="shared" si="76"/>
        <v>0</v>
      </c>
      <c r="V488" s="84"/>
      <c r="W488" s="84"/>
      <c r="X488" s="133"/>
      <c r="Y488" s="133"/>
      <c r="Z488" s="121"/>
      <c r="AA488" s="133"/>
      <c r="AB488" s="121"/>
      <c r="AC488" s="121"/>
      <c r="AD488" s="121"/>
      <c r="AE488" s="84"/>
      <c r="AF488" s="84"/>
      <c r="AG488" s="122"/>
      <c r="AH488" s="122"/>
      <c r="AI488" s="84"/>
    </row>
    <row r="489" spans="1:35" ht="15">
      <c r="A489" s="155"/>
      <c r="B489" s="155"/>
      <c r="C489" s="155"/>
      <c r="D489" s="155"/>
      <c r="E489" s="155"/>
      <c r="F489" s="155"/>
      <c r="G489" s="155"/>
      <c r="H489" s="85" t="s">
        <v>58</v>
      </c>
      <c r="I489" s="147"/>
      <c r="J489" s="84"/>
      <c r="K489" s="84"/>
      <c r="L489" s="86" t="b">
        <v>0</v>
      </c>
      <c r="M489" s="86" t="b">
        <v>0</v>
      </c>
      <c r="N489" s="83"/>
      <c r="O489" s="83"/>
      <c r="P489" s="87">
        <f t="shared" si="75"/>
        <v>0</v>
      </c>
      <c r="Q489" s="83"/>
      <c r="R489" s="84"/>
      <c r="S489" s="83"/>
      <c r="T489" s="83"/>
      <c r="U489" s="87">
        <f t="shared" si="76"/>
        <v>0</v>
      </c>
      <c r="V489" s="84"/>
      <c r="W489" s="84"/>
      <c r="X489" s="133"/>
      <c r="Y489" s="133"/>
      <c r="Z489" s="121"/>
      <c r="AA489" s="133"/>
      <c r="AB489" s="121"/>
      <c r="AC489" s="121"/>
      <c r="AD489" s="121"/>
      <c r="AE489" s="84"/>
      <c r="AF489" s="84"/>
      <c r="AG489" s="122"/>
      <c r="AH489" s="122"/>
      <c r="AI489" s="148"/>
    </row>
    <row r="490" spans="1:35" ht="15">
      <c r="A490" s="155"/>
      <c r="B490" s="155"/>
      <c r="C490" s="155"/>
      <c r="D490" s="157" t="s">
        <v>455</v>
      </c>
      <c r="E490" s="175" t="s">
        <v>459</v>
      </c>
      <c r="F490" s="156" t="s">
        <v>457</v>
      </c>
      <c r="G490" s="158"/>
      <c r="H490" s="5" t="s">
        <v>458</v>
      </c>
      <c r="I490" s="150"/>
      <c r="J490" s="9"/>
      <c r="K490" s="9"/>
      <c r="L490" s="11" t="b">
        <v>0</v>
      </c>
      <c r="M490" s="11" t="b">
        <v>0</v>
      </c>
      <c r="N490" s="7"/>
      <c r="O490" s="7"/>
      <c r="P490" s="8">
        <f t="shared" si="75"/>
        <v>0</v>
      </c>
      <c r="Q490" s="7"/>
      <c r="R490" s="9"/>
      <c r="S490" s="7"/>
      <c r="T490" s="7"/>
      <c r="U490" s="8">
        <f t="shared" si="76"/>
        <v>0</v>
      </c>
      <c r="V490" s="9"/>
      <c r="W490" s="9"/>
      <c r="X490" s="9"/>
      <c r="Y490" s="9"/>
      <c r="Z490" s="5"/>
      <c r="AA490" s="9"/>
      <c r="AB490" s="5"/>
      <c r="AC490" s="5"/>
      <c r="AD490" s="5"/>
      <c r="AE490" s="9"/>
      <c r="AF490" s="9"/>
      <c r="AG490" s="26"/>
      <c r="AH490" s="26"/>
      <c r="AI490" s="151"/>
    </row>
    <row r="491" spans="1:35" ht="12.75">
      <c r="A491" s="155"/>
      <c r="B491" s="155"/>
      <c r="C491" s="155"/>
      <c r="D491" s="155"/>
      <c r="E491" s="155"/>
      <c r="F491" s="155"/>
      <c r="G491" s="155"/>
      <c r="H491" s="5" t="s">
        <v>58</v>
      </c>
      <c r="I491" s="152"/>
      <c r="J491" s="9"/>
      <c r="K491" s="9"/>
      <c r="L491" s="11" t="b">
        <v>0</v>
      </c>
      <c r="M491" s="11" t="b">
        <v>0</v>
      </c>
      <c r="N491" s="7"/>
      <c r="O491" s="7"/>
      <c r="P491" s="8">
        <f t="shared" si="75"/>
        <v>0</v>
      </c>
      <c r="Q491" s="7"/>
      <c r="R491" s="9"/>
      <c r="S491" s="7"/>
      <c r="T491" s="7"/>
      <c r="U491" s="8">
        <f t="shared" si="76"/>
        <v>0</v>
      </c>
      <c r="V491" s="9"/>
      <c r="W491" s="9"/>
      <c r="X491" s="9"/>
      <c r="Y491" s="9"/>
      <c r="Z491" s="5"/>
      <c r="AA491" s="9"/>
      <c r="AB491" s="5"/>
      <c r="AC491" s="5"/>
      <c r="AD491" s="5"/>
      <c r="AE491" s="9"/>
      <c r="AF491" s="9"/>
      <c r="AG491" s="26"/>
      <c r="AH491" s="26"/>
      <c r="AI491" s="26"/>
    </row>
    <row r="492" spans="1:35" ht="15">
      <c r="A492" s="155"/>
      <c r="B492" s="155"/>
      <c r="C492" s="155"/>
      <c r="D492" s="176" t="s">
        <v>460</v>
      </c>
      <c r="E492" s="177" t="s">
        <v>461</v>
      </c>
      <c r="F492" s="176" t="s">
        <v>462</v>
      </c>
      <c r="G492" s="178"/>
      <c r="H492" s="85" t="s">
        <v>49</v>
      </c>
      <c r="I492" s="135"/>
      <c r="J492" s="84"/>
      <c r="K492" s="84"/>
      <c r="L492" s="86" t="b">
        <v>0</v>
      </c>
      <c r="M492" s="86" t="b">
        <v>0</v>
      </c>
      <c r="N492" s="83"/>
      <c r="O492" s="83"/>
      <c r="P492" s="87">
        <f t="shared" si="75"/>
        <v>0</v>
      </c>
      <c r="Q492" s="83"/>
      <c r="R492" s="84"/>
      <c r="S492" s="83"/>
      <c r="T492" s="83"/>
      <c r="U492" s="87">
        <f t="shared" si="76"/>
        <v>0</v>
      </c>
      <c r="V492" s="84"/>
      <c r="W492" s="84"/>
      <c r="X492" s="84"/>
      <c r="Y492" s="84"/>
      <c r="Z492" s="85"/>
      <c r="AA492" s="84"/>
      <c r="AB492" s="85"/>
      <c r="AC492" s="85"/>
      <c r="AD492" s="85"/>
      <c r="AE492" s="84"/>
      <c r="AF492" s="84"/>
      <c r="AG492" s="122"/>
      <c r="AH492" s="122"/>
      <c r="AI492" s="153"/>
    </row>
    <row r="493" spans="1:35" ht="15">
      <c r="A493" s="155"/>
      <c r="B493" s="155"/>
      <c r="C493" s="155"/>
      <c r="D493" s="155"/>
      <c r="E493" s="155"/>
      <c r="F493" s="155"/>
      <c r="G493" s="155"/>
      <c r="H493" s="85" t="s">
        <v>58</v>
      </c>
      <c r="I493" s="135"/>
      <c r="J493" s="84"/>
      <c r="K493" s="84"/>
      <c r="L493" s="86" t="b">
        <v>0</v>
      </c>
      <c r="M493" s="86" t="b">
        <v>0</v>
      </c>
      <c r="N493" s="83"/>
      <c r="O493" s="83"/>
      <c r="P493" s="87">
        <f t="shared" si="75"/>
        <v>0</v>
      </c>
      <c r="Q493" s="83"/>
      <c r="R493" s="84"/>
      <c r="S493" s="83"/>
      <c r="T493" s="83"/>
      <c r="U493" s="87">
        <f t="shared" si="76"/>
        <v>0</v>
      </c>
      <c r="V493" s="84"/>
      <c r="W493" s="84"/>
      <c r="X493" s="133"/>
      <c r="Y493" s="133"/>
      <c r="Z493" s="121"/>
      <c r="AA493" s="133"/>
      <c r="AB493" s="121"/>
      <c r="AC493" s="121"/>
      <c r="AD493" s="121"/>
      <c r="AE493" s="84"/>
      <c r="AF493" s="84"/>
      <c r="AG493" s="122"/>
      <c r="AH493" s="122"/>
      <c r="AI493" s="153"/>
    </row>
    <row r="494" spans="1:35" ht="15">
      <c r="A494" s="155"/>
      <c r="B494" s="155"/>
      <c r="C494" s="155"/>
      <c r="D494" s="157" t="s">
        <v>453</v>
      </c>
      <c r="E494" s="157" t="s">
        <v>463</v>
      </c>
      <c r="F494" s="157" t="s">
        <v>464</v>
      </c>
      <c r="G494" s="158"/>
      <c r="H494" s="5" t="s">
        <v>465</v>
      </c>
      <c r="I494" s="22"/>
      <c r="J494" s="9"/>
      <c r="K494" s="9"/>
      <c r="L494" s="11" t="b">
        <v>0</v>
      </c>
      <c r="M494" s="11" t="b">
        <v>0</v>
      </c>
      <c r="N494" s="7"/>
      <c r="O494" s="7"/>
      <c r="P494" s="8">
        <f t="shared" si="75"/>
        <v>0</v>
      </c>
      <c r="Q494" s="7"/>
      <c r="R494" s="9"/>
      <c r="S494" s="7"/>
      <c r="T494" s="7"/>
      <c r="U494" s="8">
        <f t="shared" si="76"/>
        <v>0</v>
      </c>
      <c r="V494" s="9"/>
      <c r="W494" s="9"/>
      <c r="X494" s="18"/>
      <c r="Y494" s="18"/>
      <c r="Z494" s="19"/>
      <c r="AA494" s="18"/>
      <c r="AB494" s="19"/>
      <c r="AC494" s="19"/>
      <c r="AD494" s="19"/>
      <c r="AE494" s="9"/>
      <c r="AF494" s="9"/>
      <c r="AG494" s="26"/>
      <c r="AH494" s="26"/>
      <c r="AI494" s="151"/>
    </row>
    <row r="495" spans="1:35" ht="15">
      <c r="A495" s="155"/>
      <c r="B495" s="155"/>
      <c r="C495" s="155"/>
      <c r="D495" s="155"/>
      <c r="E495" s="155"/>
      <c r="F495" s="155"/>
      <c r="G495" s="155"/>
      <c r="H495" s="5" t="s">
        <v>58</v>
      </c>
      <c r="I495" s="22"/>
      <c r="J495" s="9"/>
      <c r="K495" s="9"/>
      <c r="L495" s="11" t="b">
        <v>0</v>
      </c>
      <c r="M495" s="11" t="b">
        <v>0</v>
      </c>
      <c r="N495" s="7"/>
      <c r="O495" s="7"/>
      <c r="P495" s="8">
        <f t="shared" si="75"/>
        <v>0</v>
      </c>
      <c r="Q495" s="7"/>
      <c r="R495" s="9"/>
      <c r="S495" s="7"/>
      <c r="T495" s="7"/>
      <c r="U495" s="8">
        <f t="shared" si="76"/>
        <v>0</v>
      </c>
      <c r="V495" s="9"/>
      <c r="W495" s="9"/>
      <c r="X495" s="18"/>
      <c r="Y495" s="18"/>
      <c r="Z495" s="19"/>
      <c r="AA495" s="18"/>
      <c r="AB495" s="19"/>
      <c r="AC495" s="19"/>
      <c r="AD495" s="19"/>
      <c r="AE495" s="9"/>
      <c r="AF495" s="9"/>
      <c r="AG495" s="26"/>
      <c r="AH495" s="26"/>
      <c r="AI495" s="151"/>
    </row>
    <row r="496" spans="1:35" ht="12.75">
      <c r="A496" s="123"/>
      <c r="B496" s="123"/>
      <c r="C496" s="123"/>
      <c r="D496" s="124"/>
      <c r="E496" s="124"/>
      <c r="F496" s="124"/>
      <c r="G496" s="125"/>
      <c r="H496" s="124"/>
      <c r="I496" s="136"/>
      <c r="J496" s="125"/>
      <c r="K496" s="125"/>
      <c r="L496" s="125"/>
      <c r="M496" s="125"/>
      <c r="N496" s="127"/>
      <c r="O496" s="127"/>
      <c r="P496" s="128"/>
      <c r="Q496" s="127"/>
      <c r="R496" s="125"/>
      <c r="S496" s="127"/>
      <c r="T496" s="127"/>
      <c r="U496" s="128"/>
      <c r="V496" s="125"/>
      <c r="W496" s="125"/>
      <c r="X496" s="125"/>
      <c r="Y496" s="125"/>
      <c r="Z496" s="124"/>
      <c r="AA496" s="125"/>
      <c r="AB496" s="124"/>
      <c r="AC496" s="124"/>
      <c r="AD496" s="124"/>
      <c r="AE496" s="125"/>
      <c r="AF496" s="125"/>
      <c r="AG496" s="125"/>
      <c r="AH496" s="125"/>
      <c r="AI496" s="125"/>
    </row>
    <row r="497" spans="1:35" ht="12.75">
      <c r="A497" s="167" t="s">
        <v>470</v>
      </c>
      <c r="B497" s="167" t="s">
        <v>471</v>
      </c>
      <c r="C497" s="167" t="s">
        <v>472</v>
      </c>
      <c r="D497" s="162" t="s">
        <v>453</v>
      </c>
      <c r="E497" s="160" t="s">
        <v>47</v>
      </c>
      <c r="F497" s="162" t="s">
        <v>454</v>
      </c>
      <c r="G497" s="164"/>
      <c r="H497" s="77" t="s">
        <v>49</v>
      </c>
      <c r="I497" s="108"/>
      <c r="J497" s="78"/>
      <c r="K497" s="78"/>
      <c r="L497" s="79" t="b">
        <v>0</v>
      </c>
      <c r="M497" s="79" t="b">
        <v>0</v>
      </c>
      <c r="N497" s="81"/>
      <c r="O497" s="81"/>
      <c r="P497" s="80">
        <f t="shared" ref="P497:P508" si="77">N497+O497</f>
        <v>0</v>
      </c>
      <c r="Q497" s="81"/>
      <c r="R497" s="78"/>
      <c r="S497" s="81"/>
      <c r="T497" s="81"/>
      <c r="U497" s="80">
        <f t="shared" ref="U497:U508" si="78">S497+T497</f>
        <v>0</v>
      </c>
      <c r="V497" s="78"/>
      <c r="W497" s="78"/>
      <c r="X497" s="78"/>
      <c r="Y497" s="78"/>
      <c r="Z497" s="77"/>
      <c r="AA497" s="78"/>
      <c r="AB497" s="77"/>
      <c r="AC497" s="77"/>
      <c r="AD497" s="77"/>
      <c r="AE497" s="78"/>
      <c r="AF497" s="78"/>
      <c r="AG497" s="109"/>
      <c r="AH497" s="109"/>
      <c r="AI497" s="78"/>
    </row>
    <row r="498" spans="1:35" ht="12.75">
      <c r="A498" s="155"/>
      <c r="B498" s="155"/>
      <c r="C498" s="155"/>
      <c r="D498" s="155"/>
      <c r="E498" s="155"/>
      <c r="F498" s="155"/>
      <c r="G498" s="155"/>
      <c r="H498" s="85" t="s">
        <v>58</v>
      </c>
      <c r="I498" s="112"/>
      <c r="J498" s="84"/>
      <c r="K498" s="84"/>
      <c r="L498" s="86" t="b">
        <v>0</v>
      </c>
      <c r="M498" s="86" t="b">
        <v>0</v>
      </c>
      <c r="N498" s="83"/>
      <c r="O498" s="83"/>
      <c r="P498" s="87">
        <f t="shared" si="77"/>
        <v>0</v>
      </c>
      <c r="Q498" s="83"/>
      <c r="R498" s="84"/>
      <c r="S498" s="83"/>
      <c r="T498" s="83"/>
      <c r="U498" s="87">
        <f t="shared" si="78"/>
        <v>0</v>
      </c>
      <c r="V498" s="84"/>
      <c r="W498" s="84"/>
      <c r="X498" s="84"/>
      <c r="Y498" s="84"/>
      <c r="Z498" s="85"/>
      <c r="AA498" s="84"/>
      <c r="AB498" s="85"/>
      <c r="AC498" s="85"/>
      <c r="AD498" s="85"/>
      <c r="AE498" s="84"/>
      <c r="AF498" s="84"/>
      <c r="AG498" s="110"/>
      <c r="AH498" s="110"/>
      <c r="AI498" s="84"/>
    </row>
    <row r="499" spans="1:35" ht="12.75">
      <c r="A499" s="155"/>
      <c r="B499" s="155"/>
      <c r="C499" s="155"/>
      <c r="D499" s="157" t="s">
        <v>453</v>
      </c>
      <c r="E499" s="157" t="s">
        <v>59</v>
      </c>
      <c r="F499" s="157" t="s">
        <v>454</v>
      </c>
      <c r="G499" s="158"/>
      <c r="H499" s="5" t="s">
        <v>49</v>
      </c>
      <c r="I499" s="17"/>
      <c r="J499" s="9"/>
      <c r="K499" s="9"/>
      <c r="L499" s="11" t="b">
        <v>0</v>
      </c>
      <c r="M499" s="11" t="b">
        <v>0</v>
      </c>
      <c r="N499" s="7"/>
      <c r="O499" s="7"/>
      <c r="P499" s="8">
        <f t="shared" si="77"/>
        <v>0</v>
      </c>
      <c r="Q499" s="7"/>
      <c r="R499" s="9"/>
      <c r="S499" s="7"/>
      <c r="T499" s="7"/>
      <c r="U499" s="8">
        <f t="shared" si="78"/>
        <v>0</v>
      </c>
      <c r="V499" s="9"/>
      <c r="W499" s="9"/>
      <c r="X499" s="18"/>
      <c r="Y499" s="18"/>
      <c r="Z499" s="19"/>
      <c r="AA499" s="18"/>
      <c r="AB499" s="19"/>
      <c r="AC499" s="19"/>
      <c r="AD499" s="19"/>
      <c r="AE499" s="9"/>
      <c r="AF499" s="9"/>
      <c r="AG499" s="26"/>
      <c r="AH499" s="26"/>
      <c r="AI499" s="89"/>
    </row>
    <row r="500" spans="1:35" ht="12.75">
      <c r="A500" s="155"/>
      <c r="B500" s="155"/>
      <c r="C500" s="155"/>
      <c r="D500" s="155"/>
      <c r="E500" s="155"/>
      <c r="F500" s="155"/>
      <c r="G500" s="155"/>
      <c r="H500" s="5" t="s">
        <v>58</v>
      </c>
      <c r="I500" s="22"/>
      <c r="J500" s="9"/>
      <c r="K500" s="9"/>
      <c r="L500" s="11" t="b">
        <v>0</v>
      </c>
      <c r="M500" s="11" t="b">
        <v>0</v>
      </c>
      <c r="N500" s="7"/>
      <c r="O500" s="7"/>
      <c r="P500" s="8">
        <f t="shared" si="77"/>
        <v>0</v>
      </c>
      <c r="Q500" s="7"/>
      <c r="R500" s="9"/>
      <c r="S500" s="7"/>
      <c r="T500" s="7"/>
      <c r="U500" s="8">
        <f t="shared" si="78"/>
        <v>0</v>
      </c>
      <c r="V500" s="9"/>
      <c r="W500" s="9"/>
      <c r="X500" s="18"/>
      <c r="Y500" s="18"/>
      <c r="Z500" s="19"/>
      <c r="AA500" s="18"/>
      <c r="AB500" s="19"/>
      <c r="AC500" s="19"/>
      <c r="AD500" s="19"/>
      <c r="AE500" s="9"/>
      <c r="AF500" s="9"/>
      <c r="AG500" s="26"/>
      <c r="AH500" s="26"/>
      <c r="AI500" s="9"/>
    </row>
    <row r="501" spans="1:35" ht="15">
      <c r="A501" s="155"/>
      <c r="B501" s="155"/>
      <c r="C501" s="155"/>
      <c r="D501" s="176" t="s">
        <v>455</v>
      </c>
      <c r="E501" s="176" t="s">
        <v>456</v>
      </c>
      <c r="F501" s="177" t="s">
        <v>457</v>
      </c>
      <c r="G501" s="178"/>
      <c r="H501" s="85" t="s">
        <v>458</v>
      </c>
      <c r="I501" s="147"/>
      <c r="J501" s="84"/>
      <c r="K501" s="84"/>
      <c r="L501" s="86" t="b">
        <v>0</v>
      </c>
      <c r="M501" s="86" t="b">
        <v>0</v>
      </c>
      <c r="N501" s="83"/>
      <c r="O501" s="83"/>
      <c r="P501" s="87">
        <f t="shared" si="77"/>
        <v>0</v>
      </c>
      <c r="Q501" s="83"/>
      <c r="R501" s="84"/>
      <c r="S501" s="83"/>
      <c r="T501" s="83"/>
      <c r="U501" s="87">
        <f t="shared" si="78"/>
        <v>0</v>
      </c>
      <c r="V501" s="84"/>
      <c r="W501" s="84"/>
      <c r="X501" s="133"/>
      <c r="Y501" s="133"/>
      <c r="Z501" s="121"/>
      <c r="AA501" s="133"/>
      <c r="AB501" s="121"/>
      <c r="AC501" s="121"/>
      <c r="AD501" s="121"/>
      <c r="AE501" s="84"/>
      <c r="AF501" s="84"/>
      <c r="AG501" s="122"/>
      <c r="AH501" s="122"/>
      <c r="AI501" s="84"/>
    </row>
    <row r="502" spans="1:35" ht="15">
      <c r="A502" s="155"/>
      <c r="B502" s="155"/>
      <c r="C502" s="155"/>
      <c r="D502" s="155"/>
      <c r="E502" s="155"/>
      <c r="F502" s="155"/>
      <c r="G502" s="155"/>
      <c r="H502" s="85" t="s">
        <v>58</v>
      </c>
      <c r="I502" s="147"/>
      <c r="J502" s="84"/>
      <c r="K502" s="84"/>
      <c r="L502" s="86" t="b">
        <v>0</v>
      </c>
      <c r="M502" s="86" t="b">
        <v>0</v>
      </c>
      <c r="N502" s="83"/>
      <c r="O502" s="83"/>
      <c r="P502" s="87">
        <f t="shared" si="77"/>
        <v>0</v>
      </c>
      <c r="Q502" s="83"/>
      <c r="R502" s="84"/>
      <c r="S502" s="83"/>
      <c r="T502" s="83"/>
      <c r="U502" s="87">
        <f t="shared" si="78"/>
        <v>0</v>
      </c>
      <c r="V502" s="84"/>
      <c r="W502" s="84"/>
      <c r="X502" s="133"/>
      <c r="Y502" s="133"/>
      <c r="Z502" s="121"/>
      <c r="AA502" s="133"/>
      <c r="AB502" s="121"/>
      <c r="AC502" s="121"/>
      <c r="AD502" s="121"/>
      <c r="AE502" s="84"/>
      <c r="AF502" s="84"/>
      <c r="AG502" s="122"/>
      <c r="AH502" s="122"/>
      <c r="AI502" s="148"/>
    </row>
    <row r="503" spans="1:35" ht="15">
      <c r="A503" s="155"/>
      <c r="B503" s="155"/>
      <c r="C503" s="155"/>
      <c r="D503" s="157" t="s">
        <v>455</v>
      </c>
      <c r="E503" s="175" t="s">
        <v>459</v>
      </c>
      <c r="F503" s="156" t="s">
        <v>457</v>
      </c>
      <c r="G503" s="158"/>
      <c r="H503" s="5" t="s">
        <v>458</v>
      </c>
      <c r="I503" s="150"/>
      <c r="J503" s="9"/>
      <c r="K503" s="9"/>
      <c r="L503" s="11" t="b">
        <v>0</v>
      </c>
      <c r="M503" s="11" t="b">
        <v>0</v>
      </c>
      <c r="N503" s="7"/>
      <c r="O503" s="7"/>
      <c r="P503" s="8">
        <f t="shared" si="77"/>
        <v>0</v>
      </c>
      <c r="Q503" s="7"/>
      <c r="R503" s="9"/>
      <c r="S503" s="7"/>
      <c r="T503" s="7"/>
      <c r="U503" s="8">
        <f t="shared" si="78"/>
        <v>0</v>
      </c>
      <c r="V503" s="9"/>
      <c r="W503" s="9"/>
      <c r="X503" s="9"/>
      <c r="Y503" s="9"/>
      <c r="Z503" s="5"/>
      <c r="AA503" s="9"/>
      <c r="AB503" s="5"/>
      <c r="AC503" s="5"/>
      <c r="AD503" s="5"/>
      <c r="AE503" s="9"/>
      <c r="AF503" s="9"/>
      <c r="AG503" s="26"/>
      <c r="AH503" s="26"/>
      <c r="AI503" s="151"/>
    </row>
    <row r="504" spans="1:35" ht="12.75">
      <c r="A504" s="155"/>
      <c r="B504" s="155"/>
      <c r="C504" s="155"/>
      <c r="D504" s="155"/>
      <c r="E504" s="155"/>
      <c r="F504" s="155"/>
      <c r="G504" s="155"/>
      <c r="H504" s="5" t="s">
        <v>58</v>
      </c>
      <c r="I504" s="152"/>
      <c r="J504" s="9"/>
      <c r="K504" s="9"/>
      <c r="L504" s="11" t="b">
        <v>0</v>
      </c>
      <c r="M504" s="11" t="b">
        <v>0</v>
      </c>
      <c r="N504" s="7"/>
      <c r="O504" s="7"/>
      <c r="P504" s="8">
        <f t="shared" si="77"/>
        <v>0</v>
      </c>
      <c r="Q504" s="7"/>
      <c r="R504" s="9"/>
      <c r="S504" s="7"/>
      <c r="T504" s="7"/>
      <c r="U504" s="8">
        <f t="shared" si="78"/>
        <v>0</v>
      </c>
      <c r="V504" s="9"/>
      <c r="W504" s="9"/>
      <c r="X504" s="9"/>
      <c r="Y504" s="9"/>
      <c r="Z504" s="5"/>
      <c r="AA504" s="9"/>
      <c r="AB504" s="5"/>
      <c r="AC504" s="5"/>
      <c r="AD504" s="5"/>
      <c r="AE504" s="9"/>
      <c r="AF504" s="9"/>
      <c r="AG504" s="26"/>
      <c r="AH504" s="26"/>
      <c r="AI504" s="26"/>
    </row>
    <row r="505" spans="1:35" ht="15">
      <c r="A505" s="155"/>
      <c r="B505" s="155"/>
      <c r="C505" s="155"/>
      <c r="D505" s="176" t="s">
        <v>460</v>
      </c>
      <c r="E505" s="177" t="s">
        <v>461</v>
      </c>
      <c r="F505" s="176" t="s">
        <v>462</v>
      </c>
      <c r="G505" s="178"/>
      <c r="H505" s="85" t="s">
        <v>49</v>
      </c>
      <c r="I505" s="135"/>
      <c r="J505" s="84"/>
      <c r="K505" s="84"/>
      <c r="L505" s="86" t="b">
        <v>0</v>
      </c>
      <c r="M505" s="86" t="b">
        <v>0</v>
      </c>
      <c r="N505" s="83"/>
      <c r="O505" s="83"/>
      <c r="P505" s="87">
        <f t="shared" si="77"/>
        <v>0</v>
      </c>
      <c r="Q505" s="83"/>
      <c r="R505" s="84"/>
      <c r="S505" s="83"/>
      <c r="T505" s="83"/>
      <c r="U505" s="87">
        <f t="shared" si="78"/>
        <v>0</v>
      </c>
      <c r="V505" s="84"/>
      <c r="W505" s="84"/>
      <c r="X505" s="84"/>
      <c r="Y505" s="84"/>
      <c r="Z505" s="85"/>
      <c r="AA505" s="84"/>
      <c r="AB505" s="85"/>
      <c r="AC505" s="85"/>
      <c r="AD505" s="85"/>
      <c r="AE505" s="84"/>
      <c r="AF505" s="84"/>
      <c r="AG505" s="122"/>
      <c r="AH505" s="122"/>
      <c r="AI505" s="153"/>
    </row>
    <row r="506" spans="1:35" ht="15">
      <c r="A506" s="155"/>
      <c r="B506" s="155"/>
      <c r="C506" s="155"/>
      <c r="D506" s="155"/>
      <c r="E506" s="155"/>
      <c r="F506" s="155"/>
      <c r="G506" s="155"/>
      <c r="H506" s="85" t="s">
        <v>58</v>
      </c>
      <c r="I506" s="135"/>
      <c r="J506" s="84"/>
      <c r="K506" s="84"/>
      <c r="L506" s="86" t="b">
        <v>0</v>
      </c>
      <c r="M506" s="86" t="b">
        <v>0</v>
      </c>
      <c r="N506" s="83"/>
      <c r="O506" s="83"/>
      <c r="P506" s="87">
        <f t="shared" si="77"/>
        <v>0</v>
      </c>
      <c r="Q506" s="83"/>
      <c r="R506" s="84"/>
      <c r="S506" s="83"/>
      <c r="T506" s="83"/>
      <c r="U506" s="87">
        <f t="shared" si="78"/>
        <v>0</v>
      </c>
      <c r="V506" s="84"/>
      <c r="W506" s="84"/>
      <c r="X506" s="133"/>
      <c r="Y506" s="133"/>
      <c r="Z506" s="121"/>
      <c r="AA506" s="133"/>
      <c r="AB506" s="121"/>
      <c r="AC506" s="121"/>
      <c r="AD506" s="121"/>
      <c r="AE506" s="84"/>
      <c r="AF506" s="84"/>
      <c r="AG506" s="122"/>
      <c r="AH506" s="122"/>
      <c r="AI506" s="153"/>
    </row>
    <row r="507" spans="1:35" ht="15">
      <c r="A507" s="155"/>
      <c r="B507" s="155"/>
      <c r="C507" s="155"/>
      <c r="D507" s="157" t="s">
        <v>453</v>
      </c>
      <c r="E507" s="157" t="s">
        <v>463</v>
      </c>
      <c r="F507" s="157" t="s">
        <v>464</v>
      </c>
      <c r="G507" s="158"/>
      <c r="H507" s="5" t="s">
        <v>465</v>
      </c>
      <c r="I507" s="22"/>
      <c r="J507" s="9"/>
      <c r="K507" s="9"/>
      <c r="L507" s="11" t="b">
        <v>0</v>
      </c>
      <c r="M507" s="11" t="b">
        <v>0</v>
      </c>
      <c r="N507" s="7"/>
      <c r="O507" s="7"/>
      <c r="P507" s="8">
        <f t="shared" si="77"/>
        <v>0</v>
      </c>
      <c r="Q507" s="7"/>
      <c r="R507" s="9"/>
      <c r="S507" s="7"/>
      <c r="T507" s="7"/>
      <c r="U507" s="8">
        <f t="shared" si="78"/>
        <v>0</v>
      </c>
      <c r="V507" s="9"/>
      <c r="W507" s="9"/>
      <c r="X507" s="18"/>
      <c r="Y507" s="18"/>
      <c r="Z507" s="19"/>
      <c r="AA507" s="18"/>
      <c r="AB507" s="19"/>
      <c r="AC507" s="19"/>
      <c r="AD507" s="19"/>
      <c r="AE507" s="9"/>
      <c r="AF507" s="9"/>
      <c r="AG507" s="26"/>
      <c r="AH507" s="26"/>
      <c r="AI507" s="151"/>
    </row>
    <row r="508" spans="1:35" ht="15">
      <c r="A508" s="155"/>
      <c r="B508" s="155"/>
      <c r="C508" s="155"/>
      <c r="D508" s="155"/>
      <c r="E508" s="155"/>
      <c r="F508" s="155"/>
      <c r="G508" s="155"/>
      <c r="H508" s="5" t="s">
        <v>58</v>
      </c>
      <c r="I508" s="22"/>
      <c r="J508" s="9"/>
      <c r="K508" s="9"/>
      <c r="L508" s="11" t="b">
        <v>0</v>
      </c>
      <c r="M508" s="11" t="b">
        <v>0</v>
      </c>
      <c r="N508" s="7"/>
      <c r="O508" s="7"/>
      <c r="P508" s="8">
        <f t="shared" si="77"/>
        <v>0</v>
      </c>
      <c r="Q508" s="7"/>
      <c r="R508" s="9"/>
      <c r="S508" s="7"/>
      <c r="T508" s="7"/>
      <c r="U508" s="8">
        <f t="shared" si="78"/>
        <v>0</v>
      </c>
      <c r="V508" s="9"/>
      <c r="W508" s="9"/>
      <c r="X508" s="18"/>
      <c r="Y508" s="18"/>
      <c r="Z508" s="19"/>
      <c r="AA508" s="18"/>
      <c r="AB508" s="19"/>
      <c r="AC508" s="19"/>
      <c r="AD508" s="19"/>
      <c r="AE508" s="9"/>
      <c r="AF508" s="9"/>
      <c r="AG508" s="26"/>
      <c r="AH508" s="26"/>
      <c r="AI508" s="151"/>
    </row>
    <row r="509" spans="1:35" ht="12.75">
      <c r="A509" s="123"/>
      <c r="B509" s="123"/>
      <c r="C509" s="123"/>
      <c r="D509" s="124"/>
      <c r="E509" s="124"/>
      <c r="F509" s="124"/>
      <c r="G509" s="125"/>
      <c r="H509" s="124"/>
      <c r="I509" s="136"/>
      <c r="J509" s="125"/>
      <c r="K509" s="125"/>
      <c r="L509" s="125"/>
      <c r="M509" s="125"/>
      <c r="N509" s="127"/>
      <c r="O509" s="127"/>
      <c r="P509" s="128"/>
      <c r="Q509" s="127"/>
      <c r="R509" s="125"/>
      <c r="S509" s="127"/>
      <c r="T509" s="127"/>
      <c r="U509" s="128"/>
      <c r="V509" s="125"/>
      <c r="W509" s="125"/>
      <c r="X509" s="125"/>
      <c r="Y509" s="125"/>
      <c r="Z509" s="124"/>
      <c r="AA509" s="125"/>
      <c r="AB509" s="124"/>
      <c r="AC509" s="124"/>
      <c r="AD509" s="124"/>
      <c r="AE509" s="125"/>
      <c r="AF509" s="125"/>
      <c r="AG509" s="125"/>
      <c r="AH509" s="125"/>
      <c r="AI509" s="125"/>
    </row>
    <row r="510" spans="1:35" ht="12.75">
      <c r="A510" s="167" t="s">
        <v>478</v>
      </c>
      <c r="B510" s="167" t="s">
        <v>128</v>
      </c>
      <c r="C510" s="167" t="s">
        <v>473</v>
      </c>
      <c r="D510" s="162" t="s">
        <v>453</v>
      </c>
      <c r="E510" s="160" t="s">
        <v>47</v>
      </c>
      <c r="F510" s="162" t="s">
        <v>454</v>
      </c>
      <c r="G510" s="164"/>
      <c r="H510" s="77" t="s">
        <v>49</v>
      </c>
      <c r="I510" s="108"/>
      <c r="J510" s="78"/>
      <c r="K510" s="78"/>
      <c r="L510" s="79" t="b">
        <v>0</v>
      </c>
      <c r="M510" s="79" t="b">
        <v>0</v>
      </c>
      <c r="N510" s="81"/>
      <c r="O510" s="81"/>
      <c r="P510" s="80">
        <f t="shared" ref="P510:P521" si="79">N510+O510</f>
        <v>0</v>
      </c>
      <c r="Q510" s="81"/>
      <c r="R510" s="78"/>
      <c r="S510" s="81"/>
      <c r="T510" s="81"/>
      <c r="U510" s="80">
        <f t="shared" ref="U510:U521" si="80">S510+T510</f>
        <v>0</v>
      </c>
      <c r="V510" s="78"/>
      <c r="W510" s="78"/>
      <c r="X510" s="78"/>
      <c r="Y510" s="78"/>
      <c r="Z510" s="77"/>
      <c r="AA510" s="78"/>
      <c r="AB510" s="77"/>
      <c r="AC510" s="77"/>
      <c r="AD510" s="77"/>
      <c r="AE510" s="78"/>
      <c r="AF510" s="78"/>
      <c r="AG510" s="109"/>
      <c r="AH510" s="109"/>
      <c r="AI510" s="78"/>
    </row>
    <row r="511" spans="1:35" ht="12.75">
      <c r="A511" s="155"/>
      <c r="B511" s="155"/>
      <c r="C511" s="155"/>
      <c r="D511" s="155"/>
      <c r="E511" s="155"/>
      <c r="F511" s="155"/>
      <c r="G511" s="155"/>
      <c r="H511" s="85" t="s">
        <v>58</v>
      </c>
      <c r="I511" s="112"/>
      <c r="J511" s="84"/>
      <c r="K511" s="84"/>
      <c r="L511" s="86" t="b">
        <v>0</v>
      </c>
      <c r="M511" s="86" t="b">
        <v>0</v>
      </c>
      <c r="N511" s="83"/>
      <c r="O511" s="83"/>
      <c r="P511" s="87">
        <f t="shared" si="79"/>
        <v>0</v>
      </c>
      <c r="Q511" s="83"/>
      <c r="R511" s="84"/>
      <c r="S511" s="83"/>
      <c r="T511" s="83"/>
      <c r="U511" s="87">
        <f t="shared" si="80"/>
        <v>0</v>
      </c>
      <c r="V511" s="84"/>
      <c r="W511" s="84"/>
      <c r="X511" s="84"/>
      <c r="Y511" s="84"/>
      <c r="Z511" s="85"/>
      <c r="AA511" s="84"/>
      <c r="AB511" s="85"/>
      <c r="AC511" s="85"/>
      <c r="AD511" s="85"/>
      <c r="AE511" s="84"/>
      <c r="AF511" s="84"/>
      <c r="AG511" s="110"/>
      <c r="AH511" s="110"/>
      <c r="AI511" s="84"/>
    </row>
    <row r="512" spans="1:35" ht="12.75">
      <c r="A512" s="155"/>
      <c r="B512" s="155"/>
      <c r="C512" s="155"/>
      <c r="D512" s="157" t="s">
        <v>453</v>
      </c>
      <c r="E512" s="157" t="s">
        <v>59</v>
      </c>
      <c r="F512" s="157" t="s">
        <v>454</v>
      </c>
      <c r="G512" s="158"/>
      <c r="H512" s="5" t="s">
        <v>49</v>
      </c>
      <c r="I512" s="17"/>
      <c r="J512" s="9"/>
      <c r="K512" s="9"/>
      <c r="L512" s="11" t="b">
        <v>0</v>
      </c>
      <c r="M512" s="11" t="b">
        <v>0</v>
      </c>
      <c r="N512" s="7"/>
      <c r="O512" s="7"/>
      <c r="P512" s="8">
        <f t="shared" si="79"/>
        <v>0</v>
      </c>
      <c r="Q512" s="7"/>
      <c r="R512" s="9"/>
      <c r="S512" s="7"/>
      <c r="T512" s="7"/>
      <c r="U512" s="8">
        <f t="shared" si="80"/>
        <v>0</v>
      </c>
      <c r="V512" s="9"/>
      <c r="W512" s="9"/>
      <c r="X512" s="18"/>
      <c r="Y512" s="18"/>
      <c r="Z512" s="19"/>
      <c r="AA512" s="18"/>
      <c r="AB512" s="19"/>
      <c r="AC512" s="19"/>
      <c r="AD512" s="19"/>
      <c r="AE512" s="9"/>
      <c r="AF512" s="9"/>
      <c r="AG512" s="26"/>
      <c r="AH512" s="26"/>
      <c r="AI512" s="89"/>
    </row>
    <row r="513" spans="1:35" ht="12.75">
      <c r="A513" s="155"/>
      <c r="B513" s="155"/>
      <c r="C513" s="155"/>
      <c r="D513" s="155"/>
      <c r="E513" s="155"/>
      <c r="F513" s="155"/>
      <c r="G513" s="155"/>
      <c r="H513" s="5" t="s">
        <v>58</v>
      </c>
      <c r="I513" s="22"/>
      <c r="J513" s="9"/>
      <c r="K513" s="9"/>
      <c r="L513" s="11" t="b">
        <v>0</v>
      </c>
      <c r="M513" s="11" t="b">
        <v>0</v>
      </c>
      <c r="N513" s="7"/>
      <c r="O513" s="7"/>
      <c r="P513" s="8">
        <f t="shared" si="79"/>
        <v>0</v>
      </c>
      <c r="Q513" s="7"/>
      <c r="R513" s="9"/>
      <c r="S513" s="7"/>
      <c r="T513" s="7"/>
      <c r="U513" s="8">
        <f t="shared" si="80"/>
        <v>0</v>
      </c>
      <c r="V513" s="9"/>
      <c r="W513" s="9"/>
      <c r="X513" s="18"/>
      <c r="Y513" s="18"/>
      <c r="Z513" s="19"/>
      <c r="AA513" s="18"/>
      <c r="AB513" s="19"/>
      <c r="AC513" s="19"/>
      <c r="AD513" s="19"/>
      <c r="AE513" s="9"/>
      <c r="AF513" s="9"/>
      <c r="AG513" s="26"/>
      <c r="AH513" s="26"/>
      <c r="AI513" s="9"/>
    </row>
    <row r="514" spans="1:35" ht="15">
      <c r="A514" s="155"/>
      <c r="B514" s="155"/>
      <c r="C514" s="155"/>
      <c r="D514" s="176" t="s">
        <v>455</v>
      </c>
      <c r="E514" s="176" t="s">
        <v>456</v>
      </c>
      <c r="F514" s="177" t="s">
        <v>457</v>
      </c>
      <c r="G514" s="178"/>
      <c r="H514" s="85" t="s">
        <v>458</v>
      </c>
      <c r="I514" s="147"/>
      <c r="J514" s="84"/>
      <c r="K514" s="84"/>
      <c r="L514" s="86" t="b">
        <v>0</v>
      </c>
      <c r="M514" s="86" t="b">
        <v>0</v>
      </c>
      <c r="N514" s="83"/>
      <c r="O514" s="83"/>
      <c r="P514" s="87">
        <f t="shared" si="79"/>
        <v>0</v>
      </c>
      <c r="Q514" s="83"/>
      <c r="R514" s="84"/>
      <c r="S514" s="83"/>
      <c r="T514" s="83"/>
      <c r="U514" s="87">
        <f t="shared" si="80"/>
        <v>0</v>
      </c>
      <c r="V514" s="84"/>
      <c r="W514" s="84"/>
      <c r="X514" s="133"/>
      <c r="Y514" s="133"/>
      <c r="Z514" s="121"/>
      <c r="AA514" s="133"/>
      <c r="AB514" s="121"/>
      <c r="AC514" s="121"/>
      <c r="AD514" s="121"/>
      <c r="AE514" s="84"/>
      <c r="AF514" s="84"/>
      <c r="AG514" s="122"/>
      <c r="AH514" s="122"/>
      <c r="AI514" s="84"/>
    </row>
    <row r="515" spans="1:35" ht="15">
      <c r="A515" s="155"/>
      <c r="B515" s="155"/>
      <c r="C515" s="155"/>
      <c r="D515" s="155"/>
      <c r="E515" s="155"/>
      <c r="F515" s="155"/>
      <c r="G515" s="155"/>
      <c r="H515" s="85" t="s">
        <v>58</v>
      </c>
      <c r="I515" s="147"/>
      <c r="J515" s="84"/>
      <c r="K515" s="84"/>
      <c r="L515" s="86" t="b">
        <v>0</v>
      </c>
      <c r="M515" s="86" t="b">
        <v>0</v>
      </c>
      <c r="N515" s="83"/>
      <c r="O515" s="83"/>
      <c r="P515" s="87">
        <f t="shared" si="79"/>
        <v>0</v>
      </c>
      <c r="Q515" s="83"/>
      <c r="R515" s="84"/>
      <c r="S515" s="83"/>
      <c r="T515" s="83"/>
      <c r="U515" s="87">
        <f t="shared" si="80"/>
        <v>0</v>
      </c>
      <c r="V515" s="84"/>
      <c r="W515" s="84"/>
      <c r="X515" s="133"/>
      <c r="Y515" s="133"/>
      <c r="Z515" s="121"/>
      <c r="AA515" s="133"/>
      <c r="AB515" s="121"/>
      <c r="AC515" s="121"/>
      <c r="AD515" s="121"/>
      <c r="AE515" s="84"/>
      <c r="AF515" s="84"/>
      <c r="AG515" s="122"/>
      <c r="AH515" s="122"/>
      <c r="AI515" s="148"/>
    </row>
    <row r="516" spans="1:35" ht="15">
      <c r="A516" s="155"/>
      <c r="B516" s="155"/>
      <c r="C516" s="155"/>
      <c r="D516" s="157" t="s">
        <v>455</v>
      </c>
      <c r="E516" s="175" t="s">
        <v>459</v>
      </c>
      <c r="F516" s="156" t="s">
        <v>457</v>
      </c>
      <c r="G516" s="158"/>
      <c r="H516" s="5" t="s">
        <v>458</v>
      </c>
      <c r="I516" s="150"/>
      <c r="J516" s="9"/>
      <c r="K516" s="9"/>
      <c r="L516" s="11" t="b">
        <v>0</v>
      </c>
      <c r="M516" s="11" t="b">
        <v>0</v>
      </c>
      <c r="N516" s="7"/>
      <c r="O516" s="7"/>
      <c r="P516" s="8">
        <f t="shared" si="79"/>
        <v>0</v>
      </c>
      <c r="Q516" s="7"/>
      <c r="R516" s="9"/>
      <c r="S516" s="7"/>
      <c r="T516" s="7"/>
      <c r="U516" s="8">
        <f t="shared" si="80"/>
        <v>0</v>
      </c>
      <c r="V516" s="9"/>
      <c r="W516" s="9"/>
      <c r="X516" s="9"/>
      <c r="Y516" s="9"/>
      <c r="Z516" s="5"/>
      <c r="AA516" s="9"/>
      <c r="AB516" s="5"/>
      <c r="AC516" s="5"/>
      <c r="AD516" s="5"/>
      <c r="AE516" s="9"/>
      <c r="AF516" s="9"/>
      <c r="AG516" s="26"/>
      <c r="AH516" s="26"/>
      <c r="AI516" s="151"/>
    </row>
    <row r="517" spans="1:35" ht="12.75">
      <c r="A517" s="155"/>
      <c r="B517" s="155"/>
      <c r="C517" s="155"/>
      <c r="D517" s="155"/>
      <c r="E517" s="155"/>
      <c r="F517" s="155"/>
      <c r="G517" s="155"/>
      <c r="H517" s="5" t="s">
        <v>58</v>
      </c>
      <c r="I517" s="152"/>
      <c r="J517" s="9"/>
      <c r="K517" s="9"/>
      <c r="L517" s="11" t="b">
        <v>0</v>
      </c>
      <c r="M517" s="11" t="b">
        <v>0</v>
      </c>
      <c r="N517" s="7"/>
      <c r="O517" s="7"/>
      <c r="P517" s="8">
        <f t="shared" si="79"/>
        <v>0</v>
      </c>
      <c r="Q517" s="7"/>
      <c r="R517" s="9"/>
      <c r="S517" s="7"/>
      <c r="T517" s="7"/>
      <c r="U517" s="8">
        <f t="shared" si="80"/>
        <v>0</v>
      </c>
      <c r="V517" s="9"/>
      <c r="W517" s="9"/>
      <c r="X517" s="9"/>
      <c r="Y517" s="9"/>
      <c r="Z517" s="5"/>
      <c r="AA517" s="9"/>
      <c r="AB517" s="5"/>
      <c r="AC517" s="5"/>
      <c r="AD517" s="5"/>
      <c r="AE517" s="9"/>
      <c r="AF517" s="9"/>
      <c r="AG517" s="26"/>
      <c r="AH517" s="26"/>
      <c r="AI517" s="26"/>
    </row>
    <row r="518" spans="1:35" ht="15">
      <c r="A518" s="155"/>
      <c r="B518" s="155"/>
      <c r="C518" s="155"/>
      <c r="D518" s="176" t="s">
        <v>460</v>
      </c>
      <c r="E518" s="177" t="s">
        <v>461</v>
      </c>
      <c r="F518" s="176" t="s">
        <v>462</v>
      </c>
      <c r="G518" s="178"/>
      <c r="H518" s="85" t="s">
        <v>49</v>
      </c>
      <c r="I518" s="135"/>
      <c r="J518" s="84"/>
      <c r="K518" s="84"/>
      <c r="L518" s="86" t="b">
        <v>0</v>
      </c>
      <c r="M518" s="86" t="b">
        <v>0</v>
      </c>
      <c r="N518" s="83"/>
      <c r="O518" s="83"/>
      <c r="P518" s="87">
        <f t="shared" si="79"/>
        <v>0</v>
      </c>
      <c r="Q518" s="83"/>
      <c r="R518" s="84"/>
      <c r="S518" s="83"/>
      <c r="T518" s="83"/>
      <c r="U518" s="87">
        <f t="shared" si="80"/>
        <v>0</v>
      </c>
      <c r="V518" s="84"/>
      <c r="W518" s="84"/>
      <c r="X518" s="84"/>
      <c r="Y518" s="84"/>
      <c r="Z518" s="85"/>
      <c r="AA518" s="84"/>
      <c r="AB518" s="85"/>
      <c r="AC518" s="85"/>
      <c r="AD518" s="85"/>
      <c r="AE518" s="84"/>
      <c r="AF518" s="84"/>
      <c r="AG518" s="122"/>
      <c r="AH518" s="122"/>
      <c r="AI518" s="153"/>
    </row>
    <row r="519" spans="1:35" ht="15">
      <c r="A519" s="155"/>
      <c r="B519" s="155"/>
      <c r="C519" s="155"/>
      <c r="D519" s="155"/>
      <c r="E519" s="155"/>
      <c r="F519" s="155"/>
      <c r="G519" s="155"/>
      <c r="H519" s="85" t="s">
        <v>58</v>
      </c>
      <c r="I519" s="135"/>
      <c r="J519" s="84"/>
      <c r="K519" s="84"/>
      <c r="L519" s="86" t="b">
        <v>0</v>
      </c>
      <c r="M519" s="86" t="b">
        <v>0</v>
      </c>
      <c r="N519" s="83"/>
      <c r="O519" s="83"/>
      <c r="P519" s="87">
        <f t="shared" si="79"/>
        <v>0</v>
      </c>
      <c r="Q519" s="83"/>
      <c r="R519" s="84"/>
      <c r="S519" s="83"/>
      <c r="T519" s="83"/>
      <c r="U519" s="87">
        <f t="shared" si="80"/>
        <v>0</v>
      </c>
      <c r="V519" s="84"/>
      <c r="W519" s="84"/>
      <c r="X519" s="133"/>
      <c r="Y519" s="133"/>
      <c r="Z519" s="121"/>
      <c r="AA519" s="133"/>
      <c r="AB519" s="121"/>
      <c r="AC519" s="121"/>
      <c r="AD519" s="121"/>
      <c r="AE519" s="84"/>
      <c r="AF519" s="84"/>
      <c r="AG519" s="122"/>
      <c r="AH519" s="122"/>
      <c r="AI519" s="153"/>
    </row>
    <row r="520" spans="1:35" ht="15">
      <c r="A520" s="155"/>
      <c r="B520" s="155"/>
      <c r="C520" s="155"/>
      <c r="D520" s="157" t="s">
        <v>453</v>
      </c>
      <c r="E520" s="157" t="s">
        <v>463</v>
      </c>
      <c r="F520" s="157" t="s">
        <v>464</v>
      </c>
      <c r="G520" s="158"/>
      <c r="H520" s="5" t="s">
        <v>465</v>
      </c>
      <c r="I520" s="22"/>
      <c r="J520" s="9"/>
      <c r="K520" s="9"/>
      <c r="L520" s="11" t="b">
        <v>0</v>
      </c>
      <c r="M520" s="11" t="b">
        <v>0</v>
      </c>
      <c r="N520" s="7"/>
      <c r="O520" s="7"/>
      <c r="P520" s="8">
        <f t="shared" si="79"/>
        <v>0</v>
      </c>
      <c r="Q520" s="7"/>
      <c r="R520" s="9"/>
      <c r="S520" s="7"/>
      <c r="T520" s="7"/>
      <c r="U520" s="8">
        <f t="shared" si="80"/>
        <v>0</v>
      </c>
      <c r="V520" s="9"/>
      <c r="W520" s="9"/>
      <c r="X520" s="18"/>
      <c r="Y520" s="18"/>
      <c r="Z520" s="19"/>
      <c r="AA520" s="18"/>
      <c r="AB520" s="19"/>
      <c r="AC520" s="19"/>
      <c r="AD520" s="19"/>
      <c r="AE520" s="9"/>
      <c r="AF520" s="9"/>
      <c r="AG520" s="26"/>
      <c r="AH520" s="26"/>
      <c r="AI520" s="151"/>
    </row>
    <row r="521" spans="1:35" ht="15">
      <c r="A521" s="155"/>
      <c r="B521" s="155"/>
      <c r="C521" s="155"/>
      <c r="D521" s="155"/>
      <c r="E521" s="155"/>
      <c r="F521" s="155"/>
      <c r="G521" s="155"/>
      <c r="H521" s="5" t="s">
        <v>58</v>
      </c>
      <c r="I521" s="22"/>
      <c r="J521" s="9"/>
      <c r="K521" s="9"/>
      <c r="L521" s="11" t="b">
        <v>0</v>
      </c>
      <c r="M521" s="11" t="b">
        <v>0</v>
      </c>
      <c r="N521" s="7"/>
      <c r="O521" s="7"/>
      <c r="P521" s="8">
        <f t="shared" si="79"/>
        <v>0</v>
      </c>
      <c r="Q521" s="7"/>
      <c r="R521" s="9"/>
      <c r="S521" s="7"/>
      <c r="T521" s="7"/>
      <c r="U521" s="8">
        <f t="shared" si="80"/>
        <v>0</v>
      </c>
      <c r="V521" s="9"/>
      <c r="W521" s="9"/>
      <c r="X521" s="18"/>
      <c r="Y521" s="18"/>
      <c r="Z521" s="19"/>
      <c r="AA521" s="18"/>
      <c r="AB521" s="19"/>
      <c r="AC521" s="19"/>
      <c r="AD521" s="19"/>
      <c r="AE521" s="9"/>
      <c r="AF521" s="9"/>
      <c r="AG521" s="26"/>
      <c r="AH521" s="26"/>
      <c r="AI521" s="151"/>
    </row>
    <row r="522" spans="1:35" ht="12.75">
      <c r="A522" s="123"/>
      <c r="B522" s="123"/>
      <c r="C522" s="123"/>
      <c r="D522" s="124"/>
      <c r="E522" s="124"/>
      <c r="F522" s="124"/>
      <c r="G522" s="125"/>
      <c r="H522" s="124"/>
      <c r="I522" s="136"/>
      <c r="J522" s="125"/>
      <c r="K522" s="125"/>
      <c r="L522" s="125"/>
      <c r="M522" s="125"/>
      <c r="N522" s="127"/>
      <c r="O522" s="127"/>
      <c r="P522" s="128"/>
      <c r="Q522" s="127"/>
      <c r="R522" s="125"/>
      <c r="S522" s="127"/>
      <c r="T522" s="127"/>
      <c r="U522" s="128"/>
      <c r="V522" s="125"/>
      <c r="W522" s="125"/>
      <c r="X522" s="125"/>
      <c r="Y522" s="125"/>
      <c r="Z522" s="124"/>
      <c r="AA522" s="125"/>
      <c r="AB522" s="124"/>
      <c r="AC522" s="124"/>
      <c r="AD522" s="124"/>
      <c r="AE522" s="125"/>
      <c r="AF522" s="125"/>
      <c r="AG522" s="125"/>
      <c r="AH522" s="125"/>
      <c r="AI522" s="125"/>
    </row>
    <row r="523" spans="1:35" ht="12.75">
      <c r="A523" s="168" t="s">
        <v>474</v>
      </c>
      <c r="B523" s="167" t="s">
        <v>45</v>
      </c>
      <c r="C523" s="167" t="s">
        <v>46</v>
      </c>
      <c r="D523" s="162" t="s">
        <v>453</v>
      </c>
      <c r="E523" s="160" t="s">
        <v>47</v>
      </c>
      <c r="F523" s="162" t="s">
        <v>454</v>
      </c>
      <c r="G523" s="164"/>
      <c r="H523" s="77" t="s">
        <v>49</v>
      </c>
      <c r="I523" s="108"/>
      <c r="J523" s="78"/>
      <c r="K523" s="78"/>
      <c r="L523" s="79" t="b">
        <v>0</v>
      </c>
      <c r="M523" s="79" t="b">
        <v>0</v>
      </c>
      <c r="N523" s="81"/>
      <c r="O523" s="81"/>
      <c r="P523" s="80">
        <f t="shared" ref="P523:P534" si="81">N523+O523</f>
        <v>0</v>
      </c>
      <c r="Q523" s="81"/>
      <c r="R523" s="78"/>
      <c r="S523" s="81"/>
      <c r="T523" s="81"/>
      <c r="U523" s="80">
        <f t="shared" ref="U523:U534" si="82">S523+T523</f>
        <v>0</v>
      </c>
      <c r="V523" s="78"/>
      <c r="W523" s="78"/>
      <c r="X523" s="78"/>
      <c r="Y523" s="78"/>
      <c r="Z523" s="77"/>
      <c r="AA523" s="78"/>
      <c r="AB523" s="77"/>
      <c r="AC523" s="77"/>
      <c r="AD523" s="77"/>
      <c r="AE523" s="78"/>
      <c r="AF523" s="78"/>
      <c r="AG523" s="109"/>
      <c r="AH523" s="109"/>
      <c r="AI523" s="78"/>
    </row>
    <row r="524" spans="1:35" ht="12.75">
      <c r="A524" s="155"/>
      <c r="B524" s="155"/>
      <c r="C524" s="155"/>
      <c r="D524" s="155"/>
      <c r="E524" s="155"/>
      <c r="F524" s="155"/>
      <c r="G524" s="155"/>
      <c r="H524" s="85" t="s">
        <v>58</v>
      </c>
      <c r="I524" s="112"/>
      <c r="J524" s="84"/>
      <c r="K524" s="84"/>
      <c r="L524" s="86" t="b">
        <v>0</v>
      </c>
      <c r="M524" s="86" t="b">
        <v>0</v>
      </c>
      <c r="N524" s="83"/>
      <c r="O524" s="83"/>
      <c r="P524" s="87">
        <f t="shared" si="81"/>
        <v>0</v>
      </c>
      <c r="Q524" s="83"/>
      <c r="R524" s="84"/>
      <c r="S524" s="83"/>
      <c r="T524" s="83"/>
      <c r="U524" s="87">
        <f t="shared" si="82"/>
        <v>0</v>
      </c>
      <c r="V524" s="84"/>
      <c r="W524" s="84"/>
      <c r="X524" s="84"/>
      <c r="Y524" s="84"/>
      <c r="Z524" s="85"/>
      <c r="AA524" s="84"/>
      <c r="AB524" s="85"/>
      <c r="AC524" s="85"/>
      <c r="AD524" s="85"/>
      <c r="AE524" s="84"/>
      <c r="AF524" s="84"/>
      <c r="AG524" s="110"/>
      <c r="AH524" s="110"/>
      <c r="AI524" s="84"/>
    </row>
    <row r="525" spans="1:35" ht="12.75">
      <c r="A525" s="155"/>
      <c r="B525" s="155"/>
      <c r="C525" s="155"/>
      <c r="D525" s="157" t="s">
        <v>453</v>
      </c>
      <c r="E525" s="157" t="s">
        <v>59</v>
      </c>
      <c r="F525" s="157" t="s">
        <v>454</v>
      </c>
      <c r="G525" s="158"/>
      <c r="H525" s="5" t="s">
        <v>49</v>
      </c>
      <c r="I525" s="17"/>
      <c r="J525" s="9"/>
      <c r="K525" s="9"/>
      <c r="L525" s="11" t="b">
        <v>0</v>
      </c>
      <c r="M525" s="11" t="b">
        <v>0</v>
      </c>
      <c r="N525" s="7"/>
      <c r="O525" s="7"/>
      <c r="P525" s="8">
        <f t="shared" si="81"/>
        <v>0</v>
      </c>
      <c r="Q525" s="7"/>
      <c r="R525" s="9"/>
      <c r="S525" s="7"/>
      <c r="T525" s="7"/>
      <c r="U525" s="8">
        <f t="shared" si="82"/>
        <v>0</v>
      </c>
      <c r="V525" s="9"/>
      <c r="W525" s="9"/>
      <c r="X525" s="18"/>
      <c r="Y525" s="18"/>
      <c r="Z525" s="19"/>
      <c r="AA525" s="18"/>
      <c r="AB525" s="19"/>
      <c r="AC525" s="19"/>
      <c r="AD525" s="19"/>
      <c r="AE525" s="9"/>
      <c r="AF525" s="9"/>
      <c r="AG525" s="26"/>
      <c r="AH525" s="26"/>
      <c r="AI525" s="89"/>
    </row>
    <row r="526" spans="1:35" ht="12.75">
      <c r="A526" s="155"/>
      <c r="B526" s="155"/>
      <c r="C526" s="155"/>
      <c r="D526" s="155"/>
      <c r="E526" s="155"/>
      <c r="F526" s="155"/>
      <c r="G526" s="155"/>
      <c r="H526" s="5" t="s">
        <v>58</v>
      </c>
      <c r="I526" s="22"/>
      <c r="J526" s="9"/>
      <c r="K526" s="9"/>
      <c r="L526" s="11" t="b">
        <v>0</v>
      </c>
      <c r="M526" s="11" t="b">
        <v>0</v>
      </c>
      <c r="N526" s="7"/>
      <c r="O526" s="7"/>
      <c r="P526" s="8">
        <f t="shared" si="81"/>
        <v>0</v>
      </c>
      <c r="Q526" s="7"/>
      <c r="R526" s="9"/>
      <c r="S526" s="7"/>
      <c r="T526" s="7"/>
      <c r="U526" s="8">
        <f t="shared" si="82"/>
        <v>0</v>
      </c>
      <c r="V526" s="9"/>
      <c r="W526" s="9"/>
      <c r="X526" s="18"/>
      <c r="Y526" s="18"/>
      <c r="Z526" s="19"/>
      <c r="AA526" s="18"/>
      <c r="AB526" s="19"/>
      <c r="AC526" s="19"/>
      <c r="AD526" s="19"/>
      <c r="AE526" s="9"/>
      <c r="AF526" s="9"/>
      <c r="AG526" s="26"/>
      <c r="AH526" s="26"/>
      <c r="AI526" s="9"/>
    </row>
    <row r="527" spans="1:35" ht="15">
      <c r="A527" s="155"/>
      <c r="B527" s="155"/>
      <c r="C527" s="155"/>
      <c r="D527" s="176" t="s">
        <v>455</v>
      </c>
      <c r="E527" s="176" t="s">
        <v>456</v>
      </c>
      <c r="F527" s="177" t="s">
        <v>457</v>
      </c>
      <c r="G527" s="178"/>
      <c r="H527" s="85" t="s">
        <v>458</v>
      </c>
      <c r="I527" s="147"/>
      <c r="J527" s="84"/>
      <c r="K527" s="84"/>
      <c r="L527" s="86" t="b">
        <v>0</v>
      </c>
      <c r="M527" s="86" t="b">
        <v>0</v>
      </c>
      <c r="N527" s="83"/>
      <c r="O527" s="83"/>
      <c r="P527" s="87">
        <f t="shared" si="81"/>
        <v>0</v>
      </c>
      <c r="Q527" s="83"/>
      <c r="R527" s="84"/>
      <c r="S527" s="83"/>
      <c r="T527" s="83"/>
      <c r="U527" s="87">
        <f t="shared" si="82"/>
        <v>0</v>
      </c>
      <c r="V527" s="84"/>
      <c r="W527" s="84"/>
      <c r="X527" s="133"/>
      <c r="Y527" s="133"/>
      <c r="Z527" s="121"/>
      <c r="AA527" s="133"/>
      <c r="AB527" s="121"/>
      <c r="AC527" s="121"/>
      <c r="AD527" s="121"/>
      <c r="AE527" s="84"/>
      <c r="AF527" s="84"/>
      <c r="AG527" s="122"/>
      <c r="AH527" s="122"/>
      <c r="AI527" s="84"/>
    </row>
    <row r="528" spans="1:35" ht="15">
      <c r="A528" s="155"/>
      <c r="B528" s="155"/>
      <c r="C528" s="155"/>
      <c r="D528" s="155"/>
      <c r="E528" s="155"/>
      <c r="F528" s="155"/>
      <c r="G528" s="155"/>
      <c r="H528" s="85" t="s">
        <v>58</v>
      </c>
      <c r="I528" s="147"/>
      <c r="J528" s="84"/>
      <c r="K528" s="84"/>
      <c r="L528" s="86" t="b">
        <v>0</v>
      </c>
      <c r="M528" s="86" t="b">
        <v>0</v>
      </c>
      <c r="N528" s="83"/>
      <c r="O528" s="83"/>
      <c r="P528" s="87">
        <f t="shared" si="81"/>
        <v>0</v>
      </c>
      <c r="Q528" s="83"/>
      <c r="R528" s="84"/>
      <c r="S528" s="83"/>
      <c r="T528" s="83"/>
      <c r="U528" s="87">
        <f t="shared" si="82"/>
        <v>0</v>
      </c>
      <c r="V528" s="84"/>
      <c r="W528" s="84"/>
      <c r="X528" s="133"/>
      <c r="Y528" s="133"/>
      <c r="Z528" s="121"/>
      <c r="AA528" s="133"/>
      <c r="AB528" s="121"/>
      <c r="AC528" s="121"/>
      <c r="AD528" s="121"/>
      <c r="AE528" s="84"/>
      <c r="AF528" s="84"/>
      <c r="AG528" s="122"/>
      <c r="AH528" s="122"/>
      <c r="AI528" s="148"/>
    </row>
    <row r="529" spans="1:35" ht="15">
      <c r="A529" s="155"/>
      <c r="B529" s="155"/>
      <c r="C529" s="155"/>
      <c r="D529" s="157" t="s">
        <v>455</v>
      </c>
      <c r="E529" s="175" t="s">
        <v>459</v>
      </c>
      <c r="F529" s="156" t="s">
        <v>457</v>
      </c>
      <c r="G529" s="158"/>
      <c r="H529" s="5" t="s">
        <v>458</v>
      </c>
      <c r="I529" s="150"/>
      <c r="J529" s="9"/>
      <c r="K529" s="9"/>
      <c r="L529" s="11" t="b">
        <v>0</v>
      </c>
      <c r="M529" s="11" t="b">
        <v>0</v>
      </c>
      <c r="N529" s="7"/>
      <c r="O529" s="7"/>
      <c r="P529" s="8">
        <f t="shared" si="81"/>
        <v>0</v>
      </c>
      <c r="Q529" s="7"/>
      <c r="R529" s="9"/>
      <c r="S529" s="7"/>
      <c r="T529" s="7"/>
      <c r="U529" s="8">
        <f t="shared" si="82"/>
        <v>0</v>
      </c>
      <c r="V529" s="9"/>
      <c r="W529" s="9"/>
      <c r="X529" s="9"/>
      <c r="Y529" s="9"/>
      <c r="Z529" s="5"/>
      <c r="AA529" s="9"/>
      <c r="AB529" s="5"/>
      <c r="AC529" s="5"/>
      <c r="AD529" s="5"/>
      <c r="AE529" s="9"/>
      <c r="AF529" s="9"/>
      <c r="AG529" s="26"/>
      <c r="AH529" s="26"/>
      <c r="AI529" s="151"/>
    </row>
    <row r="530" spans="1:35" ht="12.75">
      <c r="A530" s="155"/>
      <c r="B530" s="155"/>
      <c r="C530" s="155"/>
      <c r="D530" s="155"/>
      <c r="E530" s="155"/>
      <c r="F530" s="155"/>
      <c r="G530" s="155"/>
      <c r="H530" s="5" t="s">
        <v>58</v>
      </c>
      <c r="I530" s="152"/>
      <c r="J530" s="9"/>
      <c r="K530" s="9"/>
      <c r="L530" s="11" t="b">
        <v>0</v>
      </c>
      <c r="M530" s="11" t="b">
        <v>0</v>
      </c>
      <c r="N530" s="7"/>
      <c r="O530" s="7"/>
      <c r="P530" s="8">
        <f t="shared" si="81"/>
        <v>0</v>
      </c>
      <c r="Q530" s="7"/>
      <c r="R530" s="9"/>
      <c r="S530" s="7"/>
      <c r="T530" s="7"/>
      <c r="U530" s="8">
        <f t="shared" si="82"/>
        <v>0</v>
      </c>
      <c r="V530" s="9"/>
      <c r="W530" s="9"/>
      <c r="X530" s="9"/>
      <c r="Y530" s="9"/>
      <c r="Z530" s="5"/>
      <c r="AA530" s="9"/>
      <c r="AB530" s="5"/>
      <c r="AC530" s="5"/>
      <c r="AD530" s="5"/>
      <c r="AE530" s="9"/>
      <c r="AF530" s="9"/>
      <c r="AG530" s="26"/>
      <c r="AH530" s="26"/>
      <c r="AI530" s="26"/>
    </row>
    <row r="531" spans="1:35" ht="15">
      <c r="A531" s="155"/>
      <c r="B531" s="155"/>
      <c r="C531" s="155"/>
      <c r="D531" s="176" t="s">
        <v>460</v>
      </c>
      <c r="E531" s="177" t="s">
        <v>461</v>
      </c>
      <c r="F531" s="176" t="s">
        <v>462</v>
      </c>
      <c r="G531" s="178"/>
      <c r="H531" s="85" t="s">
        <v>49</v>
      </c>
      <c r="I531" s="135"/>
      <c r="J531" s="84"/>
      <c r="K531" s="84"/>
      <c r="L531" s="86" t="b">
        <v>0</v>
      </c>
      <c r="M531" s="86" t="b">
        <v>0</v>
      </c>
      <c r="N531" s="83"/>
      <c r="O531" s="83"/>
      <c r="P531" s="87">
        <f t="shared" si="81"/>
        <v>0</v>
      </c>
      <c r="Q531" s="83"/>
      <c r="R531" s="84"/>
      <c r="S531" s="83"/>
      <c r="T531" s="83"/>
      <c r="U531" s="87">
        <f t="shared" si="82"/>
        <v>0</v>
      </c>
      <c r="V531" s="84"/>
      <c r="W531" s="84"/>
      <c r="X531" s="84"/>
      <c r="Y531" s="84"/>
      <c r="Z531" s="85"/>
      <c r="AA531" s="84"/>
      <c r="AB531" s="85"/>
      <c r="AC531" s="85"/>
      <c r="AD531" s="85"/>
      <c r="AE531" s="84"/>
      <c r="AF531" s="84"/>
      <c r="AG531" s="122"/>
      <c r="AH531" s="122"/>
      <c r="AI531" s="153"/>
    </row>
    <row r="532" spans="1:35" ht="15">
      <c r="A532" s="155"/>
      <c r="B532" s="155"/>
      <c r="C532" s="155"/>
      <c r="D532" s="155"/>
      <c r="E532" s="155"/>
      <c r="F532" s="155"/>
      <c r="G532" s="155"/>
      <c r="H532" s="85" t="s">
        <v>58</v>
      </c>
      <c r="I532" s="135"/>
      <c r="J532" s="84"/>
      <c r="K532" s="84"/>
      <c r="L532" s="86" t="b">
        <v>0</v>
      </c>
      <c r="M532" s="86" t="b">
        <v>0</v>
      </c>
      <c r="N532" s="83"/>
      <c r="O532" s="83"/>
      <c r="P532" s="87">
        <f t="shared" si="81"/>
        <v>0</v>
      </c>
      <c r="Q532" s="83"/>
      <c r="R532" s="84"/>
      <c r="S532" s="83"/>
      <c r="T532" s="83"/>
      <c r="U532" s="87">
        <f t="shared" si="82"/>
        <v>0</v>
      </c>
      <c r="V532" s="84"/>
      <c r="W532" s="84"/>
      <c r="X532" s="133"/>
      <c r="Y532" s="133"/>
      <c r="Z532" s="121"/>
      <c r="AA532" s="133"/>
      <c r="AB532" s="121"/>
      <c r="AC532" s="121"/>
      <c r="AD532" s="121"/>
      <c r="AE532" s="84"/>
      <c r="AF532" s="84"/>
      <c r="AG532" s="122"/>
      <c r="AH532" s="122"/>
      <c r="AI532" s="153"/>
    </row>
    <row r="533" spans="1:35" ht="15">
      <c r="A533" s="155"/>
      <c r="B533" s="155"/>
      <c r="C533" s="155"/>
      <c r="D533" s="157" t="s">
        <v>453</v>
      </c>
      <c r="E533" s="157" t="s">
        <v>463</v>
      </c>
      <c r="F533" s="157" t="s">
        <v>464</v>
      </c>
      <c r="G533" s="158"/>
      <c r="H533" s="5" t="s">
        <v>465</v>
      </c>
      <c r="I533" s="22"/>
      <c r="J533" s="9"/>
      <c r="K533" s="9"/>
      <c r="L533" s="11" t="b">
        <v>0</v>
      </c>
      <c r="M533" s="11" t="b">
        <v>0</v>
      </c>
      <c r="N533" s="7"/>
      <c r="O533" s="7"/>
      <c r="P533" s="8">
        <f t="shared" si="81"/>
        <v>0</v>
      </c>
      <c r="Q533" s="7"/>
      <c r="R533" s="9"/>
      <c r="S533" s="7"/>
      <c r="T533" s="7"/>
      <c r="U533" s="8">
        <f t="shared" si="82"/>
        <v>0</v>
      </c>
      <c r="V533" s="9"/>
      <c r="W533" s="9"/>
      <c r="X533" s="18"/>
      <c r="Y533" s="18"/>
      <c r="Z533" s="19"/>
      <c r="AA533" s="18"/>
      <c r="AB533" s="19"/>
      <c r="AC533" s="19"/>
      <c r="AD533" s="19"/>
      <c r="AE533" s="9"/>
      <c r="AF533" s="9"/>
      <c r="AG533" s="26"/>
      <c r="AH533" s="26"/>
      <c r="AI533" s="151"/>
    </row>
    <row r="534" spans="1:35" ht="15">
      <c r="A534" s="155"/>
      <c r="B534" s="155"/>
      <c r="C534" s="155"/>
      <c r="D534" s="155"/>
      <c r="E534" s="155"/>
      <c r="F534" s="155"/>
      <c r="G534" s="155"/>
      <c r="H534" s="5" t="s">
        <v>58</v>
      </c>
      <c r="I534" s="22"/>
      <c r="J534" s="9"/>
      <c r="K534" s="9"/>
      <c r="L534" s="11" t="b">
        <v>0</v>
      </c>
      <c r="M534" s="11" t="b">
        <v>0</v>
      </c>
      <c r="N534" s="7"/>
      <c r="O534" s="7"/>
      <c r="P534" s="8">
        <f t="shared" si="81"/>
        <v>0</v>
      </c>
      <c r="Q534" s="7"/>
      <c r="R534" s="9"/>
      <c r="S534" s="7"/>
      <c r="T534" s="7"/>
      <c r="U534" s="8">
        <f t="shared" si="82"/>
        <v>0</v>
      </c>
      <c r="V534" s="9"/>
      <c r="W534" s="9"/>
      <c r="X534" s="18"/>
      <c r="Y534" s="18"/>
      <c r="Z534" s="19"/>
      <c r="AA534" s="18"/>
      <c r="AB534" s="19"/>
      <c r="AC534" s="19"/>
      <c r="AD534" s="19"/>
      <c r="AE534" s="9"/>
      <c r="AF534" s="9"/>
      <c r="AG534" s="26"/>
      <c r="AH534" s="26"/>
      <c r="AI534" s="151"/>
    </row>
    <row r="535" spans="1:35" ht="12.75">
      <c r="A535" s="123"/>
      <c r="B535" s="123"/>
      <c r="C535" s="123"/>
      <c r="D535" s="124"/>
      <c r="E535" s="124"/>
      <c r="F535" s="124"/>
      <c r="G535" s="125"/>
      <c r="H535" s="124"/>
      <c r="I535" s="136"/>
      <c r="J535" s="125"/>
      <c r="K535" s="125"/>
      <c r="L535" s="125"/>
      <c r="M535" s="125"/>
      <c r="N535" s="127"/>
      <c r="O535" s="127"/>
      <c r="P535" s="128"/>
      <c r="Q535" s="127"/>
      <c r="R535" s="125"/>
      <c r="S535" s="127"/>
      <c r="T535" s="127"/>
      <c r="U535" s="128"/>
      <c r="V535" s="125"/>
      <c r="W535" s="125"/>
      <c r="X535" s="125"/>
      <c r="Y535" s="125"/>
      <c r="Z535" s="124"/>
      <c r="AA535" s="125"/>
      <c r="AB535" s="124"/>
      <c r="AC535" s="124"/>
      <c r="AD535" s="124"/>
      <c r="AE535" s="125"/>
      <c r="AF535" s="125"/>
      <c r="AG535" s="125"/>
      <c r="AH535" s="125"/>
      <c r="AI535" s="125"/>
    </row>
    <row r="536" spans="1:35" ht="12.75">
      <c r="A536" s="169" t="s">
        <v>433</v>
      </c>
      <c r="B536" s="170" t="s">
        <v>353</v>
      </c>
      <c r="C536" s="170" t="s">
        <v>354</v>
      </c>
      <c r="D536" s="162" t="s">
        <v>453</v>
      </c>
      <c r="E536" s="160" t="s">
        <v>47</v>
      </c>
      <c r="F536" s="162" t="s">
        <v>454</v>
      </c>
      <c r="G536" s="164"/>
      <c r="H536" s="77" t="s">
        <v>49</v>
      </c>
      <c r="I536" s="108"/>
      <c r="J536" s="78"/>
      <c r="K536" s="78"/>
      <c r="L536" s="79" t="b">
        <v>0</v>
      </c>
      <c r="M536" s="79" t="b">
        <v>0</v>
      </c>
      <c r="N536" s="81"/>
      <c r="O536" s="81"/>
      <c r="P536" s="80">
        <f t="shared" ref="P536:P547" si="83">N536+O536</f>
        <v>0</v>
      </c>
      <c r="Q536" s="81"/>
      <c r="R536" s="78"/>
      <c r="S536" s="81"/>
      <c r="T536" s="81"/>
      <c r="U536" s="80">
        <f t="shared" ref="U536:U547" si="84">S536+T536</f>
        <v>0</v>
      </c>
      <c r="V536" s="78"/>
      <c r="W536" s="78"/>
      <c r="X536" s="78"/>
      <c r="Y536" s="78"/>
      <c r="Z536" s="77"/>
      <c r="AA536" s="78"/>
      <c r="AB536" s="77"/>
      <c r="AC536" s="77"/>
      <c r="AD536" s="77"/>
      <c r="AE536" s="78"/>
      <c r="AF536" s="78"/>
      <c r="AG536" s="109"/>
      <c r="AH536" s="109"/>
      <c r="AI536" s="78"/>
    </row>
    <row r="537" spans="1:35" ht="12.75">
      <c r="A537" s="155"/>
      <c r="B537" s="155"/>
      <c r="C537" s="155"/>
      <c r="D537" s="155"/>
      <c r="E537" s="155"/>
      <c r="F537" s="155"/>
      <c r="G537" s="155"/>
      <c r="H537" s="85" t="s">
        <v>58</v>
      </c>
      <c r="I537" s="112"/>
      <c r="J537" s="84"/>
      <c r="K537" s="84"/>
      <c r="L537" s="86" t="b">
        <v>0</v>
      </c>
      <c r="M537" s="86" t="b">
        <v>0</v>
      </c>
      <c r="N537" s="83"/>
      <c r="O537" s="83"/>
      <c r="P537" s="87">
        <f t="shared" si="83"/>
        <v>0</v>
      </c>
      <c r="Q537" s="83"/>
      <c r="R537" s="84"/>
      <c r="S537" s="83"/>
      <c r="T537" s="83"/>
      <c r="U537" s="87">
        <f t="shared" si="84"/>
        <v>0</v>
      </c>
      <c r="V537" s="84"/>
      <c r="W537" s="84"/>
      <c r="X537" s="84"/>
      <c r="Y537" s="84"/>
      <c r="Z537" s="85"/>
      <c r="AA537" s="84"/>
      <c r="AB537" s="85"/>
      <c r="AC537" s="85"/>
      <c r="AD537" s="85"/>
      <c r="AE537" s="84"/>
      <c r="AF537" s="84"/>
      <c r="AG537" s="110"/>
      <c r="AH537" s="110"/>
      <c r="AI537" s="84"/>
    </row>
    <row r="538" spans="1:35" ht="12.75">
      <c r="A538" s="155"/>
      <c r="B538" s="155"/>
      <c r="C538" s="155"/>
      <c r="D538" s="157" t="s">
        <v>453</v>
      </c>
      <c r="E538" s="157" t="s">
        <v>59</v>
      </c>
      <c r="F538" s="157" t="s">
        <v>454</v>
      </c>
      <c r="G538" s="158"/>
      <c r="H538" s="5" t="s">
        <v>49</v>
      </c>
      <c r="I538" s="17"/>
      <c r="J538" s="9"/>
      <c r="K538" s="9"/>
      <c r="L538" s="11" t="b">
        <v>0</v>
      </c>
      <c r="M538" s="11" t="b">
        <v>0</v>
      </c>
      <c r="N538" s="7"/>
      <c r="O538" s="7"/>
      <c r="P538" s="8">
        <f t="shared" si="83"/>
        <v>0</v>
      </c>
      <c r="Q538" s="7"/>
      <c r="R538" s="9"/>
      <c r="S538" s="7"/>
      <c r="T538" s="7"/>
      <c r="U538" s="8">
        <f t="shared" si="84"/>
        <v>0</v>
      </c>
      <c r="V538" s="9"/>
      <c r="W538" s="9"/>
      <c r="X538" s="18"/>
      <c r="Y538" s="18"/>
      <c r="Z538" s="19"/>
      <c r="AA538" s="18"/>
      <c r="AB538" s="19"/>
      <c r="AC538" s="19"/>
      <c r="AD538" s="19"/>
      <c r="AE538" s="9"/>
      <c r="AF538" s="9"/>
      <c r="AG538" s="26"/>
      <c r="AH538" s="26"/>
      <c r="AI538" s="89"/>
    </row>
    <row r="539" spans="1:35" ht="12.75">
      <c r="A539" s="155"/>
      <c r="B539" s="155"/>
      <c r="C539" s="155"/>
      <c r="D539" s="155"/>
      <c r="E539" s="155"/>
      <c r="F539" s="155"/>
      <c r="G539" s="155"/>
      <c r="H539" s="5" t="s">
        <v>58</v>
      </c>
      <c r="I539" s="22"/>
      <c r="J539" s="9"/>
      <c r="K539" s="9"/>
      <c r="L539" s="11" t="b">
        <v>0</v>
      </c>
      <c r="M539" s="11" t="b">
        <v>0</v>
      </c>
      <c r="N539" s="7"/>
      <c r="O539" s="7"/>
      <c r="P539" s="8">
        <f t="shared" si="83"/>
        <v>0</v>
      </c>
      <c r="Q539" s="7"/>
      <c r="R539" s="9"/>
      <c r="S539" s="7"/>
      <c r="T539" s="7"/>
      <c r="U539" s="8">
        <f t="shared" si="84"/>
        <v>0</v>
      </c>
      <c r="V539" s="9"/>
      <c r="W539" s="9"/>
      <c r="X539" s="18"/>
      <c r="Y539" s="18"/>
      <c r="Z539" s="19"/>
      <c r="AA539" s="18"/>
      <c r="AB539" s="19"/>
      <c r="AC539" s="19"/>
      <c r="AD539" s="19"/>
      <c r="AE539" s="9"/>
      <c r="AF539" s="9"/>
      <c r="AG539" s="26"/>
      <c r="AH539" s="26"/>
      <c r="AI539" s="9"/>
    </row>
    <row r="540" spans="1:35" ht="15">
      <c r="A540" s="155"/>
      <c r="B540" s="155"/>
      <c r="C540" s="155"/>
      <c r="D540" s="176" t="s">
        <v>455</v>
      </c>
      <c r="E540" s="176" t="s">
        <v>456</v>
      </c>
      <c r="F540" s="177" t="s">
        <v>457</v>
      </c>
      <c r="G540" s="178"/>
      <c r="H540" s="85" t="s">
        <v>458</v>
      </c>
      <c r="I540" s="147"/>
      <c r="J540" s="84"/>
      <c r="K540" s="84"/>
      <c r="L540" s="86" t="b">
        <v>0</v>
      </c>
      <c r="M540" s="86" t="b">
        <v>0</v>
      </c>
      <c r="N540" s="83"/>
      <c r="O540" s="83"/>
      <c r="P540" s="87">
        <f t="shared" si="83"/>
        <v>0</v>
      </c>
      <c r="Q540" s="83"/>
      <c r="R540" s="84"/>
      <c r="S540" s="83"/>
      <c r="T540" s="83"/>
      <c r="U540" s="87">
        <f t="shared" si="84"/>
        <v>0</v>
      </c>
      <c r="V540" s="84"/>
      <c r="W540" s="84"/>
      <c r="X540" s="133"/>
      <c r="Y540" s="133"/>
      <c r="Z540" s="121"/>
      <c r="AA540" s="133"/>
      <c r="AB540" s="121"/>
      <c r="AC540" s="121"/>
      <c r="AD540" s="121"/>
      <c r="AE540" s="84"/>
      <c r="AF540" s="84"/>
      <c r="AG540" s="122"/>
      <c r="AH540" s="122"/>
      <c r="AI540" s="84"/>
    </row>
    <row r="541" spans="1:35" ht="15">
      <c r="A541" s="155"/>
      <c r="B541" s="155"/>
      <c r="C541" s="155"/>
      <c r="D541" s="155"/>
      <c r="E541" s="155"/>
      <c r="F541" s="155"/>
      <c r="G541" s="155"/>
      <c r="H541" s="85" t="s">
        <v>58</v>
      </c>
      <c r="I541" s="147"/>
      <c r="J541" s="84"/>
      <c r="K541" s="84"/>
      <c r="L541" s="86" t="b">
        <v>0</v>
      </c>
      <c r="M541" s="86" t="b">
        <v>0</v>
      </c>
      <c r="N541" s="83"/>
      <c r="O541" s="83"/>
      <c r="P541" s="87">
        <f t="shared" si="83"/>
        <v>0</v>
      </c>
      <c r="Q541" s="83"/>
      <c r="R541" s="84"/>
      <c r="S541" s="83"/>
      <c r="T541" s="83"/>
      <c r="U541" s="87">
        <f t="shared" si="84"/>
        <v>0</v>
      </c>
      <c r="V541" s="84"/>
      <c r="W541" s="84"/>
      <c r="X541" s="133"/>
      <c r="Y541" s="133"/>
      <c r="Z541" s="121"/>
      <c r="AA541" s="133"/>
      <c r="AB541" s="121"/>
      <c r="AC541" s="121"/>
      <c r="AD541" s="121"/>
      <c r="AE541" s="84"/>
      <c r="AF541" s="84"/>
      <c r="AG541" s="122"/>
      <c r="AH541" s="122"/>
      <c r="AI541" s="148"/>
    </row>
    <row r="542" spans="1:35" ht="15">
      <c r="A542" s="155"/>
      <c r="B542" s="155"/>
      <c r="C542" s="155"/>
      <c r="D542" s="157" t="s">
        <v>455</v>
      </c>
      <c r="E542" s="175" t="s">
        <v>459</v>
      </c>
      <c r="F542" s="156" t="s">
        <v>457</v>
      </c>
      <c r="G542" s="158"/>
      <c r="H542" s="5" t="s">
        <v>458</v>
      </c>
      <c r="I542" s="150"/>
      <c r="J542" s="9"/>
      <c r="K542" s="9"/>
      <c r="L542" s="11" t="b">
        <v>0</v>
      </c>
      <c r="M542" s="11" t="b">
        <v>0</v>
      </c>
      <c r="N542" s="7"/>
      <c r="O542" s="7"/>
      <c r="P542" s="8">
        <f t="shared" si="83"/>
        <v>0</v>
      </c>
      <c r="Q542" s="7"/>
      <c r="R542" s="9"/>
      <c r="S542" s="7"/>
      <c r="T542" s="7"/>
      <c r="U542" s="8">
        <f t="shared" si="84"/>
        <v>0</v>
      </c>
      <c r="V542" s="9"/>
      <c r="W542" s="9"/>
      <c r="X542" s="9"/>
      <c r="Y542" s="9"/>
      <c r="Z542" s="5"/>
      <c r="AA542" s="9"/>
      <c r="AB542" s="5"/>
      <c r="AC542" s="5"/>
      <c r="AD542" s="5"/>
      <c r="AE542" s="9"/>
      <c r="AF542" s="9"/>
      <c r="AG542" s="26"/>
      <c r="AH542" s="26"/>
      <c r="AI542" s="151"/>
    </row>
    <row r="543" spans="1:35" ht="12.75">
      <c r="A543" s="155"/>
      <c r="B543" s="155"/>
      <c r="C543" s="155"/>
      <c r="D543" s="155"/>
      <c r="E543" s="155"/>
      <c r="F543" s="155"/>
      <c r="G543" s="155"/>
      <c r="H543" s="5" t="s">
        <v>58</v>
      </c>
      <c r="I543" s="152"/>
      <c r="J543" s="9"/>
      <c r="K543" s="9"/>
      <c r="L543" s="11" t="b">
        <v>0</v>
      </c>
      <c r="M543" s="11" t="b">
        <v>0</v>
      </c>
      <c r="N543" s="7"/>
      <c r="O543" s="7"/>
      <c r="P543" s="8">
        <f t="shared" si="83"/>
        <v>0</v>
      </c>
      <c r="Q543" s="7"/>
      <c r="R543" s="9"/>
      <c r="S543" s="7"/>
      <c r="T543" s="7"/>
      <c r="U543" s="8">
        <f t="shared" si="84"/>
        <v>0</v>
      </c>
      <c r="V543" s="9"/>
      <c r="W543" s="9"/>
      <c r="X543" s="9"/>
      <c r="Y543" s="9"/>
      <c r="Z543" s="5"/>
      <c r="AA543" s="9"/>
      <c r="AB543" s="5"/>
      <c r="AC543" s="5"/>
      <c r="AD543" s="5"/>
      <c r="AE543" s="9"/>
      <c r="AF543" s="9"/>
      <c r="AG543" s="26"/>
      <c r="AH543" s="26"/>
      <c r="AI543" s="26"/>
    </row>
    <row r="544" spans="1:35" ht="15">
      <c r="A544" s="155"/>
      <c r="B544" s="155"/>
      <c r="C544" s="155"/>
      <c r="D544" s="176" t="s">
        <v>460</v>
      </c>
      <c r="E544" s="177" t="s">
        <v>461</v>
      </c>
      <c r="F544" s="176" t="s">
        <v>462</v>
      </c>
      <c r="G544" s="178"/>
      <c r="H544" s="85" t="s">
        <v>49</v>
      </c>
      <c r="I544" s="135"/>
      <c r="J544" s="84"/>
      <c r="K544" s="84"/>
      <c r="L544" s="86" t="b">
        <v>0</v>
      </c>
      <c r="M544" s="86" t="b">
        <v>0</v>
      </c>
      <c r="N544" s="83"/>
      <c r="O544" s="83"/>
      <c r="P544" s="87">
        <f t="shared" si="83"/>
        <v>0</v>
      </c>
      <c r="Q544" s="83"/>
      <c r="R544" s="84"/>
      <c r="S544" s="83"/>
      <c r="T544" s="83"/>
      <c r="U544" s="87">
        <f t="shared" si="84"/>
        <v>0</v>
      </c>
      <c r="V544" s="84"/>
      <c r="W544" s="84"/>
      <c r="X544" s="84"/>
      <c r="Y544" s="84"/>
      <c r="Z544" s="85"/>
      <c r="AA544" s="84"/>
      <c r="AB544" s="85"/>
      <c r="AC544" s="85"/>
      <c r="AD544" s="85"/>
      <c r="AE544" s="84"/>
      <c r="AF544" s="84"/>
      <c r="AG544" s="122"/>
      <c r="AH544" s="122"/>
      <c r="AI544" s="153"/>
    </row>
    <row r="545" spans="1:35" ht="15">
      <c r="A545" s="155"/>
      <c r="B545" s="155"/>
      <c r="C545" s="155"/>
      <c r="D545" s="155"/>
      <c r="E545" s="155"/>
      <c r="F545" s="155"/>
      <c r="G545" s="155"/>
      <c r="H545" s="85" t="s">
        <v>58</v>
      </c>
      <c r="I545" s="135"/>
      <c r="J545" s="84"/>
      <c r="K545" s="84"/>
      <c r="L545" s="86" t="b">
        <v>0</v>
      </c>
      <c r="M545" s="86" t="b">
        <v>0</v>
      </c>
      <c r="N545" s="83"/>
      <c r="O545" s="83"/>
      <c r="P545" s="87">
        <f t="shared" si="83"/>
        <v>0</v>
      </c>
      <c r="Q545" s="83"/>
      <c r="R545" s="84"/>
      <c r="S545" s="83"/>
      <c r="T545" s="83"/>
      <c r="U545" s="87">
        <f t="shared" si="84"/>
        <v>0</v>
      </c>
      <c r="V545" s="84"/>
      <c r="W545" s="84"/>
      <c r="X545" s="133"/>
      <c r="Y545" s="133"/>
      <c r="Z545" s="121"/>
      <c r="AA545" s="133"/>
      <c r="AB545" s="121"/>
      <c r="AC545" s="121"/>
      <c r="AD545" s="121"/>
      <c r="AE545" s="84"/>
      <c r="AF545" s="84"/>
      <c r="AG545" s="122"/>
      <c r="AH545" s="122"/>
      <c r="AI545" s="153"/>
    </row>
    <row r="546" spans="1:35" ht="15">
      <c r="A546" s="155"/>
      <c r="B546" s="155"/>
      <c r="C546" s="155"/>
      <c r="D546" s="157" t="s">
        <v>453</v>
      </c>
      <c r="E546" s="157" t="s">
        <v>463</v>
      </c>
      <c r="F546" s="157" t="s">
        <v>464</v>
      </c>
      <c r="G546" s="158"/>
      <c r="H546" s="5" t="s">
        <v>465</v>
      </c>
      <c r="I546" s="22"/>
      <c r="J546" s="9"/>
      <c r="K546" s="9"/>
      <c r="L546" s="11" t="b">
        <v>0</v>
      </c>
      <c r="M546" s="11" t="b">
        <v>0</v>
      </c>
      <c r="N546" s="7"/>
      <c r="O546" s="7"/>
      <c r="P546" s="8">
        <f t="shared" si="83"/>
        <v>0</v>
      </c>
      <c r="Q546" s="7"/>
      <c r="R546" s="9"/>
      <c r="S546" s="7"/>
      <c r="T546" s="7"/>
      <c r="U546" s="8">
        <f t="shared" si="84"/>
        <v>0</v>
      </c>
      <c r="V546" s="9"/>
      <c r="W546" s="9"/>
      <c r="X546" s="18"/>
      <c r="Y546" s="18"/>
      <c r="Z546" s="19"/>
      <c r="AA546" s="18"/>
      <c r="AB546" s="19"/>
      <c r="AC546" s="19"/>
      <c r="AD546" s="19"/>
      <c r="AE546" s="9"/>
      <c r="AF546" s="9"/>
      <c r="AG546" s="26"/>
      <c r="AH546" s="26"/>
      <c r="AI546" s="151"/>
    </row>
    <row r="547" spans="1:35" ht="15">
      <c r="A547" s="155"/>
      <c r="B547" s="155"/>
      <c r="C547" s="155"/>
      <c r="D547" s="155"/>
      <c r="E547" s="155"/>
      <c r="F547" s="155"/>
      <c r="G547" s="155"/>
      <c r="H547" s="5" t="s">
        <v>58</v>
      </c>
      <c r="I547" s="22"/>
      <c r="J547" s="9"/>
      <c r="K547" s="9"/>
      <c r="L547" s="11" t="b">
        <v>0</v>
      </c>
      <c r="M547" s="11" t="b">
        <v>0</v>
      </c>
      <c r="N547" s="7"/>
      <c r="O547" s="7"/>
      <c r="P547" s="8">
        <f t="shared" si="83"/>
        <v>0</v>
      </c>
      <c r="Q547" s="7"/>
      <c r="R547" s="9"/>
      <c r="S547" s="7"/>
      <c r="T547" s="7"/>
      <c r="U547" s="8">
        <f t="shared" si="84"/>
        <v>0</v>
      </c>
      <c r="V547" s="9"/>
      <c r="W547" s="9"/>
      <c r="X547" s="18"/>
      <c r="Y547" s="18"/>
      <c r="Z547" s="19"/>
      <c r="AA547" s="18"/>
      <c r="AB547" s="19"/>
      <c r="AC547" s="19"/>
      <c r="AD547" s="19"/>
      <c r="AE547" s="9"/>
      <c r="AF547" s="9"/>
      <c r="AG547" s="26"/>
      <c r="AH547" s="26"/>
      <c r="AI547" s="151"/>
    </row>
    <row r="548" spans="1:35" ht="12.75">
      <c r="A548" s="123"/>
      <c r="B548" s="123"/>
      <c r="C548" s="123"/>
      <c r="D548" s="124"/>
      <c r="E548" s="124"/>
      <c r="F548" s="124"/>
      <c r="G548" s="125"/>
      <c r="H548" s="124"/>
      <c r="I548" s="136"/>
      <c r="J548" s="125"/>
      <c r="K548" s="125"/>
      <c r="L548" s="125"/>
      <c r="M548" s="125"/>
      <c r="N548" s="127"/>
      <c r="O548" s="127"/>
      <c r="P548" s="128"/>
      <c r="Q548" s="127"/>
      <c r="R548" s="125"/>
      <c r="S548" s="127"/>
      <c r="T548" s="127"/>
      <c r="U548" s="128"/>
      <c r="V548" s="125"/>
      <c r="W548" s="125"/>
      <c r="X548" s="125"/>
      <c r="Y548" s="125"/>
      <c r="Z548" s="124"/>
      <c r="AA548" s="125"/>
      <c r="AB548" s="124"/>
      <c r="AC548" s="124"/>
      <c r="AD548" s="124"/>
      <c r="AE548" s="125"/>
      <c r="AF548" s="125"/>
      <c r="AG548" s="125"/>
      <c r="AH548" s="125"/>
      <c r="AI548" s="125"/>
    </row>
    <row r="549" spans="1:35" ht="12.75">
      <c r="A549" s="167" t="s">
        <v>442</v>
      </c>
      <c r="B549" s="167" t="s">
        <v>128</v>
      </c>
      <c r="C549" s="167" t="s">
        <v>129</v>
      </c>
      <c r="D549" s="162" t="s">
        <v>453</v>
      </c>
      <c r="E549" s="160" t="s">
        <v>47</v>
      </c>
      <c r="F549" s="162" t="s">
        <v>454</v>
      </c>
      <c r="G549" s="164"/>
      <c r="H549" s="77" t="s">
        <v>49</v>
      </c>
      <c r="I549" s="108"/>
      <c r="J549" s="78"/>
      <c r="K549" s="78"/>
      <c r="L549" s="79" t="b">
        <v>0</v>
      </c>
      <c r="M549" s="79" t="b">
        <v>0</v>
      </c>
      <c r="N549" s="81"/>
      <c r="O549" s="81"/>
      <c r="P549" s="80">
        <f t="shared" ref="P549:P560" si="85">N549+O549</f>
        <v>0</v>
      </c>
      <c r="Q549" s="81"/>
      <c r="R549" s="78"/>
      <c r="S549" s="81"/>
      <c r="T549" s="81"/>
      <c r="U549" s="80">
        <f t="shared" ref="U549:U560" si="86">S549+T549</f>
        <v>0</v>
      </c>
      <c r="V549" s="78"/>
      <c r="W549" s="78"/>
      <c r="X549" s="78"/>
      <c r="Y549" s="78"/>
      <c r="Z549" s="77"/>
      <c r="AA549" s="78"/>
      <c r="AB549" s="77"/>
      <c r="AC549" s="77"/>
      <c r="AD549" s="77"/>
      <c r="AE549" s="78"/>
      <c r="AF549" s="78"/>
      <c r="AG549" s="109"/>
      <c r="AH549" s="109"/>
      <c r="AI549" s="78"/>
    </row>
    <row r="550" spans="1:35" ht="12.75">
      <c r="A550" s="155"/>
      <c r="B550" s="155"/>
      <c r="C550" s="155"/>
      <c r="D550" s="155"/>
      <c r="E550" s="155"/>
      <c r="F550" s="155"/>
      <c r="G550" s="155"/>
      <c r="H550" s="85" t="s">
        <v>58</v>
      </c>
      <c r="I550" s="112"/>
      <c r="J550" s="84"/>
      <c r="K550" s="84"/>
      <c r="L550" s="86" t="b">
        <v>0</v>
      </c>
      <c r="M550" s="86" t="b">
        <v>0</v>
      </c>
      <c r="N550" s="83"/>
      <c r="O550" s="83"/>
      <c r="P550" s="87">
        <f t="shared" si="85"/>
        <v>0</v>
      </c>
      <c r="Q550" s="83"/>
      <c r="R550" s="84"/>
      <c r="S550" s="83"/>
      <c r="T550" s="83"/>
      <c r="U550" s="87">
        <f t="shared" si="86"/>
        <v>0</v>
      </c>
      <c r="V550" s="84"/>
      <c r="W550" s="84"/>
      <c r="X550" s="84"/>
      <c r="Y550" s="84"/>
      <c r="Z550" s="85"/>
      <c r="AA550" s="84"/>
      <c r="AB550" s="85"/>
      <c r="AC550" s="85"/>
      <c r="AD550" s="85"/>
      <c r="AE550" s="84"/>
      <c r="AF550" s="84"/>
      <c r="AG550" s="110"/>
      <c r="AH550" s="110"/>
      <c r="AI550" s="84"/>
    </row>
    <row r="551" spans="1:35" ht="12.75">
      <c r="A551" s="155"/>
      <c r="B551" s="155"/>
      <c r="C551" s="155"/>
      <c r="D551" s="157" t="s">
        <v>453</v>
      </c>
      <c r="E551" s="157" t="s">
        <v>59</v>
      </c>
      <c r="F551" s="157" t="s">
        <v>454</v>
      </c>
      <c r="G551" s="158"/>
      <c r="H551" s="5" t="s">
        <v>49</v>
      </c>
      <c r="I551" s="17"/>
      <c r="J551" s="9"/>
      <c r="K551" s="9"/>
      <c r="L551" s="11" t="b">
        <v>0</v>
      </c>
      <c r="M551" s="11" t="b">
        <v>0</v>
      </c>
      <c r="N551" s="7"/>
      <c r="O551" s="7"/>
      <c r="P551" s="8">
        <f t="shared" si="85"/>
        <v>0</v>
      </c>
      <c r="Q551" s="7"/>
      <c r="R551" s="9"/>
      <c r="S551" s="7"/>
      <c r="T551" s="7"/>
      <c r="U551" s="8">
        <f t="shared" si="86"/>
        <v>0</v>
      </c>
      <c r="V551" s="9"/>
      <c r="W551" s="9"/>
      <c r="X551" s="18"/>
      <c r="Y551" s="18"/>
      <c r="Z551" s="19"/>
      <c r="AA551" s="18"/>
      <c r="AB551" s="19"/>
      <c r="AC551" s="19"/>
      <c r="AD551" s="19"/>
      <c r="AE551" s="9"/>
      <c r="AF551" s="9"/>
      <c r="AG551" s="26"/>
      <c r="AH551" s="26"/>
      <c r="AI551" s="89"/>
    </row>
    <row r="552" spans="1:35" ht="12.75">
      <c r="A552" s="155"/>
      <c r="B552" s="155"/>
      <c r="C552" s="155"/>
      <c r="D552" s="155"/>
      <c r="E552" s="155"/>
      <c r="F552" s="155"/>
      <c r="G552" s="155"/>
      <c r="H552" s="5" t="s">
        <v>58</v>
      </c>
      <c r="I552" s="22"/>
      <c r="J552" s="9"/>
      <c r="K552" s="9"/>
      <c r="L552" s="11" t="b">
        <v>0</v>
      </c>
      <c r="M552" s="11" t="b">
        <v>0</v>
      </c>
      <c r="N552" s="7"/>
      <c r="O552" s="7"/>
      <c r="P552" s="8">
        <f t="shared" si="85"/>
        <v>0</v>
      </c>
      <c r="Q552" s="7"/>
      <c r="R552" s="9"/>
      <c r="S552" s="7"/>
      <c r="T552" s="7"/>
      <c r="U552" s="8">
        <f t="shared" si="86"/>
        <v>0</v>
      </c>
      <c r="V552" s="9"/>
      <c r="W552" s="9"/>
      <c r="X552" s="18"/>
      <c r="Y552" s="18"/>
      <c r="Z552" s="19"/>
      <c r="AA552" s="18"/>
      <c r="AB552" s="19"/>
      <c r="AC552" s="19"/>
      <c r="AD552" s="19"/>
      <c r="AE552" s="9"/>
      <c r="AF552" s="9"/>
      <c r="AG552" s="26"/>
      <c r="AH552" s="26"/>
      <c r="AI552" s="9"/>
    </row>
    <row r="553" spans="1:35" ht="15">
      <c r="A553" s="155"/>
      <c r="B553" s="155"/>
      <c r="C553" s="155"/>
      <c r="D553" s="176" t="s">
        <v>455</v>
      </c>
      <c r="E553" s="176" t="s">
        <v>456</v>
      </c>
      <c r="F553" s="177" t="s">
        <v>457</v>
      </c>
      <c r="G553" s="178"/>
      <c r="H553" s="85" t="s">
        <v>458</v>
      </c>
      <c r="I553" s="147"/>
      <c r="J553" s="84"/>
      <c r="K553" s="84"/>
      <c r="L553" s="86" t="b">
        <v>0</v>
      </c>
      <c r="M553" s="86" t="b">
        <v>0</v>
      </c>
      <c r="N553" s="83"/>
      <c r="O553" s="83"/>
      <c r="P553" s="87">
        <f t="shared" si="85"/>
        <v>0</v>
      </c>
      <c r="Q553" s="83"/>
      <c r="R553" s="84"/>
      <c r="S553" s="83"/>
      <c r="T553" s="83"/>
      <c r="U553" s="87">
        <f t="shared" si="86"/>
        <v>0</v>
      </c>
      <c r="V553" s="84"/>
      <c r="W553" s="84"/>
      <c r="X553" s="133"/>
      <c r="Y553" s="133"/>
      <c r="Z553" s="121"/>
      <c r="AA553" s="133"/>
      <c r="AB553" s="121"/>
      <c r="AC553" s="121"/>
      <c r="AD553" s="121"/>
      <c r="AE553" s="84"/>
      <c r="AF553" s="84"/>
      <c r="AG553" s="122"/>
      <c r="AH553" s="122"/>
      <c r="AI553" s="84"/>
    </row>
    <row r="554" spans="1:35" ht="15">
      <c r="A554" s="155"/>
      <c r="B554" s="155"/>
      <c r="C554" s="155"/>
      <c r="D554" s="155"/>
      <c r="E554" s="155"/>
      <c r="F554" s="155"/>
      <c r="G554" s="155"/>
      <c r="H554" s="85" t="s">
        <v>58</v>
      </c>
      <c r="I554" s="147"/>
      <c r="J554" s="84"/>
      <c r="K554" s="84"/>
      <c r="L554" s="86" t="b">
        <v>0</v>
      </c>
      <c r="M554" s="86" t="b">
        <v>0</v>
      </c>
      <c r="N554" s="83"/>
      <c r="O554" s="83"/>
      <c r="P554" s="87">
        <f t="shared" si="85"/>
        <v>0</v>
      </c>
      <c r="Q554" s="83"/>
      <c r="R554" s="84"/>
      <c r="S554" s="83"/>
      <c r="T554" s="83"/>
      <c r="U554" s="87">
        <f t="shared" si="86"/>
        <v>0</v>
      </c>
      <c r="V554" s="84"/>
      <c r="W554" s="84"/>
      <c r="X554" s="133"/>
      <c r="Y554" s="133"/>
      <c r="Z554" s="121"/>
      <c r="AA554" s="133"/>
      <c r="AB554" s="121"/>
      <c r="AC554" s="121"/>
      <c r="AD554" s="121"/>
      <c r="AE554" s="84"/>
      <c r="AF554" s="84"/>
      <c r="AG554" s="122"/>
      <c r="AH554" s="122"/>
      <c r="AI554" s="148"/>
    </row>
    <row r="555" spans="1:35" ht="15">
      <c r="A555" s="155"/>
      <c r="B555" s="155"/>
      <c r="C555" s="155"/>
      <c r="D555" s="157" t="s">
        <v>455</v>
      </c>
      <c r="E555" s="175" t="s">
        <v>459</v>
      </c>
      <c r="F555" s="156" t="s">
        <v>457</v>
      </c>
      <c r="G555" s="158"/>
      <c r="H555" s="5" t="s">
        <v>458</v>
      </c>
      <c r="I555" s="150"/>
      <c r="J555" s="9"/>
      <c r="K555" s="9"/>
      <c r="L555" s="11" t="b">
        <v>0</v>
      </c>
      <c r="M555" s="11" t="b">
        <v>0</v>
      </c>
      <c r="N555" s="7"/>
      <c r="O555" s="7"/>
      <c r="P555" s="8">
        <f t="shared" si="85"/>
        <v>0</v>
      </c>
      <c r="Q555" s="7"/>
      <c r="R555" s="9"/>
      <c r="S555" s="7"/>
      <c r="T555" s="7"/>
      <c r="U555" s="8">
        <f t="shared" si="86"/>
        <v>0</v>
      </c>
      <c r="V555" s="9"/>
      <c r="W555" s="9"/>
      <c r="X555" s="9"/>
      <c r="Y555" s="9"/>
      <c r="Z555" s="5"/>
      <c r="AA555" s="9"/>
      <c r="AB555" s="5"/>
      <c r="AC555" s="5"/>
      <c r="AD555" s="5"/>
      <c r="AE555" s="9"/>
      <c r="AF555" s="9"/>
      <c r="AG555" s="26"/>
      <c r="AH555" s="26"/>
      <c r="AI555" s="151"/>
    </row>
    <row r="556" spans="1:35" ht="12.75">
      <c r="A556" s="155"/>
      <c r="B556" s="155"/>
      <c r="C556" s="155"/>
      <c r="D556" s="155"/>
      <c r="E556" s="155"/>
      <c r="F556" s="155"/>
      <c r="G556" s="155"/>
      <c r="H556" s="5" t="s">
        <v>58</v>
      </c>
      <c r="I556" s="152"/>
      <c r="J556" s="9"/>
      <c r="K556" s="9"/>
      <c r="L556" s="11" t="b">
        <v>0</v>
      </c>
      <c r="M556" s="11" t="b">
        <v>0</v>
      </c>
      <c r="N556" s="7"/>
      <c r="O556" s="7"/>
      <c r="P556" s="8">
        <f t="shared" si="85"/>
        <v>0</v>
      </c>
      <c r="Q556" s="7"/>
      <c r="R556" s="9"/>
      <c r="S556" s="7"/>
      <c r="T556" s="7"/>
      <c r="U556" s="8">
        <f t="shared" si="86"/>
        <v>0</v>
      </c>
      <c r="V556" s="9"/>
      <c r="W556" s="9"/>
      <c r="X556" s="9"/>
      <c r="Y556" s="9"/>
      <c r="Z556" s="5"/>
      <c r="AA556" s="9"/>
      <c r="AB556" s="5"/>
      <c r="AC556" s="5"/>
      <c r="AD556" s="5"/>
      <c r="AE556" s="9"/>
      <c r="AF556" s="9"/>
      <c r="AG556" s="26"/>
      <c r="AH556" s="26"/>
      <c r="AI556" s="26"/>
    </row>
    <row r="557" spans="1:35" ht="15">
      <c r="A557" s="155"/>
      <c r="B557" s="155"/>
      <c r="C557" s="155"/>
      <c r="D557" s="176" t="s">
        <v>460</v>
      </c>
      <c r="E557" s="177" t="s">
        <v>461</v>
      </c>
      <c r="F557" s="176" t="s">
        <v>462</v>
      </c>
      <c r="G557" s="178"/>
      <c r="H557" s="85" t="s">
        <v>49</v>
      </c>
      <c r="I557" s="135"/>
      <c r="J557" s="84"/>
      <c r="K557" s="84"/>
      <c r="L557" s="86" t="b">
        <v>0</v>
      </c>
      <c r="M557" s="86" t="b">
        <v>0</v>
      </c>
      <c r="N557" s="83"/>
      <c r="O557" s="83"/>
      <c r="P557" s="87">
        <f t="shared" si="85"/>
        <v>0</v>
      </c>
      <c r="Q557" s="83"/>
      <c r="R557" s="84"/>
      <c r="S557" s="83"/>
      <c r="T557" s="83"/>
      <c r="U557" s="87">
        <f t="shared" si="86"/>
        <v>0</v>
      </c>
      <c r="V557" s="84"/>
      <c r="W557" s="84"/>
      <c r="X557" s="84"/>
      <c r="Y557" s="84"/>
      <c r="Z557" s="85"/>
      <c r="AA557" s="84"/>
      <c r="AB557" s="85"/>
      <c r="AC557" s="85"/>
      <c r="AD557" s="85"/>
      <c r="AE557" s="84"/>
      <c r="AF557" s="84"/>
      <c r="AG557" s="122"/>
      <c r="AH557" s="122"/>
      <c r="AI557" s="153"/>
    </row>
    <row r="558" spans="1:35" ht="15">
      <c r="A558" s="155"/>
      <c r="B558" s="155"/>
      <c r="C558" s="155"/>
      <c r="D558" s="155"/>
      <c r="E558" s="155"/>
      <c r="F558" s="155"/>
      <c r="G558" s="155"/>
      <c r="H558" s="85" t="s">
        <v>58</v>
      </c>
      <c r="I558" s="135"/>
      <c r="J558" s="84"/>
      <c r="K558" s="84"/>
      <c r="L558" s="86" t="b">
        <v>0</v>
      </c>
      <c r="M558" s="86" t="b">
        <v>0</v>
      </c>
      <c r="N558" s="83"/>
      <c r="O558" s="83"/>
      <c r="P558" s="87">
        <f t="shared" si="85"/>
        <v>0</v>
      </c>
      <c r="Q558" s="83"/>
      <c r="R558" s="84"/>
      <c r="S558" s="83"/>
      <c r="T558" s="83"/>
      <c r="U558" s="87">
        <f t="shared" si="86"/>
        <v>0</v>
      </c>
      <c r="V558" s="84"/>
      <c r="W558" s="84"/>
      <c r="X558" s="133"/>
      <c r="Y558" s="133"/>
      <c r="Z558" s="121"/>
      <c r="AA558" s="133"/>
      <c r="AB558" s="121"/>
      <c r="AC558" s="121"/>
      <c r="AD558" s="121"/>
      <c r="AE558" s="84"/>
      <c r="AF558" s="84"/>
      <c r="AG558" s="122"/>
      <c r="AH558" s="122"/>
      <c r="AI558" s="153"/>
    </row>
    <row r="559" spans="1:35" ht="15">
      <c r="A559" s="155"/>
      <c r="B559" s="155"/>
      <c r="C559" s="155"/>
      <c r="D559" s="157" t="s">
        <v>453</v>
      </c>
      <c r="E559" s="157" t="s">
        <v>463</v>
      </c>
      <c r="F559" s="157" t="s">
        <v>464</v>
      </c>
      <c r="G559" s="158"/>
      <c r="H559" s="5" t="s">
        <v>465</v>
      </c>
      <c r="I559" s="22"/>
      <c r="J559" s="9"/>
      <c r="K559" s="9"/>
      <c r="L559" s="11" t="b">
        <v>0</v>
      </c>
      <c r="M559" s="11" t="b">
        <v>0</v>
      </c>
      <c r="N559" s="7"/>
      <c r="O559" s="7"/>
      <c r="P559" s="8">
        <f t="shared" si="85"/>
        <v>0</v>
      </c>
      <c r="Q559" s="7"/>
      <c r="R559" s="9"/>
      <c r="S559" s="7"/>
      <c r="T559" s="7"/>
      <c r="U559" s="8">
        <f t="shared" si="86"/>
        <v>0</v>
      </c>
      <c r="V559" s="9"/>
      <c r="W559" s="9"/>
      <c r="X559" s="18"/>
      <c r="Y559" s="18"/>
      <c r="Z559" s="19"/>
      <c r="AA559" s="18"/>
      <c r="AB559" s="19"/>
      <c r="AC559" s="19"/>
      <c r="AD559" s="19"/>
      <c r="AE559" s="9"/>
      <c r="AF559" s="9"/>
      <c r="AG559" s="26"/>
      <c r="AH559" s="26"/>
      <c r="AI559" s="151"/>
    </row>
    <row r="560" spans="1:35" ht="15">
      <c r="A560" s="155"/>
      <c r="B560" s="155"/>
      <c r="C560" s="155"/>
      <c r="D560" s="155"/>
      <c r="E560" s="155"/>
      <c r="F560" s="155"/>
      <c r="G560" s="155"/>
      <c r="H560" s="5" t="s">
        <v>58</v>
      </c>
      <c r="I560" s="22"/>
      <c r="J560" s="9"/>
      <c r="K560" s="9"/>
      <c r="L560" s="11" t="b">
        <v>0</v>
      </c>
      <c r="M560" s="11" t="b">
        <v>0</v>
      </c>
      <c r="N560" s="7"/>
      <c r="O560" s="7"/>
      <c r="P560" s="8">
        <f t="shared" si="85"/>
        <v>0</v>
      </c>
      <c r="Q560" s="7"/>
      <c r="R560" s="9"/>
      <c r="S560" s="7"/>
      <c r="T560" s="7"/>
      <c r="U560" s="8">
        <f t="shared" si="86"/>
        <v>0</v>
      </c>
      <c r="V560" s="9"/>
      <c r="W560" s="9"/>
      <c r="X560" s="18"/>
      <c r="Y560" s="18"/>
      <c r="Z560" s="19"/>
      <c r="AA560" s="18"/>
      <c r="AB560" s="19"/>
      <c r="AC560" s="19"/>
      <c r="AD560" s="19"/>
      <c r="AE560" s="9"/>
      <c r="AF560" s="9"/>
      <c r="AG560" s="26"/>
      <c r="AH560" s="26"/>
      <c r="AI560" s="151"/>
    </row>
  </sheetData>
  <mergeCells count="1162">
    <mergeCell ref="F555:F556"/>
    <mergeCell ref="G555:G556"/>
    <mergeCell ref="E557:E558"/>
    <mergeCell ref="F557:F558"/>
    <mergeCell ref="G557:G558"/>
    <mergeCell ref="E559:E560"/>
    <mergeCell ref="F559:F560"/>
    <mergeCell ref="G559:G560"/>
    <mergeCell ref="E551:E552"/>
    <mergeCell ref="F551:F552"/>
    <mergeCell ref="G551:G552"/>
    <mergeCell ref="E553:E554"/>
    <mergeCell ref="F553:F554"/>
    <mergeCell ref="G553:G554"/>
    <mergeCell ref="E555:E556"/>
    <mergeCell ref="F488:F489"/>
    <mergeCell ref="G488:G489"/>
    <mergeCell ref="E484:E485"/>
    <mergeCell ref="F484:F485"/>
    <mergeCell ref="G484:G485"/>
    <mergeCell ref="E486:E487"/>
    <mergeCell ref="F486:F487"/>
    <mergeCell ref="G486:G487"/>
    <mergeCell ref="E488:E489"/>
    <mergeCell ref="F494:F495"/>
    <mergeCell ref="G494:G495"/>
    <mergeCell ref="E490:E491"/>
    <mergeCell ref="F490:F491"/>
    <mergeCell ref="G490:G491"/>
    <mergeCell ref="E492:E493"/>
    <mergeCell ref="F492:F493"/>
    <mergeCell ref="G492:G493"/>
    <mergeCell ref="E494:E495"/>
    <mergeCell ref="F475:F476"/>
    <mergeCell ref="G475:G476"/>
    <mergeCell ref="E471:E472"/>
    <mergeCell ref="F471:F472"/>
    <mergeCell ref="G471:G472"/>
    <mergeCell ref="E473:E474"/>
    <mergeCell ref="F473:F474"/>
    <mergeCell ref="G473:G474"/>
    <mergeCell ref="E475:E476"/>
    <mergeCell ref="F481:F482"/>
    <mergeCell ref="G481:G482"/>
    <mergeCell ref="E477:E478"/>
    <mergeCell ref="F477:F478"/>
    <mergeCell ref="G477:G478"/>
    <mergeCell ref="E479:E480"/>
    <mergeCell ref="F479:F480"/>
    <mergeCell ref="G479:G480"/>
    <mergeCell ref="E481:E482"/>
    <mergeCell ref="F462:F463"/>
    <mergeCell ref="G462:G463"/>
    <mergeCell ref="E458:E459"/>
    <mergeCell ref="F458:F459"/>
    <mergeCell ref="G458:G459"/>
    <mergeCell ref="E460:E461"/>
    <mergeCell ref="F460:F461"/>
    <mergeCell ref="G460:G461"/>
    <mergeCell ref="E462:E463"/>
    <mergeCell ref="F468:F469"/>
    <mergeCell ref="G468:G469"/>
    <mergeCell ref="E464:E465"/>
    <mergeCell ref="F464:F465"/>
    <mergeCell ref="G464:G465"/>
    <mergeCell ref="E466:E467"/>
    <mergeCell ref="F466:F467"/>
    <mergeCell ref="G466:G467"/>
    <mergeCell ref="E468:E469"/>
    <mergeCell ref="B444:B455"/>
    <mergeCell ref="C444:C455"/>
    <mergeCell ref="A418:A429"/>
    <mergeCell ref="B418:B429"/>
    <mergeCell ref="C418:C429"/>
    <mergeCell ref="A431:A442"/>
    <mergeCell ref="B431:B442"/>
    <mergeCell ref="C431:C442"/>
    <mergeCell ref="A444:A455"/>
    <mergeCell ref="F454:F455"/>
    <mergeCell ref="G454:G455"/>
    <mergeCell ref="E450:E451"/>
    <mergeCell ref="F450:F451"/>
    <mergeCell ref="G450:G451"/>
    <mergeCell ref="E452:E453"/>
    <mergeCell ref="F452:F453"/>
    <mergeCell ref="G452:G453"/>
    <mergeCell ref="E454:E455"/>
    <mergeCell ref="B366:B377"/>
    <mergeCell ref="C366:C377"/>
    <mergeCell ref="A340:A351"/>
    <mergeCell ref="B340:B351"/>
    <mergeCell ref="C340:C351"/>
    <mergeCell ref="A353:A364"/>
    <mergeCell ref="B353:B364"/>
    <mergeCell ref="C353:C364"/>
    <mergeCell ref="A366:A377"/>
    <mergeCell ref="B405:B416"/>
    <mergeCell ref="C405:C416"/>
    <mergeCell ref="A379:A390"/>
    <mergeCell ref="B379:B390"/>
    <mergeCell ref="C379:C390"/>
    <mergeCell ref="A392:A403"/>
    <mergeCell ref="B392:B403"/>
    <mergeCell ref="C392:C403"/>
    <mergeCell ref="A405:A416"/>
    <mergeCell ref="A249:A260"/>
    <mergeCell ref="B288:B299"/>
    <mergeCell ref="C288:C299"/>
    <mergeCell ref="A262:A273"/>
    <mergeCell ref="B262:B273"/>
    <mergeCell ref="C262:C273"/>
    <mergeCell ref="A275:A286"/>
    <mergeCell ref="B275:B286"/>
    <mergeCell ref="C275:C286"/>
    <mergeCell ref="A288:A299"/>
    <mergeCell ref="B327:B338"/>
    <mergeCell ref="C327:C338"/>
    <mergeCell ref="A301:A312"/>
    <mergeCell ref="B301:B312"/>
    <mergeCell ref="C301:C312"/>
    <mergeCell ref="A314:A325"/>
    <mergeCell ref="B314:B325"/>
    <mergeCell ref="C314:C325"/>
    <mergeCell ref="A327:A338"/>
    <mergeCell ref="B132:B143"/>
    <mergeCell ref="C132:C143"/>
    <mergeCell ref="A106:A117"/>
    <mergeCell ref="B106:B117"/>
    <mergeCell ref="C106:C117"/>
    <mergeCell ref="A119:A130"/>
    <mergeCell ref="B119:B130"/>
    <mergeCell ref="C119:C130"/>
    <mergeCell ref="A132:A143"/>
    <mergeCell ref="A536:A547"/>
    <mergeCell ref="B536:B547"/>
    <mergeCell ref="C536:C547"/>
    <mergeCell ref="A549:A560"/>
    <mergeCell ref="B549:B560"/>
    <mergeCell ref="C549:C560"/>
    <mergeCell ref="B210:B221"/>
    <mergeCell ref="C210:C221"/>
    <mergeCell ref="A184:A195"/>
    <mergeCell ref="B184:B195"/>
    <mergeCell ref="C184:C195"/>
    <mergeCell ref="A197:A208"/>
    <mergeCell ref="B197:B208"/>
    <mergeCell ref="C197:C208"/>
    <mergeCell ref="A210:A221"/>
    <mergeCell ref="B249:B260"/>
    <mergeCell ref="C249:C260"/>
    <mergeCell ref="A223:A234"/>
    <mergeCell ref="B223:B234"/>
    <mergeCell ref="C223:C234"/>
    <mergeCell ref="A236:A247"/>
    <mergeCell ref="B236:B247"/>
    <mergeCell ref="C236:C247"/>
    <mergeCell ref="B54:B65"/>
    <mergeCell ref="C54:C65"/>
    <mergeCell ref="A28:A39"/>
    <mergeCell ref="B28:B39"/>
    <mergeCell ref="C28:C39"/>
    <mergeCell ref="A41:A52"/>
    <mergeCell ref="B41:B52"/>
    <mergeCell ref="C41:C52"/>
    <mergeCell ref="A54:A65"/>
    <mergeCell ref="B93:B104"/>
    <mergeCell ref="C93:C104"/>
    <mergeCell ref="A67:A78"/>
    <mergeCell ref="B67:B78"/>
    <mergeCell ref="C67:C78"/>
    <mergeCell ref="A80:A91"/>
    <mergeCell ref="B80:B91"/>
    <mergeCell ref="C80:C91"/>
    <mergeCell ref="A93:A104"/>
    <mergeCell ref="B484:B495"/>
    <mergeCell ref="C484:C495"/>
    <mergeCell ref="A458:A469"/>
    <mergeCell ref="B458:B469"/>
    <mergeCell ref="C458:C469"/>
    <mergeCell ref="A471:A482"/>
    <mergeCell ref="B471:B482"/>
    <mergeCell ref="C471:C482"/>
    <mergeCell ref="A484:A495"/>
    <mergeCell ref="B523:B534"/>
    <mergeCell ref="C523:C534"/>
    <mergeCell ref="A497:A508"/>
    <mergeCell ref="B497:B508"/>
    <mergeCell ref="C497:C508"/>
    <mergeCell ref="A510:A521"/>
    <mergeCell ref="B510:B521"/>
    <mergeCell ref="C510:C521"/>
    <mergeCell ref="A523:A534"/>
    <mergeCell ref="F441:F442"/>
    <mergeCell ref="G441:G442"/>
    <mergeCell ref="E437:E438"/>
    <mergeCell ref="F437:F438"/>
    <mergeCell ref="G437:G438"/>
    <mergeCell ref="E439:E440"/>
    <mergeCell ref="F439:F440"/>
    <mergeCell ref="G439:G440"/>
    <mergeCell ref="E441:E442"/>
    <mergeCell ref="F448:F449"/>
    <mergeCell ref="G448:G449"/>
    <mergeCell ref="E444:E445"/>
    <mergeCell ref="F444:F445"/>
    <mergeCell ref="G444:G445"/>
    <mergeCell ref="E446:E447"/>
    <mergeCell ref="F446:F447"/>
    <mergeCell ref="G446:G447"/>
    <mergeCell ref="E448:E449"/>
    <mergeCell ref="E420:E421"/>
    <mergeCell ref="F420:F421"/>
    <mergeCell ref="G420:G421"/>
    <mergeCell ref="E422:E423"/>
    <mergeCell ref="F428:F429"/>
    <mergeCell ref="G428:G429"/>
    <mergeCell ref="E424:E425"/>
    <mergeCell ref="F424:F425"/>
    <mergeCell ref="G424:G425"/>
    <mergeCell ref="E426:E427"/>
    <mergeCell ref="F426:F427"/>
    <mergeCell ref="G426:G427"/>
    <mergeCell ref="E428:E429"/>
    <mergeCell ref="F435:F436"/>
    <mergeCell ref="G435:G436"/>
    <mergeCell ref="E431:E432"/>
    <mergeCell ref="F431:F432"/>
    <mergeCell ref="G431:G432"/>
    <mergeCell ref="E433:E434"/>
    <mergeCell ref="F433:F434"/>
    <mergeCell ref="G433:G434"/>
    <mergeCell ref="E435:E436"/>
    <mergeCell ref="E348:E349"/>
    <mergeCell ref="F348:F349"/>
    <mergeCell ref="F402:F403"/>
    <mergeCell ref="G402:G403"/>
    <mergeCell ref="E398:E399"/>
    <mergeCell ref="F398:F399"/>
    <mergeCell ref="G398:G399"/>
    <mergeCell ref="E400:E401"/>
    <mergeCell ref="F400:F401"/>
    <mergeCell ref="G400:G401"/>
    <mergeCell ref="E402:E403"/>
    <mergeCell ref="F409:F410"/>
    <mergeCell ref="G409:G410"/>
    <mergeCell ref="E405:E406"/>
    <mergeCell ref="F405:F406"/>
    <mergeCell ref="G405:G406"/>
    <mergeCell ref="E407:E408"/>
    <mergeCell ref="F407:F408"/>
    <mergeCell ref="G407:G408"/>
    <mergeCell ref="E409:E410"/>
    <mergeCell ref="F327:F328"/>
    <mergeCell ref="F329:F330"/>
    <mergeCell ref="F331:F332"/>
    <mergeCell ref="F333:F334"/>
    <mergeCell ref="F335:F336"/>
    <mergeCell ref="G340:G341"/>
    <mergeCell ref="G342:G343"/>
    <mergeCell ref="G344:G345"/>
    <mergeCell ref="G346:G347"/>
    <mergeCell ref="G348:G349"/>
    <mergeCell ref="G324:G325"/>
    <mergeCell ref="G327:G328"/>
    <mergeCell ref="G329:G330"/>
    <mergeCell ref="G331:G332"/>
    <mergeCell ref="G333:G334"/>
    <mergeCell ref="G335:G336"/>
    <mergeCell ref="G337:G338"/>
    <mergeCell ref="F337:F338"/>
    <mergeCell ref="F340:F341"/>
    <mergeCell ref="F342:F343"/>
    <mergeCell ref="F344:F345"/>
    <mergeCell ref="F346:F347"/>
    <mergeCell ref="D266:D267"/>
    <mergeCell ref="D268:D269"/>
    <mergeCell ref="E283:E284"/>
    <mergeCell ref="E285:E286"/>
    <mergeCell ref="E288:E289"/>
    <mergeCell ref="E290:E291"/>
    <mergeCell ref="E292:E293"/>
    <mergeCell ref="E294:E295"/>
    <mergeCell ref="E296:E297"/>
    <mergeCell ref="E298:E299"/>
    <mergeCell ref="E301:E302"/>
    <mergeCell ref="E303:E304"/>
    <mergeCell ref="E305:E306"/>
    <mergeCell ref="E307:E308"/>
    <mergeCell ref="E309:E310"/>
    <mergeCell ref="E311:E312"/>
    <mergeCell ref="F316:F317"/>
    <mergeCell ref="D229:D230"/>
    <mergeCell ref="D231:D232"/>
    <mergeCell ref="D233:D234"/>
    <mergeCell ref="D236:D237"/>
    <mergeCell ref="D238:D239"/>
    <mergeCell ref="D240:D241"/>
    <mergeCell ref="D242:D243"/>
    <mergeCell ref="D244:D245"/>
    <mergeCell ref="D246:D247"/>
    <mergeCell ref="D249:D250"/>
    <mergeCell ref="D251:D252"/>
    <mergeCell ref="D253:D254"/>
    <mergeCell ref="D255:D256"/>
    <mergeCell ref="D257:D258"/>
    <mergeCell ref="D259:D260"/>
    <mergeCell ref="D262:D263"/>
    <mergeCell ref="D264:D265"/>
    <mergeCell ref="D192:D193"/>
    <mergeCell ref="D194:D195"/>
    <mergeCell ref="D197:D198"/>
    <mergeCell ref="D199:D200"/>
    <mergeCell ref="D201:D202"/>
    <mergeCell ref="D203:D204"/>
    <mergeCell ref="D205:D206"/>
    <mergeCell ref="D207:D208"/>
    <mergeCell ref="D210:D211"/>
    <mergeCell ref="D212:D213"/>
    <mergeCell ref="D214:D215"/>
    <mergeCell ref="D216:D217"/>
    <mergeCell ref="D218:D219"/>
    <mergeCell ref="D220:D221"/>
    <mergeCell ref="D223:D224"/>
    <mergeCell ref="D225:D226"/>
    <mergeCell ref="D227:D228"/>
    <mergeCell ref="E147:E148"/>
    <mergeCell ref="E149:E150"/>
    <mergeCell ref="E151:E152"/>
    <mergeCell ref="E153:E154"/>
    <mergeCell ref="E155:E156"/>
    <mergeCell ref="E158:E159"/>
    <mergeCell ref="E184:E185"/>
    <mergeCell ref="E186:E187"/>
    <mergeCell ref="E188:E189"/>
    <mergeCell ref="E190:E191"/>
    <mergeCell ref="A145:A156"/>
    <mergeCell ref="B145:B156"/>
    <mergeCell ref="C145:C156"/>
    <mergeCell ref="A158:A169"/>
    <mergeCell ref="B158:B169"/>
    <mergeCell ref="C158:C169"/>
    <mergeCell ref="A171:A182"/>
    <mergeCell ref="B171:B182"/>
    <mergeCell ref="C171:C182"/>
    <mergeCell ref="D184:D185"/>
    <mergeCell ref="D186:D187"/>
    <mergeCell ref="D188:D189"/>
    <mergeCell ref="D190:D191"/>
    <mergeCell ref="E110:E111"/>
    <mergeCell ref="E112:E113"/>
    <mergeCell ref="E114:E115"/>
    <mergeCell ref="E116:E117"/>
    <mergeCell ref="E119:E120"/>
    <mergeCell ref="E121:E122"/>
    <mergeCell ref="E123:E124"/>
    <mergeCell ref="E125:E126"/>
    <mergeCell ref="E127:E128"/>
    <mergeCell ref="E129:E130"/>
    <mergeCell ref="E132:E133"/>
    <mergeCell ref="E134:E135"/>
    <mergeCell ref="E136:E137"/>
    <mergeCell ref="E138:E139"/>
    <mergeCell ref="E140:E141"/>
    <mergeCell ref="E142:E143"/>
    <mergeCell ref="E145:E146"/>
    <mergeCell ref="E73:E74"/>
    <mergeCell ref="E75:E76"/>
    <mergeCell ref="E77:E78"/>
    <mergeCell ref="E80:E81"/>
    <mergeCell ref="E82:E83"/>
    <mergeCell ref="E84:E85"/>
    <mergeCell ref="E86:E87"/>
    <mergeCell ref="E88:E89"/>
    <mergeCell ref="E90:E91"/>
    <mergeCell ref="E93:E94"/>
    <mergeCell ref="E95:E96"/>
    <mergeCell ref="E97:E98"/>
    <mergeCell ref="E99:E100"/>
    <mergeCell ref="E101:E102"/>
    <mergeCell ref="E103:E104"/>
    <mergeCell ref="E106:E107"/>
    <mergeCell ref="E108:E109"/>
    <mergeCell ref="A15:A26"/>
    <mergeCell ref="B15:B26"/>
    <mergeCell ref="C15:C26"/>
    <mergeCell ref="D15:D16"/>
    <mergeCell ref="E15:E16"/>
    <mergeCell ref="D25:D26"/>
    <mergeCell ref="E25:E26"/>
    <mergeCell ref="D28:D29"/>
    <mergeCell ref="E28:E29"/>
    <mergeCell ref="D30:D31"/>
    <mergeCell ref="E30:E31"/>
    <mergeCell ref="E32:E33"/>
    <mergeCell ref="E34:E35"/>
    <mergeCell ref="E36:E37"/>
    <mergeCell ref="E38:E39"/>
    <mergeCell ref="E41:E42"/>
    <mergeCell ref="E43:E44"/>
    <mergeCell ref="F15:F16"/>
    <mergeCell ref="G15:G16"/>
    <mergeCell ref="D17:D18"/>
    <mergeCell ref="E17:E18"/>
    <mergeCell ref="F17:F18"/>
    <mergeCell ref="G17:G18"/>
    <mergeCell ref="F19:F20"/>
    <mergeCell ref="G19:G20"/>
    <mergeCell ref="G21:G22"/>
    <mergeCell ref="D19:D20"/>
    <mergeCell ref="E19:E20"/>
    <mergeCell ref="D21:D22"/>
    <mergeCell ref="E21:E22"/>
    <mergeCell ref="D23:D24"/>
    <mergeCell ref="E23:E24"/>
    <mergeCell ref="D10:D11"/>
    <mergeCell ref="E10:E11"/>
    <mergeCell ref="F12:F13"/>
    <mergeCell ref="G12:G13"/>
    <mergeCell ref="J1:K1"/>
    <mergeCell ref="A2:A13"/>
    <mergeCell ref="B2:B13"/>
    <mergeCell ref="C2:C13"/>
    <mergeCell ref="F2:F3"/>
    <mergeCell ref="G2:G3"/>
    <mergeCell ref="G4:G5"/>
    <mergeCell ref="D2:D3"/>
    <mergeCell ref="D4:D5"/>
    <mergeCell ref="E4:E5"/>
    <mergeCell ref="F4:F5"/>
    <mergeCell ref="F6:F7"/>
    <mergeCell ref="G6:G7"/>
    <mergeCell ref="D8:D9"/>
    <mergeCell ref="E8:E9"/>
    <mergeCell ref="F8:F9"/>
    <mergeCell ref="G8:G9"/>
    <mergeCell ref="F10:F11"/>
    <mergeCell ref="G10:G11"/>
    <mergeCell ref="D486:D487"/>
    <mergeCell ref="D488:D489"/>
    <mergeCell ref="D490:D491"/>
    <mergeCell ref="D492:D493"/>
    <mergeCell ref="D494:D495"/>
    <mergeCell ref="D497:D498"/>
    <mergeCell ref="D499:D500"/>
    <mergeCell ref="D501:D502"/>
    <mergeCell ref="D503:D504"/>
    <mergeCell ref="D505:D506"/>
    <mergeCell ref="D507:D508"/>
    <mergeCell ref="D510:D511"/>
    <mergeCell ref="D512:D513"/>
    <mergeCell ref="E2:E3"/>
    <mergeCell ref="D6:D7"/>
    <mergeCell ref="E6:E7"/>
    <mergeCell ref="D12:D13"/>
    <mergeCell ref="E12:E13"/>
    <mergeCell ref="E45:E46"/>
    <mergeCell ref="E47:E48"/>
    <mergeCell ref="E49:E50"/>
    <mergeCell ref="D51:D52"/>
    <mergeCell ref="E51:E52"/>
    <mergeCell ref="E54:E55"/>
    <mergeCell ref="E56:E57"/>
    <mergeCell ref="E58:E59"/>
    <mergeCell ref="E60:E61"/>
    <mergeCell ref="E62:E63"/>
    <mergeCell ref="E64:E65"/>
    <mergeCell ref="E67:E68"/>
    <mergeCell ref="E69:E70"/>
    <mergeCell ref="E71:E72"/>
    <mergeCell ref="D553:D554"/>
    <mergeCell ref="D555:D556"/>
    <mergeCell ref="D557:D558"/>
    <mergeCell ref="D559:D560"/>
    <mergeCell ref="D529:D530"/>
    <mergeCell ref="D531:D532"/>
    <mergeCell ref="D533:D534"/>
    <mergeCell ref="D536:D537"/>
    <mergeCell ref="D538:D539"/>
    <mergeCell ref="D540:D541"/>
    <mergeCell ref="D542:D543"/>
    <mergeCell ref="D407:D408"/>
    <mergeCell ref="D409:D410"/>
    <mergeCell ref="D411:D412"/>
    <mergeCell ref="D413:D414"/>
    <mergeCell ref="D415:D416"/>
    <mergeCell ref="D418:D419"/>
    <mergeCell ref="D420:D421"/>
    <mergeCell ref="D422:D423"/>
    <mergeCell ref="D424:D425"/>
    <mergeCell ref="D426:D427"/>
    <mergeCell ref="D428:D429"/>
    <mergeCell ref="D431:D432"/>
    <mergeCell ref="D433:D434"/>
    <mergeCell ref="D435:D436"/>
    <mergeCell ref="D437:D438"/>
    <mergeCell ref="D439:D440"/>
    <mergeCell ref="D441:D442"/>
    <mergeCell ref="D444:D445"/>
    <mergeCell ref="D446:D447"/>
    <mergeCell ref="D448:D449"/>
    <mergeCell ref="D450:D451"/>
    <mergeCell ref="D394:D395"/>
    <mergeCell ref="D396:D397"/>
    <mergeCell ref="D398:D399"/>
    <mergeCell ref="D400:D401"/>
    <mergeCell ref="D402:D403"/>
    <mergeCell ref="D405:D406"/>
    <mergeCell ref="D514:D515"/>
    <mergeCell ref="D516:D517"/>
    <mergeCell ref="D518:D519"/>
    <mergeCell ref="D520:D521"/>
    <mergeCell ref="D523:D524"/>
    <mergeCell ref="D525:D526"/>
    <mergeCell ref="D527:D528"/>
    <mergeCell ref="D544:D545"/>
    <mergeCell ref="D546:D547"/>
    <mergeCell ref="D549:D550"/>
    <mergeCell ref="D551:D552"/>
    <mergeCell ref="D452:D453"/>
    <mergeCell ref="D454:D455"/>
    <mergeCell ref="D458:D459"/>
    <mergeCell ref="D460:D461"/>
    <mergeCell ref="D462:D463"/>
    <mergeCell ref="D464:D465"/>
    <mergeCell ref="D466:D467"/>
    <mergeCell ref="D468:D469"/>
    <mergeCell ref="D471:D472"/>
    <mergeCell ref="D473:D474"/>
    <mergeCell ref="D475:D476"/>
    <mergeCell ref="D477:D478"/>
    <mergeCell ref="D479:D480"/>
    <mergeCell ref="D481:D482"/>
    <mergeCell ref="D484:D485"/>
    <mergeCell ref="D327:D328"/>
    <mergeCell ref="D329:D330"/>
    <mergeCell ref="D331:D332"/>
    <mergeCell ref="D333:D334"/>
    <mergeCell ref="D335:D336"/>
    <mergeCell ref="D337:D338"/>
    <mergeCell ref="D340:D341"/>
    <mergeCell ref="D342:D343"/>
    <mergeCell ref="D344:D345"/>
    <mergeCell ref="D346:D347"/>
    <mergeCell ref="D348:D349"/>
    <mergeCell ref="D350:D351"/>
    <mergeCell ref="D353:D354"/>
    <mergeCell ref="D355:D356"/>
    <mergeCell ref="D357:D358"/>
    <mergeCell ref="D359:D360"/>
    <mergeCell ref="D392:D393"/>
    <mergeCell ref="D379:D380"/>
    <mergeCell ref="D381:D382"/>
    <mergeCell ref="D383:D384"/>
    <mergeCell ref="D385:D386"/>
    <mergeCell ref="D387:D388"/>
    <mergeCell ref="D389:D390"/>
    <mergeCell ref="D270:D271"/>
    <mergeCell ref="D272:D273"/>
    <mergeCell ref="D275:D276"/>
    <mergeCell ref="D277:D278"/>
    <mergeCell ref="D279:D280"/>
    <mergeCell ref="D281:D282"/>
    <mergeCell ref="D283:D284"/>
    <mergeCell ref="D285:D286"/>
    <mergeCell ref="D288:D289"/>
    <mergeCell ref="D290:D291"/>
    <mergeCell ref="D292:D293"/>
    <mergeCell ref="D294:D295"/>
    <mergeCell ref="D296:D297"/>
    <mergeCell ref="D298:D299"/>
    <mergeCell ref="D301:D302"/>
    <mergeCell ref="D303:D304"/>
    <mergeCell ref="D305:D306"/>
    <mergeCell ref="D307:D308"/>
    <mergeCell ref="D309:D310"/>
    <mergeCell ref="D311:D312"/>
    <mergeCell ref="D314:D315"/>
    <mergeCell ref="D316:D317"/>
    <mergeCell ref="D318:D319"/>
    <mergeCell ref="D320:D321"/>
    <mergeCell ref="D322:D323"/>
    <mergeCell ref="D324:D325"/>
    <mergeCell ref="F368:F369"/>
    <mergeCell ref="G368:G369"/>
    <mergeCell ref="E363:E364"/>
    <mergeCell ref="F363:F364"/>
    <mergeCell ref="G363:G364"/>
    <mergeCell ref="E366:E367"/>
    <mergeCell ref="F366:F367"/>
    <mergeCell ref="G366:G367"/>
    <mergeCell ref="E368:E369"/>
    <mergeCell ref="E376:E377"/>
    <mergeCell ref="F376:F377"/>
    <mergeCell ref="G376:G377"/>
    <mergeCell ref="D361:D362"/>
    <mergeCell ref="D363:D364"/>
    <mergeCell ref="D366:D367"/>
    <mergeCell ref="D368:D369"/>
    <mergeCell ref="D370:D371"/>
    <mergeCell ref="D372:D373"/>
    <mergeCell ref="D374:D375"/>
    <mergeCell ref="D376:D377"/>
    <mergeCell ref="F355:F356"/>
    <mergeCell ref="G355:G356"/>
    <mergeCell ref="E350:E351"/>
    <mergeCell ref="F350:F351"/>
    <mergeCell ref="G350:G351"/>
    <mergeCell ref="E353:E354"/>
    <mergeCell ref="F353:F354"/>
    <mergeCell ref="G353:G354"/>
    <mergeCell ref="E355:E356"/>
    <mergeCell ref="F361:F362"/>
    <mergeCell ref="G361:G362"/>
    <mergeCell ref="E357:E358"/>
    <mergeCell ref="F357:F358"/>
    <mergeCell ref="G357:G358"/>
    <mergeCell ref="E359:E360"/>
    <mergeCell ref="F359:F360"/>
    <mergeCell ref="G359:G360"/>
    <mergeCell ref="E361:E362"/>
    <mergeCell ref="F540:F541"/>
    <mergeCell ref="G540:G541"/>
    <mergeCell ref="E536:E537"/>
    <mergeCell ref="F536:F537"/>
    <mergeCell ref="G536:G537"/>
    <mergeCell ref="E538:E539"/>
    <mergeCell ref="F538:F539"/>
    <mergeCell ref="G538:G539"/>
    <mergeCell ref="E540:E541"/>
    <mergeCell ref="F374:F375"/>
    <mergeCell ref="G374:G375"/>
    <mergeCell ref="E370:E371"/>
    <mergeCell ref="F370:F371"/>
    <mergeCell ref="G370:G371"/>
    <mergeCell ref="E372:E373"/>
    <mergeCell ref="F372:F373"/>
    <mergeCell ref="G372:G373"/>
    <mergeCell ref="E374:E375"/>
    <mergeCell ref="F415:F416"/>
    <mergeCell ref="G415:G416"/>
    <mergeCell ref="E411:E412"/>
    <mergeCell ref="F411:F412"/>
    <mergeCell ref="G411:G412"/>
    <mergeCell ref="E413:E414"/>
    <mergeCell ref="F413:F414"/>
    <mergeCell ref="G413:G414"/>
    <mergeCell ref="E415:E416"/>
    <mergeCell ref="F422:F423"/>
    <mergeCell ref="G422:G423"/>
    <mergeCell ref="E418:E419"/>
    <mergeCell ref="F418:F419"/>
    <mergeCell ref="G418:G419"/>
    <mergeCell ref="E516:E517"/>
    <mergeCell ref="F516:F517"/>
    <mergeCell ref="G516:G517"/>
    <mergeCell ref="E518:E519"/>
    <mergeCell ref="F518:F519"/>
    <mergeCell ref="G518:G519"/>
    <mergeCell ref="E520:E521"/>
    <mergeCell ref="F527:F528"/>
    <mergeCell ref="G527:G528"/>
    <mergeCell ref="E523:E524"/>
    <mergeCell ref="F523:F524"/>
    <mergeCell ref="G523:G524"/>
    <mergeCell ref="E525:E526"/>
    <mergeCell ref="F525:F526"/>
    <mergeCell ref="G525:G526"/>
    <mergeCell ref="E527:E528"/>
    <mergeCell ref="F533:F534"/>
    <mergeCell ref="G533:G534"/>
    <mergeCell ref="E529:E530"/>
    <mergeCell ref="F529:F530"/>
    <mergeCell ref="G529:G530"/>
    <mergeCell ref="E531:E532"/>
    <mergeCell ref="F531:F532"/>
    <mergeCell ref="G531:G532"/>
    <mergeCell ref="E533:E534"/>
    <mergeCell ref="E549:E550"/>
    <mergeCell ref="F549:F550"/>
    <mergeCell ref="G549:G550"/>
    <mergeCell ref="F501:F502"/>
    <mergeCell ref="G501:G502"/>
    <mergeCell ref="E497:E498"/>
    <mergeCell ref="F497:F498"/>
    <mergeCell ref="G497:G498"/>
    <mergeCell ref="E499:E500"/>
    <mergeCell ref="F499:F500"/>
    <mergeCell ref="G499:G500"/>
    <mergeCell ref="E501:E502"/>
    <mergeCell ref="F507:F508"/>
    <mergeCell ref="G507:G508"/>
    <mergeCell ref="E503:E504"/>
    <mergeCell ref="F503:F504"/>
    <mergeCell ref="G503:G504"/>
    <mergeCell ref="E505:E506"/>
    <mergeCell ref="F505:F506"/>
    <mergeCell ref="G505:G506"/>
    <mergeCell ref="E507:E508"/>
    <mergeCell ref="F514:F515"/>
    <mergeCell ref="G514:G515"/>
    <mergeCell ref="E510:E511"/>
    <mergeCell ref="F510:F511"/>
    <mergeCell ref="G510:G511"/>
    <mergeCell ref="E512:E513"/>
    <mergeCell ref="F512:F513"/>
    <mergeCell ref="G512:G513"/>
    <mergeCell ref="E514:E515"/>
    <mergeCell ref="F520:F521"/>
    <mergeCell ref="G520:G521"/>
    <mergeCell ref="E383:E384"/>
    <mergeCell ref="F389:F390"/>
    <mergeCell ref="G389:G390"/>
    <mergeCell ref="E385:E386"/>
    <mergeCell ref="F385:F386"/>
    <mergeCell ref="G385:G386"/>
    <mergeCell ref="E387:E388"/>
    <mergeCell ref="F387:F388"/>
    <mergeCell ref="G387:G388"/>
    <mergeCell ref="E389:E390"/>
    <mergeCell ref="F396:F397"/>
    <mergeCell ref="G396:G397"/>
    <mergeCell ref="E392:E393"/>
    <mergeCell ref="F392:F393"/>
    <mergeCell ref="G392:G393"/>
    <mergeCell ref="E394:E395"/>
    <mergeCell ref="F394:F395"/>
    <mergeCell ref="G394:G395"/>
    <mergeCell ref="E396:E397"/>
    <mergeCell ref="E266:E267"/>
    <mergeCell ref="E268:E269"/>
    <mergeCell ref="E270:E271"/>
    <mergeCell ref="E272:E273"/>
    <mergeCell ref="E275:E276"/>
    <mergeCell ref="E277:E278"/>
    <mergeCell ref="E279:E280"/>
    <mergeCell ref="E281:E282"/>
    <mergeCell ref="E314:E315"/>
    <mergeCell ref="E316:E317"/>
    <mergeCell ref="E318:E319"/>
    <mergeCell ref="E320:E321"/>
    <mergeCell ref="E322:E323"/>
    <mergeCell ref="E324:E325"/>
    <mergeCell ref="E327:E328"/>
    <mergeCell ref="F546:F547"/>
    <mergeCell ref="G546:G547"/>
    <mergeCell ref="E542:E543"/>
    <mergeCell ref="F542:F543"/>
    <mergeCell ref="G542:G543"/>
    <mergeCell ref="E544:E545"/>
    <mergeCell ref="F544:F545"/>
    <mergeCell ref="G544:G545"/>
    <mergeCell ref="E546:E547"/>
    <mergeCell ref="F383:F384"/>
    <mergeCell ref="G383:G384"/>
    <mergeCell ref="E379:E380"/>
    <mergeCell ref="F379:F380"/>
    <mergeCell ref="G379:G380"/>
    <mergeCell ref="E381:E382"/>
    <mergeCell ref="F381:F382"/>
    <mergeCell ref="G381:G382"/>
    <mergeCell ref="E229:E230"/>
    <mergeCell ref="E231:E232"/>
    <mergeCell ref="E233:E234"/>
    <mergeCell ref="E236:E237"/>
    <mergeCell ref="E238:E239"/>
    <mergeCell ref="E240:E241"/>
    <mergeCell ref="E242:E243"/>
    <mergeCell ref="E244:E245"/>
    <mergeCell ref="E246:E247"/>
    <mergeCell ref="E249:E250"/>
    <mergeCell ref="E251:E252"/>
    <mergeCell ref="E253:E254"/>
    <mergeCell ref="E255:E256"/>
    <mergeCell ref="E257:E258"/>
    <mergeCell ref="E259:E260"/>
    <mergeCell ref="E262:E263"/>
    <mergeCell ref="E264:E265"/>
    <mergeCell ref="E192:E193"/>
    <mergeCell ref="E194:E195"/>
    <mergeCell ref="E197:E198"/>
    <mergeCell ref="E199:E200"/>
    <mergeCell ref="E201:E202"/>
    <mergeCell ref="E203:E204"/>
    <mergeCell ref="E205:E206"/>
    <mergeCell ref="E207:E208"/>
    <mergeCell ref="E210:E211"/>
    <mergeCell ref="E212:E213"/>
    <mergeCell ref="E214:E215"/>
    <mergeCell ref="E216:E217"/>
    <mergeCell ref="E218:E219"/>
    <mergeCell ref="E220:E221"/>
    <mergeCell ref="E223:E224"/>
    <mergeCell ref="E225:E226"/>
    <mergeCell ref="E227:E228"/>
    <mergeCell ref="G298:G299"/>
    <mergeCell ref="G301:G302"/>
    <mergeCell ref="G303:G304"/>
    <mergeCell ref="G305:G306"/>
    <mergeCell ref="G307:G308"/>
    <mergeCell ref="G309:G310"/>
    <mergeCell ref="G311:G312"/>
    <mergeCell ref="G314:G315"/>
    <mergeCell ref="G283:G284"/>
    <mergeCell ref="G285:G286"/>
    <mergeCell ref="G288:G289"/>
    <mergeCell ref="G290:G291"/>
    <mergeCell ref="G292:G293"/>
    <mergeCell ref="G294:G295"/>
    <mergeCell ref="G296:G297"/>
    <mergeCell ref="E344:E345"/>
    <mergeCell ref="E346:E347"/>
    <mergeCell ref="E329:E330"/>
    <mergeCell ref="E331:E332"/>
    <mergeCell ref="E333:E334"/>
    <mergeCell ref="E335:E336"/>
    <mergeCell ref="E337:E338"/>
    <mergeCell ref="E340:E341"/>
    <mergeCell ref="E342:E343"/>
    <mergeCell ref="G316:G317"/>
    <mergeCell ref="F318:F319"/>
    <mergeCell ref="G318:G319"/>
    <mergeCell ref="F320:F321"/>
    <mergeCell ref="G320:G321"/>
    <mergeCell ref="G322:G323"/>
    <mergeCell ref="F322:F323"/>
    <mergeCell ref="F324:F325"/>
    <mergeCell ref="F275:F276"/>
    <mergeCell ref="F277:F278"/>
    <mergeCell ref="F279:F280"/>
    <mergeCell ref="G268:G269"/>
    <mergeCell ref="G270:G271"/>
    <mergeCell ref="G272:G273"/>
    <mergeCell ref="G275:G276"/>
    <mergeCell ref="G277:G278"/>
    <mergeCell ref="G279:G280"/>
    <mergeCell ref="G281:G282"/>
    <mergeCell ref="F281:F282"/>
    <mergeCell ref="F283:F284"/>
    <mergeCell ref="F285:F286"/>
    <mergeCell ref="F288:F289"/>
    <mergeCell ref="F290:F291"/>
    <mergeCell ref="F292:F293"/>
    <mergeCell ref="F294:F295"/>
    <mergeCell ref="G231:G232"/>
    <mergeCell ref="G233:G234"/>
    <mergeCell ref="G236:G237"/>
    <mergeCell ref="G238:G239"/>
    <mergeCell ref="G240:G241"/>
    <mergeCell ref="F311:F312"/>
    <mergeCell ref="F314:F315"/>
    <mergeCell ref="F296:F297"/>
    <mergeCell ref="F298:F299"/>
    <mergeCell ref="F301:F302"/>
    <mergeCell ref="F303:F304"/>
    <mergeCell ref="F305:F306"/>
    <mergeCell ref="F307:F308"/>
    <mergeCell ref="F309:F310"/>
    <mergeCell ref="G242:G243"/>
    <mergeCell ref="G244:G245"/>
    <mergeCell ref="G246:G247"/>
    <mergeCell ref="G249:G250"/>
    <mergeCell ref="G251:G252"/>
    <mergeCell ref="G253:G254"/>
    <mergeCell ref="G255:G256"/>
    <mergeCell ref="G257:G258"/>
    <mergeCell ref="G259:G260"/>
    <mergeCell ref="F262:F263"/>
    <mergeCell ref="G262:G263"/>
    <mergeCell ref="F264:F265"/>
    <mergeCell ref="G264:G265"/>
    <mergeCell ref="G266:G267"/>
    <mergeCell ref="F266:F267"/>
    <mergeCell ref="F268:F269"/>
    <mergeCell ref="F270:F271"/>
    <mergeCell ref="F272:F273"/>
    <mergeCell ref="G210:G211"/>
    <mergeCell ref="F210:F211"/>
    <mergeCell ref="F212:F213"/>
    <mergeCell ref="F214:F215"/>
    <mergeCell ref="F216:F217"/>
    <mergeCell ref="F218:F219"/>
    <mergeCell ref="F220:F221"/>
    <mergeCell ref="F223:F224"/>
    <mergeCell ref="G212:G213"/>
    <mergeCell ref="G214:G215"/>
    <mergeCell ref="G216:G217"/>
    <mergeCell ref="G218:G219"/>
    <mergeCell ref="G220:G221"/>
    <mergeCell ref="G223:G224"/>
    <mergeCell ref="G225:G226"/>
    <mergeCell ref="G227:G228"/>
    <mergeCell ref="G229:G230"/>
    <mergeCell ref="F190:F191"/>
    <mergeCell ref="G190:G191"/>
    <mergeCell ref="F192:F193"/>
    <mergeCell ref="G192:G193"/>
    <mergeCell ref="G194:G195"/>
    <mergeCell ref="F194:F195"/>
    <mergeCell ref="F197:F198"/>
    <mergeCell ref="G197:G198"/>
    <mergeCell ref="F199:F200"/>
    <mergeCell ref="G199:G200"/>
    <mergeCell ref="F201:F202"/>
    <mergeCell ref="G201:G202"/>
    <mergeCell ref="F203:F204"/>
    <mergeCell ref="G203:G204"/>
    <mergeCell ref="F205:F206"/>
    <mergeCell ref="G205:G206"/>
    <mergeCell ref="F207:F208"/>
    <mergeCell ref="G207:G208"/>
    <mergeCell ref="F225:F226"/>
    <mergeCell ref="F227:F228"/>
    <mergeCell ref="F229:F230"/>
    <mergeCell ref="F231:F232"/>
    <mergeCell ref="F233:F234"/>
    <mergeCell ref="F236:F237"/>
    <mergeCell ref="F238:F239"/>
    <mergeCell ref="F255:F256"/>
    <mergeCell ref="F257:F258"/>
    <mergeCell ref="F259:F260"/>
    <mergeCell ref="F240:F241"/>
    <mergeCell ref="F242:F243"/>
    <mergeCell ref="F244:F245"/>
    <mergeCell ref="F246:F247"/>
    <mergeCell ref="F249:F250"/>
    <mergeCell ref="F251:F252"/>
    <mergeCell ref="F253:F254"/>
    <mergeCell ref="F123:F124"/>
    <mergeCell ref="F125:F126"/>
    <mergeCell ref="F127:F128"/>
    <mergeCell ref="F129:F130"/>
    <mergeCell ref="F132:F133"/>
    <mergeCell ref="F134:F135"/>
    <mergeCell ref="F136:F137"/>
    <mergeCell ref="G125:G126"/>
    <mergeCell ref="G127:G128"/>
    <mergeCell ref="G129:G130"/>
    <mergeCell ref="G132:G133"/>
    <mergeCell ref="G134:G135"/>
    <mergeCell ref="G136:G137"/>
    <mergeCell ref="G138:G139"/>
    <mergeCell ref="F184:F185"/>
    <mergeCell ref="F186:F187"/>
    <mergeCell ref="F188:F189"/>
    <mergeCell ref="G171:G172"/>
    <mergeCell ref="G173:G174"/>
    <mergeCell ref="G175:G176"/>
    <mergeCell ref="G177:G178"/>
    <mergeCell ref="G179:G180"/>
    <mergeCell ref="G181:G182"/>
    <mergeCell ref="G184:G185"/>
    <mergeCell ref="G186:G187"/>
    <mergeCell ref="G188:G189"/>
    <mergeCell ref="F103:F104"/>
    <mergeCell ref="G103:G104"/>
    <mergeCell ref="F106:F107"/>
    <mergeCell ref="G106:G107"/>
    <mergeCell ref="G108:G109"/>
    <mergeCell ref="F108:F109"/>
    <mergeCell ref="F110:F111"/>
    <mergeCell ref="F112:F113"/>
    <mergeCell ref="F114:F115"/>
    <mergeCell ref="F116:F117"/>
    <mergeCell ref="F119:F120"/>
    <mergeCell ref="F121:F122"/>
    <mergeCell ref="G110:G111"/>
    <mergeCell ref="G112:G113"/>
    <mergeCell ref="G114:G115"/>
    <mergeCell ref="G116:G117"/>
    <mergeCell ref="G119:G120"/>
    <mergeCell ref="G121:G122"/>
    <mergeCell ref="G140:G141"/>
    <mergeCell ref="G142:G143"/>
    <mergeCell ref="G145:G146"/>
    <mergeCell ref="G147:G148"/>
    <mergeCell ref="G149:G150"/>
    <mergeCell ref="G151:G152"/>
    <mergeCell ref="G153:G154"/>
    <mergeCell ref="G155:G156"/>
    <mergeCell ref="G158:G159"/>
    <mergeCell ref="G160:G161"/>
    <mergeCell ref="G162:G163"/>
    <mergeCell ref="G164:G165"/>
    <mergeCell ref="G166:G167"/>
    <mergeCell ref="G168:G169"/>
    <mergeCell ref="G84:G85"/>
    <mergeCell ref="G86:G87"/>
    <mergeCell ref="G88:G89"/>
    <mergeCell ref="G90:G91"/>
    <mergeCell ref="G93:G94"/>
    <mergeCell ref="G95:G96"/>
    <mergeCell ref="G97:G98"/>
    <mergeCell ref="G99:G100"/>
    <mergeCell ref="G101:G102"/>
    <mergeCell ref="G123:G124"/>
    <mergeCell ref="E168:E169"/>
    <mergeCell ref="F168:F169"/>
    <mergeCell ref="D164:D165"/>
    <mergeCell ref="E164:E165"/>
    <mergeCell ref="F164:F165"/>
    <mergeCell ref="D166:D167"/>
    <mergeCell ref="E166:E167"/>
    <mergeCell ref="F166:F167"/>
    <mergeCell ref="D168:D169"/>
    <mergeCell ref="E175:E176"/>
    <mergeCell ref="F175:F176"/>
    <mergeCell ref="D171:D172"/>
    <mergeCell ref="E171:E172"/>
    <mergeCell ref="F171:F172"/>
    <mergeCell ref="D173:D174"/>
    <mergeCell ref="E173:E174"/>
    <mergeCell ref="F173:F174"/>
    <mergeCell ref="D175:D176"/>
    <mergeCell ref="D125:D126"/>
    <mergeCell ref="D127:D128"/>
    <mergeCell ref="D129:D130"/>
    <mergeCell ref="D132:D133"/>
    <mergeCell ref="D134:D135"/>
    <mergeCell ref="D136:D137"/>
    <mergeCell ref="D138:D139"/>
    <mergeCell ref="E181:E182"/>
    <mergeCell ref="F181:F182"/>
    <mergeCell ref="D177:D178"/>
    <mergeCell ref="E177:E178"/>
    <mergeCell ref="F177:F178"/>
    <mergeCell ref="D179:D180"/>
    <mergeCell ref="E179:E180"/>
    <mergeCell ref="F179:F180"/>
    <mergeCell ref="D181:D182"/>
    <mergeCell ref="F138:F139"/>
    <mergeCell ref="F140:F141"/>
    <mergeCell ref="F142:F143"/>
    <mergeCell ref="F145:F146"/>
    <mergeCell ref="F147:F148"/>
    <mergeCell ref="F149:F150"/>
    <mergeCell ref="F151:F152"/>
    <mergeCell ref="E162:E163"/>
    <mergeCell ref="F162:F163"/>
    <mergeCell ref="F153:F154"/>
    <mergeCell ref="F155:F156"/>
    <mergeCell ref="F158:F159"/>
    <mergeCell ref="D160:D161"/>
    <mergeCell ref="E160:E161"/>
    <mergeCell ref="F160:F161"/>
    <mergeCell ref="D162:D163"/>
    <mergeCell ref="D88:D89"/>
    <mergeCell ref="D90:D91"/>
    <mergeCell ref="D93:D94"/>
    <mergeCell ref="D95:D96"/>
    <mergeCell ref="D97:D98"/>
    <mergeCell ref="D99:D100"/>
    <mergeCell ref="D101:D102"/>
    <mergeCell ref="D103:D104"/>
    <mergeCell ref="D106:D107"/>
    <mergeCell ref="D108:D109"/>
    <mergeCell ref="D110:D111"/>
    <mergeCell ref="D112:D113"/>
    <mergeCell ref="D114:D115"/>
    <mergeCell ref="D116:D117"/>
    <mergeCell ref="D119:D120"/>
    <mergeCell ref="D121:D122"/>
    <mergeCell ref="D123:D124"/>
    <mergeCell ref="D32:D33"/>
    <mergeCell ref="D34:D35"/>
    <mergeCell ref="D36:D37"/>
    <mergeCell ref="D38:D39"/>
    <mergeCell ref="D41:D42"/>
    <mergeCell ref="D43:D44"/>
    <mergeCell ref="D45:D46"/>
    <mergeCell ref="D47:D48"/>
    <mergeCell ref="D49:D50"/>
    <mergeCell ref="D54:D55"/>
    <mergeCell ref="D56:D57"/>
    <mergeCell ref="D58:D59"/>
    <mergeCell ref="D60:D61"/>
    <mergeCell ref="D62:D63"/>
    <mergeCell ref="D64:D65"/>
    <mergeCell ref="D67:D68"/>
    <mergeCell ref="D69:D70"/>
    <mergeCell ref="F64:F65"/>
    <mergeCell ref="G54:G55"/>
    <mergeCell ref="G56:G57"/>
    <mergeCell ref="G58:G59"/>
    <mergeCell ref="G60:G61"/>
    <mergeCell ref="G62:G63"/>
    <mergeCell ref="G64:G65"/>
    <mergeCell ref="G67:G68"/>
    <mergeCell ref="G69:G70"/>
    <mergeCell ref="G71:G72"/>
    <mergeCell ref="G73:G74"/>
    <mergeCell ref="G75:G76"/>
    <mergeCell ref="G77:G78"/>
    <mergeCell ref="G80:G81"/>
    <mergeCell ref="G82:G83"/>
    <mergeCell ref="D155:D156"/>
    <mergeCell ref="D158:D159"/>
    <mergeCell ref="D140:D141"/>
    <mergeCell ref="D142:D143"/>
    <mergeCell ref="D145:D146"/>
    <mergeCell ref="D147:D148"/>
    <mergeCell ref="D149:D150"/>
    <mergeCell ref="D151:D152"/>
    <mergeCell ref="D153:D154"/>
    <mergeCell ref="D71:D72"/>
    <mergeCell ref="D73:D74"/>
    <mergeCell ref="D75:D76"/>
    <mergeCell ref="D77:D78"/>
    <mergeCell ref="D80:D81"/>
    <mergeCell ref="D82:D83"/>
    <mergeCell ref="D84:D85"/>
    <mergeCell ref="D86:D87"/>
    <mergeCell ref="F43:F44"/>
    <mergeCell ref="F45:F46"/>
    <mergeCell ref="F47:F48"/>
    <mergeCell ref="F49:F50"/>
    <mergeCell ref="G38:G39"/>
    <mergeCell ref="G41:G42"/>
    <mergeCell ref="G43:G44"/>
    <mergeCell ref="G45:G46"/>
    <mergeCell ref="G47:G48"/>
    <mergeCell ref="G49:G50"/>
    <mergeCell ref="G51:G52"/>
    <mergeCell ref="F51:F52"/>
    <mergeCell ref="F54:F55"/>
    <mergeCell ref="F56:F57"/>
    <mergeCell ref="F58:F59"/>
    <mergeCell ref="F60:F61"/>
    <mergeCell ref="F62:F63"/>
    <mergeCell ref="F21:F22"/>
    <mergeCell ref="F23:F24"/>
    <mergeCell ref="G23:G24"/>
    <mergeCell ref="F25:F26"/>
    <mergeCell ref="G25:G26"/>
    <mergeCell ref="F28:F29"/>
    <mergeCell ref="G28:G29"/>
    <mergeCell ref="F30:F31"/>
    <mergeCell ref="G30:G31"/>
    <mergeCell ref="F32:F33"/>
    <mergeCell ref="G32:G33"/>
    <mergeCell ref="F34:F35"/>
    <mergeCell ref="G34:G35"/>
    <mergeCell ref="G36:G37"/>
    <mergeCell ref="F36:F37"/>
    <mergeCell ref="F38:F39"/>
    <mergeCell ref="F41:F42"/>
    <mergeCell ref="F67:F68"/>
    <mergeCell ref="F69:F70"/>
    <mergeCell ref="F71:F72"/>
    <mergeCell ref="F73:F74"/>
    <mergeCell ref="F75:F76"/>
    <mergeCell ref="F77:F78"/>
    <mergeCell ref="F80:F81"/>
    <mergeCell ref="F97:F98"/>
    <mergeCell ref="F99:F100"/>
    <mergeCell ref="F101:F102"/>
    <mergeCell ref="F82:F83"/>
    <mergeCell ref="F84:F85"/>
    <mergeCell ref="F86:F87"/>
    <mergeCell ref="F88:F89"/>
    <mergeCell ref="F90:F91"/>
    <mergeCell ref="F93:F94"/>
    <mergeCell ref="F95:F9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Finalized Information - Human</vt:lpstr>
      <vt:lpstr>CURRENT Requested Information</vt:lpstr>
      <vt:lpstr>ARCHIVED Requested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Fraass</cp:lastModifiedBy>
  <dcterms:modified xsi:type="dcterms:W3CDTF">2024-08-19T16:34:03Z</dcterms:modified>
</cp:coreProperties>
</file>