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09"/>
  <workbookPr/>
  <mc:AlternateContent xmlns:mc="http://schemas.openxmlformats.org/markup-compatibility/2006">
    <mc:Choice Requires="x15">
      <x15ac:absPath xmlns:x15ac="http://schemas.microsoft.com/office/spreadsheetml/2010/11/ac" url="https://d.docs.live.net/dbb7ee5609ee7381/Documents/UW/Power team/power budgets/"/>
    </mc:Choice>
  </mc:AlternateContent>
  <xr:revisionPtr revIDLastSave="3" documentId="8DE371DDC236989FC5512E89B9C9B04FA2693E31" xr6:coauthVersionLast="21" xr6:coauthVersionMax="21" xr10:uidLastSave="{1C36E5ED-9D86-4D48-88AA-3FA1574E3E4E}"/>
  <bookViews>
    <workbookView xWindow="0" yWindow="0" windowWidth="19200" windowHeight="585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H74" i="1"/>
  <c r="G75" i="1"/>
  <c r="H75" i="1"/>
  <c r="G41" i="1"/>
  <c r="H41" i="1"/>
  <c r="G20" i="1"/>
  <c r="H20" i="1"/>
  <c r="F49" i="1"/>
  <c r="D49" i="1"/>
  <c r="H47" i="1"/>
  <c r="G46" i="1"/>
  <c r="H46" i="1"/>
  <c r="G45" i="1"/>
  <c r="H45" i="1"/>
  <c r="G44" i="1"/>
  <c r="H44" i="1"/>
  <c r="G43" i="1"/>
  <c r="H43" i="1"/>
  <c r="G42" i="1"/>
  <c r="H42" i="1"/>
  <c r="G35" i="1"/>
  <c r="H35" i="1"/>
  <c r="G34" i="1"/>
  <c r="H34" i="1"/>
  <c r="G33" i="1"/>
  <c r="H33" i="1"/>
  <c r="G32" i="1"/>
  <c r="H32" i="1"/>
  <c r="G31" i="1"/>
  <c r="H31" i="1"/>
  <c r="G30" i="1"/>
  <c r="H30" i="1"/>
  <c r="H36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H103" i="1"/>
  <c r="D105" i="1"/>
  <c r="G97" i="1"/>
  <c r="F116" i="1"/>
  <c r="D116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F105" i="1"/>
  <c r="G102" i="1"/>
  <c r="H102" i="1"/>
  <c r="G101" i="1"/>
  <c r="H101" i="1"/>
  <c r="G100" i="1"/>
  <c r="G99" i="1"/>
  <c r="H99" i="1"/>
  <c r="G98" i="1"/>
  <c r="H98" i="1"/>
  <c r="F81" i="1"/>
  <c r="D81" i="1"/>
  <c r="E81" i="1"/>
  <c r="H59" i="1"/>
  <c r="H58" i="1"/>
  <c r="H57" i="1"/>
  <c r="H79" i="1"/>
  <c r="H78" i="1"/>
  <c r="H77" i="1"/>
  <c r="H76" i="1"/>
  <c r="G81" i="1"/>
  <c r="H14" i="1"/>
  <c r="G69" i="1"/>
  <c r="B69" i="1"/>
  <c r="E67" i="1"/>
  <c r="E66" i="1"/>
  <c r="H66" i="1"/>
  <c r="F69" i="1"/>
  <c r="G61" i="1"/>
  <c r="F61" i="1"/>
  <c r="D61" i="1"/>
  <c r="F38" i="1"/>
  <c r="D38" i="1"/>
  <c r="H25" i="1"/>
  <c r="H24" i="1"/>
  <c r="H23" i="1"/>
  <c r="H22" i="1"/>
  <c r="H21" i="1"/>
  <c r="B5" i="1"/>
  <c r="H49" i="1"/>
  <c r="G49" i="1"/>
  <c r="B4" i="1"/>
  <c r="G105" i="1"/>
  <c r="G94" i="1"/>
  <c r="G116" i="1"/>
  <c r="H108" i="1"/>
  <c r="H116" i="1"/>
  <c r="H94" i="1"/>
  <c r="H97" i="1"/>
  <c r="H100" i="1"/>
  <c r="H61" i="1"/>
  <c r="H67" i="1"/>
  <c r="H69" i="1"/>
  <c r="H81" i="1"/>
  <c r="H27" i="1"/>
  <c r="H38" i="1"/>
  <c r="H52" i="1"/>
  <c r="G38" i="1"/>
  <c r="G52" i="1"/>
  <c r="G119" i="1"/>
  <c r="H105" i="1"/>
  <c r="H119" i="1"/>
  <c r="B3" i="1"/>
</calcChain>
</file>

<file path=xl/sharedStrings.xml><?xml version="1.0" encoding="utf-8"?>
<sst xmlns="http://schemas.openxmlformats.org/spreadsheetml/2006/main" count="196" uniqueCount="86">
  <si>
    <t>Summary</t>
  </si>
  <si>
    <t>Key</t>
  </si>
  <si>
    <r>
      <t xml:space="preserve">Average Power Disipated (W)
</t>
    </r>
    <r>
      <rPr>
        <sz val="24"/>
        <color theme="1"/>
        <rFont val="Calibri"/>
        <family val="2"/>
        <scheme val="minor"/>
      </rPr>
      <t>(based on percent of orbit
that devices are on)</t>
    </r>
  </si>
  <si>
    <r>
      <t xml:space="preserve">Best Case Power Gen (W)
</t>
    </r>
    <r>
      <rPr>
        <sz val="24"/>
        <color theme="1"/>
        <rFont val="Calibri"/>
        <family val="2"/>
        <scheme val="minor"/>
      </rPr>
      <t>(100% in the sun 100% sun pointing)</t>
    </r>
  </si>
  <si>
    <r>
      <t>current on distributed  3.3V rail (mA)
(</t>
    </r>
    <r>
      <rPr>
        <sz val="24"/>
        <color theme="1"/>
        <rFont val="Calibri"/>
        <family val="2"/>
        <scheme val="minor"/>
      </rPr>
      <t>everything on)</t>
    </r>
  </si>
  <si>
    <r>
      <t xml:space="preserve">Worst Case Power Gen (W)
</t>
    </r>
    <r>
      <rPr>
        <sz val="24"/>
        <color theme="1"/>
        <rFont val="Calibri"/>
        <family val="2"/>
        <scheme val="minor"/>
      </rPr>
      <t>(55% in the sun, Velocity pointing)</t>
    </r>
  </si>
  <si>
    <r>
      <t xml:space="preserve">current on distributed 5V rail (mA)
</t>
    </r>
    <r>
      <rPr>
        <sz val="24"/>
        <color theme="1"/>
        <rFont val="Calibri"/>
        <family val="2"/>
        <scheme val="minor"/>
      </rPr>
      <t>(everythin on)</t>
    </r>
  </si>
  <si>
    <t>PPT</t>
  </si>
  <si>
    <t>Charge Waveform</t>
  </si>
  <si>
    <t>sawtooth waveform average
 (1 second)</t>
  </si>
  <si>
    <t>sawtoth waveform Max</t>
  </si>
  <si>
    <t>charge unit 
(2 seconds total: 1 second sawtooth waveform between 1/2 second breaks)</t>
  </si>
  <si>
    <t>fire rate ( sawtooth waveform every 2 seconds)</t>
  </si>
  <si>
    <t>average current</t>
  </si>
  <si>
    <t>Duty cycle (per orbit)</t>
  </si>
  <si>
    <t>nominal current (mA)</t>
  </si>
  <si>
    <t>nominal power (W)</t>
  </si>
  <si>
    <t>comments</t>
  </si>
  <si>
    <t>2.12A (14W)</t>
  </si>
  <si>
    <t>8A (52.8W)</t>
  </si>
  <si>
    <t>1.06A (7W)</t>
  </si>
  <si>
    <t>.5  Hz</t>
  </si>
  <si>
    <t>1.06A</t>
  </si>
  <si>
    <t>Only fires in the sun, after the batteries are fully charged.</t>
  </si>
  <si>
    <t>average power per orbit (W)</t>
  </si>
  <si>
    <t>ADCS</t>
  </si>
  <si>
    <t>Battery Rail (6.6v nominal)</t>
  </si>
  <si>
    <t>subassembly</t>
  </si>
  <si>
    <t>Part Information</t>
  </si>
  <si>
    <t>quantity</t>
  </si>
  <si>
    <t>peak current</t>
  </si>
  <si>
    <t>nominal power</t>
  </si>
  <si>
    <t>average power per orbit</t>
  </si>
  <si>
    <t>reaction wheels</t>
  </si>
  <si>
    <t>total current (mA)</t>
  </si>
  <si>
    <t>total peak current (mA)</t>
  </si>
  <si>
    <t>Total nominal power (W)</t>
  </si>
  <si>
    <t>Average Power Per Orbit</t>
  </si>
  <si>
    <t>3.3V Rail</t>
  </si>
  <si>
    <t xml:space="preserve">subassembly </t>
  </si>
  <si>
    <t>Part information</t>
  </si>
  <si>
    <t>average ower per orbit</t>
  </si>
  <si>
    <t>msp430</t>
  </si>
  <si>
    <t>msp432</t>
  </si>
  <si>
    <t>IMU</t>
  </si>
  <si>
    <t>lsm6dsm</t>
  </si>
  <si>
    <t>hmc5883l</t>
  </si>
  <si>
    <t>nano SSOC d60</t>
  </si>
  <si>
    <t>NOVATEL OEM 615</t>
  </si>
  <si>
    <t>photodiod wire path</t>
  </si>
  <si>
    <t>tbd based on wire lengths</t>
  </si>
  <si>
    <t>total power (W)</t>
  </si>
  <si>
    <t>Average power per orbit</t>
  </si>
  <si>
    <t>5V Rail</t>
  </si>
  <si>
    <t>Duty cycle (percent of an orbit)</t>
  </si>
  <si>
    <t>magnetorquers</t>
  </si>
  <si>
    <t xml:space="preserve">Summary </t>
  </si>
  <si>
    <t>Comm 2</t>
  </si>
  <si>
    <t xml:space="preserve">sdr </t>
  </si>
  <si>
    <t>1% duty cycle is an overestimate because this syubsystem will hardly every be on.. IT will only be on during a rare pass when we happen to be pointing at UW while also velocit and sun pointing.</t>
  </si>
  <si>
    <t>rasbery pi 3</t>
  </si>
  <si>
    <t>rf front end</t>
  </si>
  <si>
    <t>Comm 1</t>
  </si>
  <si>
    <t>State</t>
  </si>
  <si>
    <t>Nominal current (mA)</t>
  </si>
  <si>
    <t>Time on  (minutes) (estimate)</t>
  </si>
  <si>
    <t>On every (hours) (estimate)</t>
  </si>
  <si>
    <t>Idle</t>
  </si>
  <si>
    <t>Duty cycle based on estimate of transmitting for 7 min every 4 hours.</t>
  </si>
  <si>
    <t>Transmitting</t>
  </si>
  <si>
    <t xml:space="preserve">Power </t>
  </si>
  <si>
    <t>Duty cycle (percent of orbit)</t>
  </si>
  <si>
    <t>nominal power (with efficiency)</t>
  </si>
  <si>
    <t>Coulomb Counter</t>
  </si>
  <si>
    <t>LTC2943</t>
  </si>
  <si>
    <t>Battery Heater</t>
  </si>
  <si>
    <t>components running off of 5V LDO,     efficiency =  5v / 6.6v = .757</t>
  </si>
  <si>
    <t>Temp Sensor</t>
  </si>
  <si>
    <t>LM57-q1</t>
  </si>
  <si>
    <t>components running off of 3.3V LDO,     efficiency =  3.3v / 6.6v = .5</t>
  </si>
  <si>
    <t>MSP430</t>
  </si>
  <si>
    <t>Total current adjusted for efficiencys</t>
  </si>
  <si>
    <t>Rasbeck Aviation High School</t>
  </si>
  <si>
    <t>Camera</t>
  </si>
  <si>
    <t>This subsystem is only turned on from the ground so I chose to estimate it as 1%</t>
  </si>
  <si>
    <t>Rasbery Pi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</si>
</sst>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6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9" fontId="2" fillId="0" borderId="0" xfId="0" applyNumberFormat="1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2" fillId="3" borderId="20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29" xfId="0" applyFont="1" applyFill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8" xfId="0" applyFont="1" applyFill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3" borderId="5" xfId="0" applyFont="1" applyFill="1" applyBorder="1" applyAlignment="1">
      <alignment wrapText="1"/>
    </xf>
    <xf numFmtId="0" fontId="2" fillId="0" borderId="35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0" fontId="2" fillId="2" borderId="34" xfId="0" applyFont="1" applyFill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317500</xdr:rowOff>
    </xdr:from>
    <xdr:to>
      <xdr:col>5</xdr:col>
      <xdr:colOff>1301750</xdr:colOff>
      <xdr:row>2</xdr:row>
      <xdr:rowOff>809625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176000" y="698500"/>
          <a:ext cx="825500" cy="492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222250</xdr:colOff>
      <xdr:row>2</xdr:row>
      <xdr:rowOff>79375</xdr:rowOff>
    </xdr:from>
    <xdr:to>
      <xdr:col>7</xdr:col>
      <xdr:colOff>1492250</xdr:colOff>
      <xdr:row>2</xdr:row>
      <xdr:rowOff>1016000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922000" y="460375"/>
          <a:ext cx="4826000" cy="936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2400"/>
            <a:t>= subsystem</a:t>
          </a:r>
          <a:r>
            <a:rPr lang="en-US" sz="2400" baseline="0"/>
            <a:t> average power</a:t>
          </a:r>
          <a:endParaRPr lang="en-US" sz="2400"/>
        </a:p>
      </xdr:txBody>
    </xdr:sp>
    <xdr:clientData/>
  </xdr:twoCellAnchor>
  <xdr:twoCellAnchor>
    <xdr:from>
      <xdr:col>5</xdr:col>
      <xdr:colOff>263524</xdr:colOff>
      <xdr:row>2</xdr:row>
      <xdr:rowOff>1136650</xdr:rowOff>
    </xdr:from>
    <xdr:to>
      <xdr:col>8</xdr:col>
      <xdr:colOff>1460500</xdr:colOff>
      <xdr:row>3</xdr:row>
      <xdr:rowOff>358775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963274" y="1517650"/>
          <a:ext cx="6276976" cy="936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= Current</a:t>
          </a:r>
          <a:r>
            <a:rPr lang="en-US" sz="2400" baseline="0"/>
            <a:t> limits relevant</a:t>
          </a:r>
        </a:p>
        <a:p>
          <a:pPr algn="ctr"/>
          <a:r>
            <a:rPr lang="en-US" sz="2400" baseline="0"/>
            <a:t> to the dstribution board</a:t>
          </a:r>
          <a:endParaRPr lang="en-US" sz="2400"/>
        </a:p>
      </xdr:txBody>
    </xdr:sp>
    <xdr:clientData/>
  </xdr:twoCellAnchor>
  <xdr:twoCellAnchor>
    <xdr:from>
      <xdr:col>5</xdr:col>
      <xdr:colOff>508000</xdr:colOff>
      <xdr:row>2</xdr:row>
      <xdr:rowOff>1317625</xdr:rowOff>
    </xdr:from>
    <xdr:to>
      <xdr:col>5</xdr:col>
      <xdr:colOff>1317625</xdr:colOff>
      <xdr:row>3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207750" y="1698625"/>
          <a:ext cx="809625" cy="523875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9"/>
  <sheetViews>
    <sheetView tabSelected="1" zoomScale="40" zoomScaleNormal="40" workbookViewId="0" xr3:uid="{AEA406A1-0E4B-5B11-9CD5-51D6E497D94C}">
      <selection sqref="A1:I119"/>
    </sheetView>
  </sheetViews>
  <sheetFormatPr defaultRowHeight="14.45"/>
  <cols>
    <col min="1" max="1" width="37.28515625" customWidth="1"/>
    <col min="2" max="2" width="28.5703125" customWidth="1"/>
    <col min="3" max="3" width="29.5703125" customWidth="1"/>
    <col min="4" max="4" width="31.42578125" customWidth="1"/>
    <col min="5" max="5" width="26.42578125" customWidth="1"/>
    <col min="6" max="6" width="28.140625" customWidth="1"/>
    <col min="7" max="7" width="22.7109375" customWidth="1"/>
    <col min="8" max="8" width="21.85546875" customWidth="1"/>
    <col min="9" max="9" width="56.5703125" customWidth="1"/>
  </cols>
  <sheetData>
    <row r="1" spans="1:9" ht="31.5">
      <c r="A1" s="1" t="s">
        <v>0</v>
      </c>
      <c r="B1" s="2"/>
      <c r="C1" s="2"/>
      <c r="D1" s="3"/>
      <c r="E1" s="7"/>
      <c r="F1" s="8" t="s">
        <v>1</v>
      </c>
      <c r="G1" s="8"/>
      <c r="H1" s="8"/>
      <c r="I1" s="7"/>
    </row>
    <row r="2" spans="1:9" ht="31.5">
      <c r="A2" s="4"/>
      <c r="B2" s="5"/>
      <c r="C2" s="5"/>
      <c r="D2" s="6"/>
      <c r="E2" s="7"/>
      <c r="F2" s="8"/>
      <c r="G2" s="8"/>
      <c r="H2" s="8"/>
      <c r="I2" s="7"/>
    </row>
    <row r="3" spans="1:9" ht="189">
      <c r="A3" s="9" t="s">
        <v>2</v>
      </c>
      <c r="B3" s="10">
        <f>H14 + H52 + H61 + H69 + H81</f>
        <v>4.0628120000000001</v>
      </c>
      <c r="C3" s="11" t="s">
        <v>3</v>
      </c>
      <c r="D3" s="12">
        <v>18.47</v>
      </c>
      <c r="E3" s="10"/>
      <c r="F3" s="8"/>
      <c r="G3" s="8"/>
      <c r="H3" s="10"/>
      <c r="I3" s="10"/>
    </row>
    <row r="4" spans="1:9" ht="189">
      <c r="A4" s="13" t="s">
        <v>4</v>
      </c>
      <c r="B4" s="10">
        <f>D38 +D105</f>
        <v>409.55</v>
      </c>
      <c r="C4" s="11" t="s">
        <v>5</v>
      </c>
      <c r="D4" s="12">
        <v>10.82</v>
      </c>
      <c r="E4" s="10"/>
      <c r="F4" s="8"/>
      <c r="G4" s="8"/>
      <c r="H4" s="10"/>
      <c r="I4" s="10"/>
    </row>
    <row r="5" spans="1:9" ht="126">
      <c r="A5" s="13" t="s">
        <v>6</v>
      </c>
      <c r="B5" s="10">
        <f xml:space="preserve"> F49 + F116</f>
        <v>50</v>
      </c>
      <c r="C5" s="10"/>
      <c r="D5" s="12"/>
      <c r="E5" s="10"/>
      <c r="F5" s="10"/>
      <c r="G5" s="10"/>
      <c r="H5" s="10"/>
      <c r="I5" s="10"/>
    </row>
    <row r="6" spans="1:9" ht="31.5">
      <c r="A6" s="14"/>
      <c r="B6" s="15"/>
      <c r="C6" s="10"/>
      <c r="D6" s="12"/>
      <c r="E6" s="10"/>
      <c r="F6" s="10"/>
      <c r="G6" s="10"/>
      <c r="H6" s="10"/>
      <c r="I6" s="10"/>
    </row>
    <row r="7" spans="1:9" ht="31.5">
      <c r="A7" s="16"/>
      <c r="B7" s="17"/>
      <c r="C7" s="17"/>
      <c r="D7" s="18"/>
      <c r="E7" s="19"/>
      <c r="F7" s="19"/>
      <c r="G7" s="19"/>
      <c r="H7" s="19"/>
      <c r="I7" s="19"/>
    </row>
    <row r="8" spans="1:9" ht="15">
      <c r="A8" s="20" t="s">
        <v>7</v>
      </c>
      <c r="B8" s="21"/>
      <c r="C8" s="21"/>
      <c r="D8" s="21"/>
      <c r="E8" s="21"/>
      <c r="F8" s="21"/>
      <c r="G8" s="21"/>
      <c r="H8" s="21"/>
      <c r="I8" s="22"/>
    </row>
    <row r="9" spans="1:9" ht="15">
      <c r="A9" s="23"/>
      <c r="B9" s="24"/>
      <c r="C9" s="24"/>
      <c r="D9" s="24"/>
      <c r="E9" s="24"/>
      <c r="F9" s="24"/>
      <c r="G9" s="24"/>
      <c r="H9" s="24"/>
      <c r="I9" s="25"/>
    </row>
    <row r="10" spans="1:9" ht="31.5">
      <c r="A10" s="26" t="s">
        <v>8</v>
      </c>
      <c r="B10" s="27"/>
      <c r="C10" s="27"/>
      <c r="D10" s="27"/>
      <c r="E10" s="27"/>
      <c r="F10" s="27"/>
      <c r="G10" s="27"/>
      <c r="H10" s="27"/>
      <c r="I10" s="28"/>
    </row>
    <row r="11" spans="1:9" ht="252">
      <c r="A11" s="29" t="s">
        <v>9</v>
      </c>
      <c r="B11" s="30" t="s">
        <v>10</v>
      </c>
      <c r="C11" s="31" t="s">
        <v>11</v>
      </c>
      <c r="D11" s="31" t="s">
        <v>12</v>
      </c>
      <c r="E11" s="31" t="s">
        <v>13</v>
      </c>
      <c r="F11" s="31" t="s">
        <v>14</v>
      </c>
      <c r="G11" s="32" t="s">
        <v>15</v>
      </c>
      <c r="H11" s="33" t="s">
        <v>16</v>
      </c>
      <c r="I11" s="34" t="s">
        <v>17</v>
      </c>
    </row>
    <row r="12" spans="1:9" ht="94.5">
      <c r="A12" s="35" t="s">
        <v>18</v>
      </c>
      <c r="B12" s="36" t="s">
        <v>19</v>
      </c>
      <c r="C12" s="36" t="s">
        <v>20</v>
      </c>
      <c r="D12" s="37" t="s">
        <v>21</v>
      </c>
      <c r="E12" s="37" t="s">
        <v>22</v>
      </c>
      <c r="F12" s="38">
        <v>0.3</v>
      </c>
      <c r="G12" s="39">
        <v>1060</v>
      </c>
      <c r="H12" s="40">
        <v>7</v>
      </c>
      <c r="I12" s="41" t="s">
        <v>23</v>
      </c>
    </row>
    <row r="13" spans="1:9" ht="94.5">
      <c r="A13" s="42"/>
      <c r="B13" s="43"/>
      <c r="C13" s="43"/>
      <c r="D13" s="43"/>
      <c r="E13" s="44"/>
      <c r="F13" s="44"/>
      <c r="G13" s="45"/>
      <c r="H13" s="46" t="s">
        <v>24</v>
      </c>
      <c r="I13" s="41"/>
    </row>
    <row r="14" spans="1:9" ht="31.5">
      <c r="A14" s="47"/>
      <c r="B14" s="48"/>
      <c r="C14" s="48"/>
      <c r="D14" s="48"/>
      <c r="E14" s="49"/>
      <c r="F14" s="49"/>
      <c r="G14" s="50"/>
      <c r="H14" s="51">
        <f>H12 *F12</f>
        <v>2.1</v>
      </c>
      <c r="I14" s="52"/>
    </row>
    <row r="15" spans="1:9" ht="15">
      <c r="A15" s="20" t="s">
        <v>25</v>
      </c>
      <c r="B15" s="21"/>
      <c r="C15" s="21"/>
      <c r="D15" s="21"/>
      <c r="E15" s="21"/>
      <c r="F15" s="21"/>
      <c r="G15" s="53"/>
      <c r="H15" s="53"/>
      <c r="I15" s="22"/>
    </row>
    <row r="16" spans="1:9" ht="15">
      <c r="A16" s="23"/>
      <c r="B16" s="24"/>
      <c r="C16" s="24"/>
      <c r="D16" s="24"/>
      <c r="E16" s="24"/>
      <c r="F16" s="24"/>
      <c r="G16" s="24"/>
      <c r="H16" s="24"/>
      <c r="I16" s="25"/>
    </row>
    <row r="17" spans="1:9" ht="31.5">
      <c r="A17" s="26" t="s">
        <v>26</v>
      </c>
      <c r="B17" s="27"/>
      <c r="C17" s="27"/>
      <c r="D17" s="27"/>
      <c r="E17" s="27"/>
      <c r="F17" s="27"/>
      <c r="G17" s="27"/>
      <c r="H17" s="27"/>
      <c r="I17" s="28"/>
    </row>
    <row r="18" spans="1:9" ht="94.5">
      <c r="A18" s="54" t="s">
        <v>27</v>
      </c>
      <c r="B18" s="31" t="s">
        <v>28</v>
      </c>
      <c r="C18" s="31" t="s">
        <v>29</v>
      </c>
      <c r="D18" s="31" t="s">
        <v>15</v>
      </c>
      <c r="E18" s="31" t="s">
        <v>14</v>
      </c>
      <c r="F18" s="55" t="s">
        <v>30</v>
      </c>
      <c r="G18" s="56" t="s">
        <v>31</v>
      </c>
      <c r="H18" s="57" t="s">
        <v>32</v>
      </c>
      <c r="I18" s="58" t="s">
        <v>17</v>
      </c>
    </row>
    <row r="19" spans="1:9" ht="31.5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63">
      <c r="A20" s="35" t="s">
        <v>33</v>
      </c>
      <c r="B20" s="36" t="s">
        <v>33</v>
      </c>
      <c r="C20" s="36">
        <v>3</v>
      </c>
      <c r="D20" s="36">
        <v>50</v>
      </c>
      <c r="E20" s="36">
        <v>70</v>
      </c>
      <c r="F20" s="59">
        <v>150</v>
      </c>
      <c r="G20" s="37">
        <f xml:space="preserve"> ( D20 /1000 ) * 6.6 * C20</f>
        <v>0.99</v>
      </c>
      <c r="H20" s="36">
        <f>G20 * (E20 / 100)</f>
        <v>0.69299999999999995</v>
      </c>
      <c r="I20" s="60"/>
    </row>
    <row r="21" spans="1:9" ht="31.5">
      <c r="A21" s="35"/>
      <c r="B21" s="36"/>
      <c r="C21" s="36"/>
      <c r="D21" s="36"/>
      <c r="E21" s="36"/>
      <c r="F21" s="61"/>
      <c r="G21" s="36"/>
      <c r="H21" s="36">
        <f t="shared" ref="H21:H25" si="0">G21 * (E21 / 100)</f>
        <v>0</v>
      </c>
      <c r="I21" s="60"/>
    </row>
    <row r="22" spans="1:9" ht="31.5">
      <c r="A22" s="35"/>
      <c r="B22" s="36"/>
      <c r="C22" s="36"/>
      <c r="D22" s="36"/>
      <c r="E22" s="36"/>
      <c r="F22" s="61"/>
      <c r="G22" s="36"/>
      <c r="H22" s="36">
        <f t="shared" si="0"/>
        <v>0</v>
      </c>
      <c r="I22" s="60"/>
    </row>
    <row r="23" spans="1:9" ht="31.5">
      <c r="A23" s="35"/>
      <c r="B23" s="36"/>
      <c r="C23" s="36"/>
      <c r="D23" s="36"/>
      <c r="E23" s="36"/>
      <c r="F23" s="61"/>
      <c r="G23" s="36"/>
      <c r="H23" s="36">
        <f t="shared" si="0"/>
        <v>0</v>
      </c>
      <c r="I23" s="60"/>
    </row>
    <row r="24" spans="1:9" ht="31.5">
      <c r="A24" s="35"/>
      <c r="B24" s="36"/>
      <c r="C24" s="36"/>
      <c r="D24" s="36"/>
      <c r="E24" s="36"/>
      <c r="F24" s="61"/>
      <c r="G24" s="36"/>
      <c r="H24" s="36">
        <f t="shared" si="0"/>
        <v>0</v>
      </c>
      <c r="I24" s="60"/>
    </row>
    <row r="25" spans="1:9" ht="31.5">
      <c r="A25" s="35"/>
      <c r="B25" s="36"/>
      <c r="C25" s="36"/>
      <c r="D25" s="36"/>
      <c r="E25" s="36"/>
      <c r="F25" s="61"/>
      <c r="G25" s="36"/>
      <c r="H25" s="36">
        <f t="shared" si="0"/>
        <v>0</v>
      </c>
      <c r="I25" s="60"/>
    </row>
    <row r="26" spans="1:9" ht="94.5">
      <c r="A26" s="42"/>
      <c r="B26" s="43"/>
      <c r="C26" s="43"/>
      <c r="D26" s="62" t="s">
        <v>34</v>
      </c>
      <c r="E26" s="43"/>
      <c r="F26" s="62" t="s">
        <v>35</v>
      </c>
      <c r="G26" s="63" t="s">
        <v>36</v>
      </c>
      <c r="H26" s="64" t="s">
        <v>37</v>
      </c>
      <c r="I26" s="60"/>
    </row>
    <row r="27" spans="1:9" ht="31.5">
      <c r="A27" s="35"/>
      <c r="B27" s="36"/>
      <c r="C27" s="36"/>
      <c r="D27" s="65">
        <v>70</v>
      </c>
      <c r="E27" s="36"/>
      <c r="F27" s="65">
        <v>200</v>
      </c>
      <c r="G27" s="66">
        <v>0.46200000000000002</v>
      </c>
      <c r="H27" s="67">
        <f>SUM(H19:H25)</f>
        <v>0.69299999999999995</v>
      </c>
      <c r="I27" s="60"/>
    </row>
    <row r="28" spans="1:9" ht="31.5">
      <c r="A28" s="68" t="s">
        <v>38</v>
      </c>
      <c r="B28" s="69"/>
      <c r="C28" s="69"/>
      <c r="D28" s="69"/>
      <c r="E28" s="69"/>
      <c r="F28" s="69"/>
      <c r="G28" s="69"/>
      <c r="H28" s="69"/>
      <c r="I28" s="70"/>
    </row>
    <row r="29" spans="1:9" ht="94.5">
      <c r="A29" s="54" t="s">
        <v>39</v>
      </c>
      <c r="B29" s="71" t="s">
        <v>40</v>
      </c>
      <c r="C29" s="31"/>
      <c r="D29" s="31" t="s">
        <v>15</v>
      </c>
      <c r="E29" s="31" t="s">
        <v>14</v>
      </c>
      <c r="F29" s="55" t="s">
        <v>30</v>
      </c>
      <c r="G29" s="56" t="s">
        <v>16</v>
      </c>
      <c r="H29" s="57" t="s">
        <v>41</v>
      </c>
      <c r="I29" s="58" t="s">
        <v>17</v>
      </c>
    </row>
    <row r="30" spans="1:9" ht="31.5">
      <c r="A30" s="35" t="s">
        <v>42</v>
      </c>
      <c r="B30" s="66" t="s">
        <v>42</v>
      </c>
      <c r="C30" s="36">
        <v>8</v>
      </c>
      <c r="D30" s="36">
        <v>1.9</v>
      </c>
      <c r="E30" s="36">
        <v>100</v>
      </c>
      <c r="F30" s="61"/>
      <c r="G30" s="36">
        <f>(D30 / 1000) * 3.3 * C30</f>
        <v>5.0159999999999996E-2</v>
      </c>
      <c r="H30" s="36">
        <f>G30 * (E30 / 100)</f>
        <v>5.0159999999999996E-2</v>
      </c>
      <c r="I30" s="72"/>
    </row>
    <row r="31" spans="1:9" ht="31.5">
      <c r="A31" s="35" t="s">
        <v>43</v>
      </c>
      <c r="B31" s="66" t="s">
        <v>43</v>
      </c>
      <c r="C31" s="36">
        <v>2</v>
      </c>
      <c r="D31" s="36">
        <v>3.9</v>
      </c>
      <c r="E31" s="36">
        <v>80</v>
      </c>
      <c r="F31" s="61"/>
      <c r="G31" s="36">
        <f t="shared" ref="G31:G35" si="1">(D31 / 1000) * 3.3 * C31</f>
        <v>2.5739999999999999E-2</v>
      </c>
      <c r="H31" s="36">
        <f t="shared" ref="H31:H36" si="2">G31 * (E31 / 100)</f>
        <v>2.0591999999999999E-2</v>
      </c>
      <c r="I31" s="60"/>
    </row>
    <row r="32" spans="1:9" ht="31.5">
      <c r="A32" s="35" t="s">
        <v>44</v>
      </c>
      <c r="B32" s="66" t="s">
        <v>45</v>
      </c>
      <c r="C32" s="36">
        <v>1</v>
      </c>
      <c r="D32" s="36">
        <v>0.65</v>
      </c>
      <c r="E32" s="36">
        <v>20</v>
      </c>
      <c r="F32" s="61"/>
      <c r="G32" s="36">
        <f t="shared" si="1"/>
        <v>2.1449999999999998E-3</v>
      </c>
      <c r="H32" s="36">
        <f t="shared" si="2"/>
        <v>4.2899999999999997E-4</v>
      </c>
      <c r="I32" s="60"/>
    </row>
    <row r="33" spans="1:9" ht="31.5">
      <c r="A33" s="35"/>
      <c r="B33" s="66" t="s">
        <v>46</v>
      </c>
      <c r="C33" s="37">
        <v>2</v>
      </c>
      <c r="D33" s="37">
        <v>0.1</v>
      </c>
      <c r="E33" s="37">
        <v>80</v>
      </c>
      <c r="F33" s="61"/>
      <c r="G33" s="36">
        <f t="shared" si="1"/>
        <v>6.6E-4</v>
      </c>
      <c r="H33" s="36">
        <f t="shared" si="2"/>
        <v>5.2800000000000004E-4</v>
      </c>
      <c r="I33" s="60"/>
    </row>
    <row r="34" spans="1:9" ht="63">
      <c r="A34" s="35"/>
      <c r="B34" s="66" t="s">
        <v>47</v>
      </c>
      <c r="C34" s="37">
        <v>2</v>
      </c>
      <c r="D34" s="37">
        <v>23</v>
      </c>
      <c r="E34" s="37">
        <v>40</v>
      </c>
      <c r="F34" s="61"/>
      <c r="G34" s="36">
        <f t="shared" si="1"/>
        <v>0.15179999999999999</v>
      </c>
      <c r="H34" s="36">
        <f t="shared" si="2"/>
        <v>6.0719999999999996E-2</v>
      </c>
      <c r="I34" s="60"/>
    </row>
    <row r="35" spans="1:9" ht="63">
      <c r="A35" s="35"/>
      <c r="B35" s="66" t="s">
        <v>48</v>
      </c>
      <c r="C35" s="37">
        <v>1</v>
      </c>
      <c r="D35" s="37">
        <v>300</v>
      </c>
      <c r="E35" s="37">
        <v>10</v>
      </c>
      <c r="F35" s="61"/>
      <c r="G35" s="36">
        <f t="shared" si="1"/>
        <v>0.98999999999999988</v>
      </c>
      <c r="H35" s="36">
        <f t="shared" si="2"/>
        <v>9.8999999999999991E-2</v>
      </c>
      <c r="I35" s="60"/>
    </row>
    <row r="36" spans="1:9" ht="63">
      <c r="A36" s="54" t="s">
        <v>49</v>
      </c>
      <c r="B36" s="71" t="s">
        <v>49</v>
      </c>
      <c r="C36" s="31">
        <v>1</v>
      </c>
      <c r="D36" s="31" t="s">
        <v>50</v>
      </c>
      <c r="E36" s="31"/>
      <c r="F36" s="55"/>
      <c r="G36" s="36"/>
      <c r="H36" s="36">
        <f t="shared" si="2"/>
        <v>0</v>
      </c>
      <c r="I36" s="60"/>
    </row>
    <row r="37" spans="1:9" ht="94.5">
      <c r="A37" s="42"/>
      <c r="B37" s="43"/>
      <c r="C37" s="43"/>
      <c r="D37" s="62" t="s">
        <v>34</v>
      </c>
      <c r="E37" s="43"/>
      <c r="F37" s="62" t="s">
        <v>35</v>
      </c>
      <c r="G37" s="63" t="s">
        <v>51</v>
      </c>
      <c r="H37" s="43" t="s">
        <v>52</v>
      </c>
      <c r="I37" s="60"/>
    </row>
    <row r="38" spans="1:9" ht="31.5">
      <c r="A38" s="35"/>
      <c r="B38" s="36"/>
      <c r="C38" s="36"/>
      <c r="D38" s="65">
        <f>SUM(D30:D37)</f>
        <v>329.55</v>
      </c>
      <c r="E38" s="36"/>
      <c r="F38" s="65">
        <f>SUM(F30:F36)</f>
        <v>0</v>
      </c>
      <c r="G38" s="66">
        <f>SUM(G30:G36)</f>
        <v>1.2205049999999997</v>
      </c>
      <c r="H38" s="36">
        <f>SUM(H30:H37)</f>
        <v>0.231429</v>
      </c>
      <c r="I38" s="60"/>
    </row>
    <row r="39" spans="1:9" ht="31.5">
      <c r="A39" s="68" t="s">
        <v>53</v>
      </c>
      <c r="B39" s="69"/>
      <c r="C39" s="69"/>
      <c r="D39" s="69"/>
      <c r="E39" s="69"/>
      <c r="F39" s="69"/>
      <c r="G39" s="69"/>
      <c r="H39" s="69"/>
      <c r="I39" s="70"/>
    </row>
    <row r="40" spans="1:9" ht="94.5">
      <c r="A40" s="54" t="s">
        <v>39</v>
      </c>
      <c r="B40" s="71" t="s">
        <v>40</v>
      </c>
      <c r="C40" s="31"/>
      <c r="D40" s="31" t="s">
        <v>15</v>
      </c>
      <c r="E40" s="31" t="s">
        <v>54</v>
      </c>
      <c r="F40" s="55" t="s">
        <v>30</v>
      </c>
      <c r="G40" s="56" t="s">
        <v>16</v>
      </c>
      <c r="H40" s="57" t="s">
        <v>41</v>
      </c>
      <c r="I40" s="58" t="s">
        <v>17</v>
      </c>
    </row>
    <row r="41" spans="1:9" ht="63">
      <c r="A41" s="35" t="s">
        <v>55</v>
      </c>
      <c r="B41" s="36" t="s">
        <v>55</v>
      </c>
      <c r="C41" s="36">
        <v>3</v>
      </c>
      <c r="D41" s="36">
        <v>20</v>
      </c>
      <c r="E41" s="36">
        <v>30</v>
      </c>
      <c r="F41" s="59">
        <v>50</v>
      </c>
      <c r="G41" s="37">
        <f xml:space="preserve"> ( D41 /1000 ) * 5 * C41</f>
        <v>0.30000000000000004</v>
      </c>
      <c r="H41" s="36">
        <f>G41 * (E41 / 100)</f>
        <v>9.0000000000000011E-2</v>
      </c>
      <c r="I41" s="72"/>
    </row>
    <row r="42" spans="1:9" ht="31.5">
      <c r="A42" s="35"/>
      <c r="B42" s="66"/>
      <c r="C42" s="36"/>
      <c r="D42" s="36"/>
      <c r="E42" s="36"/>
      <c r="F42" s="61"/>
      <c r="G42" s="36">
        <f t="shared" ref="G42:G46" si="3">(D42 / 1000) * 6.6</f>
        <v>0</v>
      </c>
      <c r="H42" s="36">
        <f t="shared" ref="H42:H47" si="4">G42 * (E42 / 100)</f>
        <v>0</v>
      </c>
      <c r="I42" s="60"/>
    </row>
    <row r="43" spans="1:9" ht="31.5">
      <c r="A43" s="35"/>
      <c r="B43" s="66"/>
      <c r="C43" s="36"/>
      <c r="D43" s="36"/>
      <c r="E43" s="36"/>
      <c r="F43" s="61"/>
      <c r="G43" s="36">
        <f t="shared" si="3"/>
        <v>0</v>
      </c>
      <c r="H43" s="36">
        <f t="shared" si="4"/>
        <v>0</v>
      </c>
      <c r="I43" s="60"/>
    </row>
    <row r="44" spans="1:9" ht="31.5">
      <c r="A44" s="35"/>
      <c r="B44" s="66"/>
      <c r="C44" s="37"/>
      <c r="D44" s="37"/>
      <c r="E44" s="37"/>
      <c r="F44" s="61"/>
      <c r="G44" s="36">
        <f t="shared" si="3"/>
        <v>0</v>
      </c>
      <c r="H44" s="36">
        <f t="shared" si="4"/>
        <v>0</v>
      </c>
      <c r="I44" s="60"/>
    </row>
    <row r="45" spans="1:9" ht="31.5">
      <c r="A45" s="35"/>
      <c r="B45" s="66"/>
      <c r="C45" s="37"/>
      <c r="D45" s="37"/>
      <c r="E45" s="37"/>
      <c r="F45" s="61"/>
      <c r="G45" s="36">
        <f t="shared" si="3"/>
        <v>0</v>
      </c>
      <c r="H45" s="36">
        <f t="shared" si="4"/>
        <v>0</v>
      </c>
      <c r="I45" s="60"/>
    </row>
    <row r="46" spans="1:9" ht="31.5">
      <c r="A46" s="35"/>
      <c r="B46" s="66"/>
      <c r="C46" s="37"/>
      <c r="D46" s="37"/>
      <c r="E46" s="37"/>
      <c r="F46" s="61"/>
      <c r="G46" s="36">
        <f t="shared" si="3"/>
        <v>0</v>
      </c>
      <c r="H46" s="36">
        <f t="shared" si="4"/>
        <v>0</v>
      </c>
      <c r="I46" s="60"/>
    </row>
    <row r="47" spans="1:9" ht="31.5">
      <c r="A47" s="54"/>
      <c r="B47" s="71"/>
      <c r="C47" s="31"/>
      <c r="D47" s="31"/>
      <c r="E47" s="31"/>
      <c r="F47" s="55"/>
      <c r="G47" s="36"/>
      <c r="H47" s="36">
        <f t="shared" si="4"/>
        <v>0</v>
      </c>
      <c r="I47" s="60"/>
    </row>
    <row r="48" spans="1:9" ht="94.5">
      <c r="A48" s="42"/>
      <c r="B48" s="43"/>
      <c r="C48" s="43"/>
      <c r="D48" s="62" t="s">
        <v>34</v>
      </c>
      <c r="E48" s="43"/>
      <c r="F48" s="62" t="s">
        <v>35</v>
      </c>
      <c r="G48" s="63" t="s">
        <v>51</v>
      </c>
      <c r="H48" s="43" t="s">
        <v>52</v>
      </c>
      <c r="I48" s="60"/>
    </row>
    <row r="49" spans="1:9" ht="31.5">
      <c r="A49" s="35"/>
      <c r="B49" s="36"/>
      <c r="C49" s="36"/>
      <c r="D49" s="65">
        <f>SUM(D41:D48)</f>
        <v>20</v>
      </c>
      <c r="E49" s="36"/>
      <c r="F49" s="65">
        <f>SUM(F41:F47)</f>
        <v>50</v>
      </c>
      <c r="G49" s="66">
        <f>SUM(G41:G47)</f>
        <v>0.30000000000000004</v>
      </c>
      <c r="H49" s="36">
        <f>SUM(H41:H47)</f>
        <v>9.0000000000000011E-2</v>
      </c>
      <c r="I49" s="60"/>
    </row>
    <row r="50" spans="1:9" ht="31.5">
      <c r="A50" s="68" t="s">
        <v>56</v>
      </c>
      <c r="B50" s="69"/>
      <c r="C50" s="69"/>
      <c r="D50" s="69"/>
      <c r="E50" s="69"/>
      <c r="F50" s="69"/>
      <c r="G50" s="69"/>
      <c r="H50" s="69"/>
      <c r="I50" s="73"/>
    </row>
    <row r="51" spans="1:9" ht="94.5">
      <c r="A51" s="35"/>
      <c r="B51" s="36"/>
      <c r="C51" s="36"/>
      <c r="D51" s="36"/>
      <c r="E51" s="36"/>
      <c r="F51" s="36"/>
      <c r="G51" s="74" t="s">
        <v>51</v>
      </c>
      <c r="H51" s="75" t="s">
        <v>52</v>
      </c>
      <c r="I51" s="76" t="s">
        <v>17</v>
      </c>
    </row>
    <row r="52" spans="1:9" ht="31.5">
      <c r="A52" s="47"/>
      <c r="B52" s="48"/>
      <c r="C52" s="48"/>
      <c r="D52" s="48"/>
      <c r="E52" s="48"/>
      <c r="F52" s="48"/>
      <c r="G52" s="47">
        <f>SUM(G33:G50)</f>
        <v>2.9629649999999996</v>
      </c>
      <c r="H52" s="77">
        <f>H38 + H27 +H49</f>
        <v>1.014429</v>
      </c>
      <c r="I52" s="78"/>
    </row>
    <row r="53" spans="1:9" ht="15">
      <c r="A53" s="20" t="s">
        <v>57</v>
      </c>
      <c r="B53" s="21"/>
      <c r="C53" s="21"/>
      <c r="D53" s="21"/>
      <c r="E53" s="21"/>
      <c r="F53" s="21"/>
      <c r="G53" s="21"/>
      <c r="H53" s="21"/>
      <c r="I53" s="22"/>
    </row>
    <row r="54" spans="1:9" ht="15">
      <c r="A54" s="23"/>
      <c r="B54" s="24"/>
      <c r="C54" s="24"/>
      <c r="D54" s="24"/>
      <c r="E54" s="24"/>
      <c r="F54" s="24"/>
      <c r="G54" s="24"/>
      <c r="H54" s="24"/>
      <c r="I54" s="25"/>
    </row>
    <row r="55" spans="1:9" ht="31.5">
      <c r="A55" s="26" t="s">
        <v>26</v>
      </c>
      <c r="B55" s="27"/>
      <c r="C55" s="27"/>
      <c r="D55" s="27"/>
      <c r="E55" s="27"/>
      <c r="F55" s="27"/>
      <c r="G55" s="27"/>
      <c r="H55" s="27"/>
      <c r="I55" s="28"/>
    </row>
    <row r="56" spans="1:9" ht="94.5">
      <c r="A56" s="54" t="s">
        <v>27</v>
      </c>
      <c r="B56" s="31" t="s">
        <v>28</v>
      </c>
      <c r="C56" s="31" t="s">
        <v>29</v>
      </c>
      <c r="D56" s="31" t="s">
        <v>15</v>
      </c>
      <c r="E56" s="31" t="s">
        <v>14</v>
      </c>
      <c r="F56" s="55" t="s">
        <v>30</v>
      </c>
      <c r="G56" s="56" t="s">
        <v>16</v>
      </c>
      <c r="H56" s="57" t="s">
        <v>32</v>
      </c>
      <c r="I56" s="58" t="s">
        <v>17</v>
      </c>
    </row>
    <row r="57" spans="1:9" ht="252">
      <c r="A57" s="35" t="s">
        <v>58</v>
      </c>
      <c r="B57" s="36"/>
      <c r="C57" s="36"/>
      <c r="D57" s="36">
        <v>303</v>
      </c>
      <c r="E57" s="79">
        <v>1</v>
      </c>
      <c r="F57" s="59"/>
      <c r="G57" s="37">
        <v>2</v>
      </c>
      <c r="H57" s="36">
        <f>G57 * (E57 / 100)</f>
        <v>0.02</v>
      </c>
      <c r="I57" s="72" t="s">
        <v>59</v>
      </c>
    </row>
    <row r="58" spans="1:9" ht="31.5">
      <c r="A58" s="35" t="s">
        <v>60</v>
      </c>
      <c r="B58" s="36"/>
      <c r="C58" s="36"/>
      <c r="D58" s="36">
        <v>454</v>
      </c>
      <c r="E58" s="79">
        <v>1</v>
      </c>
      <c r="F58" s="59"/>
      <c r="G58" s="37">
        <v>3</v>
      </c>
      <c r="H58" s="36">
        <f t="shared" ref="H58:H59" si="5">G58 * (E58 / 100)</f>
        <v>0.03</v>
      </c>
      <c r="I58" s="60"/>
    </row>
    <row r="59" spans="1:9" ht="31.5">
      <c r="A59" s="35" t="s">
        <v>61</v>
      </c>
      <c r="B59" s="36"/>
      <c r="C59" s="36"/>
      <c r="D59" s="36">
        <v>1666</v>
      </c>
      <c r="E59" s="79">
        <v>1</v>
      </c>
      <c r="F59" s="61"/>
      <c r="G59" s="36">
        <v>11</v>
      </c>
      <c r="H59" s="36">
        <f t="shared" si="5"/>
        <v>0.11</v>
      </c>
      <c r="I59" s="60"/>
    </row>
    <row r="60" spans="1:9" ht="94.5">
      <c r="A60" s="42"/>
      <c r="B60" s="43"/>
      <c r="C60" s="43"/>
      <c r="D60" s="62" t="s">
        <v>34</v>
      </c>
      <c r="E60" s="43"/>
      <c r="F60" s="62" t="s">
        <v>35</v>
      </c>
      <c r="G60" s="63" t="s">
        <v>36</v>
      </c>
      <c r="H60" s="80" t="s">
        <v>37</v>
      </c>
      <c r="I60" s="60"/>
    </row>
    <row r="61" spans="1:9" ht="31.5">
      <c r="A61" s="47"/>
      <c r="B61" s="48"/>
      <c r="C61" s="48"/>
      <c r="D61" s="81">
        <f>SUM(D57:D59)</f>
        <v>2423</v>
      </c>
      <c r="E61" s="48"/>
      <c r="F61" s="81">
        <f>SUM(F57:F59)</f>
        <v>0</v>
      </c>
      <c r="G61" s="82">
        <f>SUM(G57:G59)</f>
        <v>16</v>
      </c>
      <c r="H61" s="83">
        <f>SUM(H57:H59)</f>
        <v>0.16</v>
      </c>
      <c r="I61" s="84"/>
    </row>
    <row r="62" spans="1:9" ht="15">
      <c r="A62" s="20" t="s">
        <v>62</v>
      </c>
      <c r="B62" s="21"/>
      <c r="C62" s="21"/>
      <c r="D62" s="21"/>
      <c r="E62" s="21"/>
      <c r="F62" s="21"/>
      <c r="G62" s="21"/>
      <c r="H62" s="21"/>
      <c r="I62" s="22"/>
    </row>
    <row r="63" spans="1:9" ht="15">
      <c r="A63" s="23"/>
      <c r="B63" s="24"/>
      <c r="C63" s="24"/>
      <c r="D63" s="24"/>
      <c r="E63" s="24"/>
      <c r="F63" s="24"/>
      <c r="G63" s="24"/>
      <c r="H63" s="24"/>
      <c r="I63" s="25"/>
    </row>
    <row r="64" spans="1:9" ht="31.5">
      <c r="A64" s="26" t="s">
        <v>26</v>
      </c>
      <c r="B64" s="27"/>
      <c r="C64" s="27"/>
      <c r="D64" s="27"/>
      <c r="E64" s="27"/>
      <c r="F64" s="27"/>
      <c r="G64" s="27"/>
      <c r="H64" s="27"/>
      <c r="I64" s="28"/>
    </row>
    <row r="65" spans="1:9" ht="94.5">
      <c r="A65" s="85" t="s">
        <v>63</v>
      </c>
      <c r="B65" s="86" t="s">
        <v>64</v>
      </c>
      <c r="C65" s="86" t="s">
        <v>65</v>
      </c>
      <c r="D65" s="86" t="s">
        <v>66</v>
      </c>
      <c r="E65" s="31" t="s">
        <v>14</v>
      </c>
      <c r="F65" s="55" t="s">
        <v>30</v>
      </c>
      <c r="G65" s="56" t="s">
        <v>16</v>
      </c>
      <c r="H65" s="57" t="s">
        <v>52</v>
      </c>
      <c r="I65" s="58" t="s">
        <v>17</v>
      </c>
    </row>
    <row r="66" spans="1:9" ht="94.5">
      <c r="A66" s="35" t="s">
        <v>67</v>
      </c>
      <c r="B66" s="36">
        <v>53</v>
      </c>
      <c r="C66" s="36"/>
      <c r="D66" s="36"/>
      <c r="E66" s="36">
        <f>100 - E67</f>
        <v>97.083333333333329</v>
      </c>
      <c r="F66" s="59">
        <v>53</v>
      </c>
      <c r="G66" s="37">
        <v>0.35</v>
      </c>
      <c r="H66" s="36">
        <f>G66 * (E66 / 100)</f>
        <v>0.33979166666666666</v>
      </c>
      <c r="I66" s="72" t="s">
        <v>68</v>
      </c>
    </row>
    <row r="67" spans="1:9" ht="31.5">
      <c r="A67" s="35" t="s">
        <v>69</v>
      </c>
      <c r="B67" s="36">
        <v>190</v>
      </c>
      <c r="C67" s="36">
        <v>7</v>
      </c>
      <c r="D67" s="36">
        <v>4</v>
      </c>
      <c r="E67" s="36">
        <f>( C67 / (D67 *60) ) * 100</f>
        <v>2.9166666666666665</v>
      </c>
      <c r="F67" s="61">
        <v>190</v>
      </c>
      <c r="G67" s="36">
        <v>1.25</v>
      </c>
      <c r="H67" s="36">
        <f>G67 * (E67 / 100)</f>
        <v>3.6458333333333329E-2</v>
      </c>
      <c r="I67" s="60"/>
    </row>
    <row r="68" spans="1:9" ht="94.5">
      <c r="A68" s="42"/>
      <c r="B68" s="62" t="s">
        <v>34</v>
      </c>
      <c r="C68" s="43"/>
      <c r="D68" s="43"/>
      <c r="E68" s="43"/>
      <c r="F68" s="87" t="s">
        <v>35</v>
      </c>
      <c r="G68" s="63" t="s">
        <v>36</v>
      </c>
      <c r="H68" s="80" t="s">
        <v>37</v>
      </c>
      <c r="I68" s="60"/>
    </row>
    <row r="69" spans="1:9" ht="31.5">
      <c r="A69" s="47"/>
      <c r="B69" s="81">
        <f>SUM(B66:B67)</f>
        <v>243</v>
      </c>
      <c r="C69" s="48"/>
      <c r="D69" s="48"/>
      <c r="E69" s="48"/>
      <c r="F69" s="88">
        <f>SUM(F66:F67)</f>
        <v>243</v>
      </c>
      <c r="G69" s="82">
        <f>SUM(G66:G67)</f>
        <v>1.6</v>
      </c>
      <c r="H69" s="83">
        <f>SUM(H66:H67)</f>
        <v>0.37624999999999997</v>
      </c>
      <c r="I69" s="84"/>
    </row>
    <row r="70" spans="1:9" ht="15">
      <c r="A70" s="20" t="s">
        <v>70</v>
      </c>
      <c r="B70" s="21"/>
      <c r="C70" s="21"/>
      <c r="D70" s="21"/>
      <c r="E70" s="21"/>
      <c r="F70" s="21"/>
      <c r="G70" s="53"/>
      <c r="H70" s="53"/>
      <c r="I70" s="22"/>
    </row>
    <row r="71" spans="1:9" ht="15">
      <c r="A71" s="23"/>
      <c r="B71" s="24"/>
      <c r="C71" s="24"/>
      <c r="D71" s="24"/>
      <c r="E71" s="24"/>
      <c r="F71" s="24"/>
      <c r="G71" s="24"/>
      <c r="H71" s="24"/>
      <c r="I71" s="25"/>
    </row>
    <row r="72" spans="1:9" ht="31.5">
      <c r="A72" s="26" t="s">
        <v>26</v>
      </c>
      <c r="B72" s="27"/>
      <c r="C72" s="27"/>
      <c r="D72" s="27"/>
      <c r="E72" s="27"/>
      <c r="F72" s="27"/>
      <c r="G72" s="27"/>
      <c r="H72" s="27"/>
      <c r="I72" s="28"/>
    </row>
    <row r="73" spans="1:9" ht="126">
      <c r="A73" s="54" t="s">
        <v>27</v>
      </c>
      <c r="B73" s="31" t="s">
        <v>28</v>
      </c>
      <c r="C73" s="31" t="s">
        <v>29</v>
      </c>
      <c r="D73" s="31" t="s">
        <v>15</v>
      </c>
      <c r="E73" s="31" t="s">
        <v>71</v>
      </c>
      <c r="F73" s="55" t="s">
        <v>30</v>
      </c>
      <c r="G73" s="56" t="s">
        <v>72</v>
      </c>
      <c r="H73" s="57" t="s">
        <v>32</v>
      </c>
      <c r="I73" s="58" t="s">
        <v>17</v>
      </c>
    </row>
    <row r="74" spans="1:9" ht="31.5">
      <c r="A74" s="35" t="s">
        <v>73</v>
      </c>
      <c r="B74" s="36" t="s">
        <v>74</v>
      </c>
      <c r="C74" s="36">
        <v>1</v>
      </c>
      <c r="D74" s="36">
        <v>0.65</v>
      </c>
      <c r="E74" s="36">
        <v>100</v>
      </c>
      <c r="F74" s="61">
        <v>0.75</v>
      </c>
      <c r="G74" s="37">
        <f>(D74 / 1000) * 6.6 * C74</f>
        <v>4.2899999999999995E-3</v>
      </c>
      <c r="H74" s="36">
        <f>G74 * (E74 / 100)</f>
        <v>4.2899999999999995E-3</v>
      </c>
      <c r="I74" s="72"/>
    </row>
    <row r="75" spans="1:9" ht="31.5">
      <c r="A75" s="35" t="s">
        <v>75</v>
      </c>
      <c r="B75" s="36"/>
      <c r="C75" s="36">
        <v>4</v>
      </c>
      <c r="D75" s="36">
        <v>48.3</v>
      </c>
      <c r="E75" s="36">
        <v>30</v>
      </c>
      <c r="F75" s="59">
        <v>48.3</v>
      </c>
      <c r="G75" s="37">
        <f>(D75 / 1000) * 6.6 * C75</f>
        <v>1.2751199999999998</v>
      </c>
      <c r="H75" s="36">
        <f t="shared" ref="H75:H79" si="6">G75 * (E75 / 100)</f>
        <v>0.38253599999999993</v>
      </c>
      <c r="I75" s="60"/>
    </row>
    <row r="76" spans="1:9" ht="31.5">
      <c r="A76" s="89" t="s">
        <v>76</v>
      </c>
      <c r="B76" s="90"/>
      <c r="C76" s="90"/>
      <c r="D76" s="90"/>
      <c r="E76" s="90"/>
      <c r="F76" s="91"/>
      <c r="G76" s="36"/>
      <c r="H76" s="36">
        <f t="shared" si="6"/>
        <v>0</v>
      </c>
      <c r="I76" s="60"/>
    </row>
    <row r="77" spans="1:9" ht="31.5">
      <c r="A77" s="35" t="s">
        <v>77</v>
      </c>
      <c r="B77" s="36" t="s">
        <v>78</v>
      </c>
      <c r="C77" s="36">
        <v>1</v>
      </c>
      <c r="D77" s="36">
        <v>2.5999999999999999E-2</v>
      </c>
      <c r="E77" s="36">
        <v>100</v>
      </c>
      <c r="F77" s="59">
        <v>2.9000000000000001E-2</v>
      </c>
      <c r="G77" s="37">
        <v>2.2699999999999999E-4</v>
      </c>
      <c r="H77" s="36">
        <f t="shared" si="6"/>
        <v>2.2699999999999999E-4</v>
      </c>
      <c r="I77" s="60"/>
    </row>
    <row r="78" spans="1:9" ht="31.5">
      <c r="A78" s="89" t="s">
        <v>79</v>
      </c>
      <c r="B78" s="90"/>
      <c r="C78" s="90"/>
      <c r="D78" s="90"/>
      <c r="E78" s="90"/>
      <c r="F78" s="91"/>
      <c r="G78" s="36"/>
      <c r="H78" s="36">
        <f t="shared" si="6"/>
        <v>0</v>
      </c>
      <c r="I78" s="60"/>
    </row>
    <row r="79" spans="1:9" ht="31.5">
      <c r="A79" s="35" t="s">
        <v>80</v>
      </c>
      <c r="B79" s="36"/>
      <c r="C79" s="36">
        <v>1</v>
      </c>
      <c r="D79" s="36">
        <v>1.9</v>
      </c>
      <c r="E79" s="36">
        <v>100</v>
      </c>
      <c r="F79" s="61">
        <v>2.5</v>
      </c>
      <c r="G79" s="37">
        <v>2.5080000000000002E-2</v>
      </c>
      <c r="H79" s="36">
        <f t="shared" si="6"/>
        <v>2.5080000000000002E-2</v>
      </c>
      <c r="I79" s="60"/>
    </row>
    <row r="80" spans="1:9" ht="94.5">
      <c r="A80" s="42"/>
      <c r="B80" s="43"/>
      <c r="C80" s="43"/>
      <c r="D80" s="44" t="s">
        <v>34</v>
      </c>
      <c r="E80" s="62" t="s">
        <v>81</v>
      </c>
      <c r="F80" s="62" t="s">
        <v>35</v>
      </c>
      <c r="G80" s="63" t="s">
        <v>36</v>
      </c>
      <c r="H80" s="80" t="s">
        <v>37</v>
      </c>
      <c r="I80" s="60"/>
    </row>
    <row r="81" spans="1:9" ht="31.5">
      <c r="A81" s="47"/>
      <c r="B81" s="48"/>
      <c r="C81" s="48"/>
      <c r="D81" s="49">
        <f xml:space="preserve"> D74 + D75 +D77 +D79</f>
        <v>50.875999999999998</v>
      </c>
      <c r="E81" s="81">
        <f>D75 +D74+( D77 / 0.757) + ( D79 / 0.5)</f>
        <v>52.784346103038303</v>
      </c>
      <c r="F81" s="81">
        <f xml:space="preserve"> F74 +F75 + (F77 / 0.757) + (F79 / 0.5)</f>
        <v>54.088309114927341</v>
      </c>
      <c r="G81" s="82">
        <f>SUM(G74:G79)</f>
        <v>1.3047169999999997</v>
      </c>
      <c r="H81" s="83">
        <f>SUM(H74:H79)</f>
        <v>0.41213299999999992</v>
      </c>
      <c r="I81" s="84"/>
    </row>
    <row r="82" spans="1:9" ht="15">
      <c r="A82" s="20" t="s">
        <v>82</v>
      </c>
      <c r="B82" s="21"/>
      <c r="C82" s="21"/>
      <c r="D82" s="21"/>
      <c r="E82" s="21"/>
      <c r="F82" s="21"/>
      <c r="G82" s="53"/>
      <c r="H82" s="53"/>
      <c r="I82" s="22"/>
    </row>
    <row r="83" spans="1:9" ht="15">
      <c r="A83" s="23"/>
      <c r="B83" s="24"/>
      <c r="C83" s="24"/>
      <c r="D83" s="24"/>
      <c r="E83" s="24"/>
      <c r="F83" s="24"/>
      <c r="G83" s="24"/>
      <c r="H83" s="24"/>
      <c r="I83" s="25"/>
    </row>
    <row r="84" spans="1:9" ht="31.5">
      <c r="A84" s="26" t="s">
        <v>26</v>
      </c>
      <c r="B84" s="27"/>
      <c r="C84" s="27"/>
      <c r="D84" s="27"/>
      <c r="E84" s="27"/>
      <c r="F84" s="27"/>
      <c r="G84" s="27"/>
      <c r="H84" s="27"/>
      <c r="I84" s="28"/>
    </row>
    <row r="85" spans="1:9" ht="94.5">
      <c r="A85" s="54" t="s">
        <v>27</v>
      </c>
      <c r="B85" s="31" t="s">
        <v>28</v>
      </c>
      <c r="C85" s="31" t="s">
        <v>29</v>
      </c>
      <c r="D85" s="31" t="s">
        <v>15</v>
      </c>
      <c r="E85" s="31" t="s">
        <v>54</v>
      </c>
      <c r="F85" s="55" t="s">
        <v>30</v>
      </c>
      <c r="G85" s="56" t="s">
        <v>31</v>
      </c>
      <c r="H85" s="57" t="s">
        <v>32</v>
      </c>
      <c r="I85" s="58" t="s">
        <v>17</v>
      </c>
    </row>
    <row r="86" spans="1:9" ht="126">
      <c r="A86" s="35" t="s">
        <v>83</v>
      </c>
      <c r="B86" s="36"/>
      <c r="C86" s="36">
        <v>1</v>
      </c>
      <c r="D86" s="36">
        <v>250</v>
      </c>
      <c r="E86" s="36">
        <v>1</v>
      </c>
      <c r="F86" s="59"/>
      <c r="G86" s="37">
        <f>( D86 / 1000) * 6.6</f>
        <v>1.65</v>
      </c>
      <c r="H86" s="36">
        <f xml:space="preserve"> G86 * (E86 / 100 )</f>
        <v>1.6500000000000001E-2</v>
      </c>
      <c r="I86" s="72" t="s">
        <v>84</v>
      </c>
    </row>
    <row r="87" spans="1:9" ht="31.5">
      <c r="A87" s="35"/>
      <c r="B87" s="36"/>
      <c r="C87" s="36"/>
      <c r="D87" s="36"/>
      <c r="E87" s="36"/>
      <c r="F87" s="59"/>
      <c r="G87" s="37">
        <f t="shared" ref="G87:G92" si="7">( D87 / 1000) * 6.6</f>
        <v>0</v>
      </c>
      <c r="H87" s="36">
        <f t="shared" ref="H87:H92" si="8" xml:space="preserve"> G87 * (E87 / 100 )</f>
        <v>0</v>
      </c>
      <c r="I87" s="60"/>
    </row>
    <row r="88" spans="1:9" ht="31.5">
      <c r="A88" s="35"/>
      <c r="B88" s="36"/>
      <c r="C88" s="36"/>
      <c r="D88" s="36"/>
      <c r="E88" s="36"/>
      <c r="F88" s="61"/>
      <c r="G88" s="37">
        <f t="shared" si="7"/>
        <v>0</v>
      </c>
      <c r="H88" s="36">
        <f t="shared" si="8"/>
        <v>0</v>
      </c>
      <c r="I88" s="60"/>
    </row>
    <row r="89" spans="1:9" ht="31.5">
      <c r="A89" s="35"/>
      <c r="B89" s="36"/>
      <c r="C89" s="36"/>
      <c r="D89" s="36"/>
      <c r="E89" s="36"/>
      <c r="F89" s="61"/>
      <c r="G89" s="37">
        <f t="shared" si="7"/>
        <v>0</v>
      </c>
      <c r="H89" s="36">
        <f t="shared" si="8"/>
        <v>0</v>
      </c>
      <c r="I89" s="60"/>
    </row>
    <row r="90" spans="1:9" ht="31.5">
      <c r="A90" s="35"/>
      <c r="B90" s="36"/>
      <c r="C90" s="36"/>
      <c r="D90" s="36"/>
      <c r="E90" s="36"/>
      <c r="F90" s="61"/>
      <c r="G90" s="37">
        <f t="shared" si="7"/>
        <v>0</v>
      </c>
      <c r="H90" s="36">
        <f t="shared" si="8"/>
        <v>0</v>
      </c>
      <c r="I90" s="60"/>
    </row>
    <row r="91" spans="1:9" ht="31.5">
      <c r="A91" s="35"/>
      <c r="B91" s="36"/>
      <c r="C91" s="36"/>
      <c r="D91" s="36"/>
      <c r="E91" s="36"/>
      <c r="F91" s="61"/>
      <c r="G91" s="37">
        <f t="shared" si="7"/>
        <v>0</v>
      </c>
      <c r="H91" s="36">
        <f t="shared" si="8"/>
        <v>0</v>
      </c>
      <c r="I91" s="60"/>
    </row>
    <row r="92" spans="1:9" ht="31.5">
      <c r="A92" s="35"/>
      <c r="B92" s="36"/>
      <c r="C92" s="36"/>
      <c r="D92" s="36"/>
      <c r="E92" s="36"/>
      <c r="F92" s="61"/>
      <c r="G92" s="37">
        <f t="shared" si="7"/>
        <v>0</v>
      </c>
      <c r="H92" s="36">
        <f t="shared" si="8"/>
        <v>0</v>
      </c>
      <c r="I92" s="60"/>
    </row>
    <row r="93" spans="1:9" ht="94.5">
      <c r="A93" s="42"/>
      <c r="B93" s="43"/>
      <c r="C93" s="43"/>
      <c r="D93" s="62" t="s">
        <v>34</v>
      </c>
      <c r="E93" s="43"/>
      <c r="F93" s="62" t="s">
        <v>35</v>
      </c>
      <c r="G93" s="63" t="s">
        <v>36</v>
      </c>
      <c r="H93" s="64" t="s">
        <v>37</v>
      </c>
      <c r="I93" s="60"/>
    </row>
    <row r="94" spans="1:9" ht="31.5">
      <c r="A94" s="35"/>
      <c r="B94" s="36"/>
      <c r="C94" s="36"/>
      <c r="D94" s="65"/>
      <c r="E94" s="36"/>
      <c r="F94" s="65"/>
      <c r="G94" s="66">
        <f>SUM(G86:G92)</f>
        <v>1.65</v>
      </c>
      <c r="H94" s="67">
        <f>SUM(H86:H92)</f>
        <v>1.6500000000000001E-2</v>
      </c>
      <c r="I94" s="60"/>
    </row>
    <row r="95" spans="1:9" ht="31.5">
      <c r="A95" s="68" t="s">
        <v>38</v>
      </c>
      <c r="B95" s="69"/>
      <c r="C95" s="69"/>
      <c r="D95" s="69"/>
      <c r="E95" s="69"/>
      <c r="F95" s="69"/>
      <c r="G95" s="69"/>
      <c r="H95" s="69"/>
      <c r="I95" s="70"/>
    </row>
    <row r="96" spans="1:9" ht="94.5">
      <c r="A96" s="54" t="s">
        <v>39</v>
      </c>
      <c r="B96" s="71" t="s">
        <v>40</v>
      </c>
      <c r="C96" s="31"/>
      <c r="D96" s="31" t="s">
        <v>15</v>
      </c>
      <c r="E96" s="31" t="s">
        <v>54</v>
      </c>
      <c r="F96" s="55" t="s">
        <v>30</v>
      </c>
      <c r="G96" s="56" t="s">
        <v>16</v>
      </c>
      <c r="H96" s="57" t="s">
        <v>41</v>
      </c>
      <c r="I96" s="58" t="s">
        <v>17</v>
      </c>
    </row>
    <row r="97" spans="1:9" ht="126">
      <c r="A97" s="35" t="s">
        <v>85</v>
      </c>
      <c r="B97" s="66"/>
      <c r="C97" s="36">
        <v>1</v>
      </c>
      <c r="D97" s="36">
        <v>80</v>
      </c>
      <c r="E97" s="79">
        <v>0.01</v>
      </c>
      <c r="F97" s="61"/>
      <c r="G97" s="36">
        <f>(D97 / 1000) * 3.3</f>
        <v>0.26400000000000001</v>
      </c>
      <c r="H97" s="36">
        <f>G97 * (E97 / 100)</f>
        <v>2.6400000000000001E-5</v>
      </c>
      <c r="I97" s="72" t="s">
        <v>84</v>
      </c>
    </row>
    <row r="98" spans="1:9" ht="31.5">
      <c r="A98" s="35"/>
      <c r="B98" s="66"/>
      <c r="C98" s="36"/>
      <c r="D98" s="36"/>
      <c r="E98" s="36"/>
      <c r="F98" s="61"/>
      <c r="G98" s="36">
        <f t="shared" ref="G98:G102" si="9">(D98 / 1000) * 6.6</f>
        <v>0</v>
      </c>
      <c r="H98" s="36">
        <f t="shared" ref="H98:H103" si="10">G98 * (E98 / 100)</f>
        <v>0</v>
      </c>
      <c r="I98" s="60"/>
    </row>
    <row r="99" spans="1:9" ht="31.5">
      <c r="A99" s="35"/>
      <c r="B99" s="66"/>
      <c r="C99" s="36"/>
      <c r="D99" s="36"/>
      <c r="E99" s="36"/>
      <c r="F99" s="61"/>
      <c r="G99" s="36">
        <f t="shared" si="9"/>
        <v>0</v>
      </c>
      <c r="H99" s="36">
        <f t="shared" si="10"/>
        <v>0</v>
      </c>
      <c r="I99" s="60"/>
    </row>
    <row r="100" spans="1:9" ht="31.5">
      <c r="A100" s="35"/>
      <c r="B100" s="66"/>
      <c r="C100" s="37"/>
      <c r="D100" s="37"/>
      <c r="E100" s="37"/>
      <c r="F100" s="61"/>
      <c r="G100" s="36">
        <f t="shared" si="9"/>
        <v>0</v>
      </c>
      <c r="H100" s="36">
        <f t="shared" si="10"/>
        <v>0</v>
      </c>
      <c r="I100" s="60"/>
    </row>
    <row r="101" spans="1:9" ht="31.5">
      <c r="A101" s="35"/>
      <c r="B101" s="66"/>
      <c r="C101" s="37"/>
      <c r="D101" s="37"/>
      <c r="E101" s="37"/>
      <c r="F101" s="61"/>
      <c r="G101" s="36">
        <f t="shared" si="9"/>
        <v>0</v>
      </c>
      <c r="H101" s="36">
        <f t="shared" si="10"/>
        <v>0</v>
      </c>
      <c r="I101" s="60"/>
    </row>
    <row r="102" spans="1:9" ht="31.5">
      <c r="A102" s="35"/>
      <c r="B102" s="66"/>
      <c r="C102" s="37"/>
      <c r="D102" s="37"/>
      <c r="E102" s="37"/>
      <c r="F102" s="61"/>
      <c r="G102" s="36">
        <f t="shared" si="9"/>
        <v>0</v>
      </c>
      <c r="H102" s="36">
        <f t="shared" si="10"/>
        <v>0</v>
      </c>
      <c r="I102" s="60"/>
    </row>
    <row r="103" spans="1:9" ht="31.5">
      <c r="A103" s="54"/>
      <c r="B103" s="71"/>
      <c r="C103" s="31"/>
      <c r="D103" s="31"/>
      <c r="E103" s="31"/>
      <c r="F103" s="55"/>
      <c r="G103" s="36"/>
      <c r="H103" s="36">
        <f t="shared" si="10"/>
        <v>0</v>
      </c>
      <c r="I103" s="60"/>
    </row>
    <row r="104" spans="1:9" ht="94.5">
      <c r="A104" s="42"/>
      <c r="B104" s="43"/>
      <c r="C104" s="43"/>
      <c r="D104" s="62" t="s">
        <v>34</v>
      </c>
      <c r="E104" s="43"/>
      <c r="F104" s="62" t="s">
        <v>35</v>
      </c>
      <c r="G104" s="63" t="s">
        <v>51</v>
      </c>
      <c r="H104" s="43" t="s">
        <v>52</v>
      </c>
      <c r="I104" s="60"/>
    </row>
    <row r="105" spans="1:9" ht="31.5">
      <c r="A105" s="35"/>
      <c r="B105" s="36"/>
      <c r="C105" s="36"/>
      <c r="D105" s="65">
        <f>SUM(D97:D103)</f>
        <v>80</v>
      </c>
      <c r="E105" s="36"/>
      <c r="F105" s="65">
        <f>SUM(F97:F103)</f>
        <v>0</v>
      </c>
      <c r="G105" s="66">
        <f>SUM(G97:G103)</f>
        <v>0.26400000000000001</v>
      </c>
      <c r="H105" s="36">
        <f>SUM(H97:H104)</f>
        <v>2.6400000000000001E-5</v>
      </c>
      <c r="I105" s="60"/>
    </row>
    <row r="106" spans="1:9" ht="31.5">
      <c r="A106" s="68" t="s">
        <v>53</v>
      </c>
      <c r="B106" s="69"/>
      <c r="C106" s="69"/>
      <c r="D106" s="69"/>
      <c r="E106" s="69"/>
      <c r="F106" s="69"/>
      <c r="G106" s="69"/>
      <c r="H106" s="69"/>
      <c r="I106" s="70"/>
    </row>
    <row r="107" spans="1:9" ht="94.5">
      <c r="A107" s="54" t="s">
        <v>39</v>
      </c>
      <c r="B107" s="71" t="s">
        <v>40</v>
      </c>
      <c r="C107" s="31"/>
      <c r="D107" s="31" t="s">
        <v>15</v>
      </c>
      <c r="E107" s="31" t="s">
        <v>54</v>
      </c>
      <c r="F107" s="55" t="s">
        <v>30</v>
      </c>
      <c r="G107" s="56" t="s">
        <v>16</v>
      </c>
      <c r="H107" s="57" t="s">
        <v>41</v>
      </c>
      <c r="I107" s="58" t="s">
        <v>17</v>
      </c>
    </row>
    <row r="108" spans="1:9" ht="31.5">
      <c r="A108" s="35"/>
      <c r="B108" s="66"/>
      <c r="C108" s="36"/>
      <c r="D108" s="36"/>
      <c r="E108" s="36"/>
      <c r="F108" s="61"/>
      <c r="G108" s="36">
        <f>(D108 / 1000) * 6.6</f>
        <v>0</v>
      </c>
      <c r="H108" s="36">
        <f>G108 * (E108 / 100)</f>
        <v>0</v>
      </c>
      <c r="I108" s="72"/>
    </row>
    <row r="109" spans="1:9" ht="31.5">
      <c r="A109" s="35"/>
      <c r="B109" s="66"/>
      <c r="C109" s="36"/>
      <c r="D109" s="36"/>
      <c r="E109" s="36"/>
      <c r="F109" s="61"/>
      <c r="G109" s="36">
        <f t="shared" ref="G109:G113" si="11">(D109 / 1000) * 6.6</f>
        <v>0</v>
      </c>
      <c r="H109" s="36">
        <f t="shared" ref="H109:H114" si="12">G109 * (E109 / 100)</f>
        <v>0</v>
      </c>
      <c r="I109" s="60"/>
    </row>
    <row r="110" spans="1:9" ht="31.5">
      <c r="A110" s="35"/>
      <c r="B110" s="66"/>
      <c r="C110" s="36"/>
      <c r="D110" s="36"/>
      <c r="E110" s="36"/>
      <c r="F110" s="61"/>
      <c r="G110" s="36">
        <f t="shared" si="11"/>
        <v>0</v>
      </c>
      <c r="H110" s="36">
        <f t="shared" si="12"/>
        <v>0</v>
      </c>
      <c r="I110" s="60"/>
    </row>
    <row r="111" spans="1:9" ht="31.5">
      <c r="A111" s="35"/>
      <c r="B111" s="66"/>
      <c r="C111" s="37"/>
      <c r="D111" s="37"/>
      <c r="E111" s="37"/>
      <c r="F111" s="61"/>
      <c r="G111" s="36">
        <f t="shared" si="11"/>
        <v>0</v>
      </c>
      <c r="H111" s="36">
        <f t="shared" si="12"/>
        <v>0</v>
      </c>
      <c r="I111" s="60"/>
    </row>
    <row r="112" spans="1:9" ht="31.5">
      <c r="A112" s="35"/>
      <c r="B112" s="66"/>
      <c r="C112" s="37"/>
      <c r="D112" s="37"/>
      <c r="E112" s="37"/>
      <c r="F112" s="61"/>
      <c r="G112" s="36">
        <f t="shared" si="11"/>
        <v>0</v>
      </c>
      <c r="H112" s="36">
        <f t="shared" si="12"/>
        <v>0</v>
      </c>
      <c r="I112" s="60"/>
    </row>
    <row r="113" spans="1:9" ht="31.5">
      <c r="A113" s="35"/>
      <c r="B113" s="66"/>
      <c r="C113" s="37"/>
      <c r="D113" s="37"/>
      <c r="E113" s="37"/>
      <c r="F113" s="61"/>
      <c r="G113" s="36">
        <f t="shared" si="11"/>
        <v>0</v>
      </c>
      <c r="H113" s="36">
        <f t="shared" si="12"/>
        <v>0</v>
      </c>
      <c r="I113" s="60"/>
    </row>
    <row r="114" spans="1:9" ht="31.5">
      <c r="A114" s="54"/>
      <c r="B114" s="71"/>
      <c r="C114" s="31"/>
      <c r="D114" s="31"/>
      <c r="E114" s="31"/>
      <c r="F114" s="55"/>
      <c r="G114" s="36"/>
      <c r="H114" s="36">
        <f t="shared" si="12"/>
        <v>0</v>
      </c>
      <c r="I114" s="60"/>
    </row>
    <row r="115" spans="1:9" ht="94.5">
      <c r="A115" s="42"/>
      <c r="B115" s="43"/>
      <c r="C115" s="43"/>
      <c r="D115" s="62" t="s">
        <v>34</v>
      </c>
      <c r="E115" s="43"/>
      <c r="F115" s="62" t="s">
        <v>35</v>
      </c>
      <c r="G115" s="63" t="s">
        <v>51</v>
      </c>
      <c r="H115" s="43" t="s">
        <v>52</v>
      </c>
      <c r="I115" s="60"/>
    </row>
    <row r="116" spans="1:9" ht="31.5">
      <c r="A116" s="35"/>
      <c r="B116" s="36"/>
      <c r="C116" s="36"/>
      <c r="D116" s="65">
        <f>SUM(D108:D115)</f>
        <v>0</v>
      </c>
      <c r="E116" s="36"/>
      <c r="F116" s="65">
        <f>SUM(F108:F114)</f>
        <v>0</v>
      </c>
      <c r="G116" s="66">
        <f>SUM(G108:G114)</f>
        <v>0</v>
      </c>
      <c r="H116" s="36">
        <f>SUM(H108:H115)</f>
        <v>0</v>
      </c>
      <c r="I116" s="60"/>
    </row>
    <row r="117" spans="1:9" ht="31.5">
      <c r="A117" s="92" t="s">
        <v>56</v>
      </c>
      <c r="B117" s="93"/>
      <c r="C117" s="93"/>
      <c r="D117" s="93"/>
      <c r="E117" s="93"/>
      <c r="F117" s="93"/>
      <c r="G117" s="93"/>
      <c r="H117" s="93"/>
      <c r="I117" s="73"/>
    </row>
    <row r="118" spans="1:9" ht="94.5">
      <c r="A118" s="35"/>
      <c r="B118" s="36"/>
      <c r="C118" s="36"/>
      <c r="D118" s="36"/>
      <c r="E118" s="36"/>
      <c r="F118" s="36"/>
      <c r="G118" s="74" t="s">
        <v>51</v>
      </c>
      <c r="H118" s="75" t="s">
        <v>52</v>
      </c>
      <c r="I118" s="76" t="s">
        <v>17</v>
      </c>
    </row>
    <row r="119" spans="1:9" ht="31.5">
      <c r="A119" s="47"/>
      <c r="B119" s="48"/>
      <c r="C119" s="48"/>
      <c r="D119" s="48"/>
      <c r="E119" s="48"/>
      <c r="F119" s="48"/>
      <c r="G119" s="47">
        <f>G116 +G105 +G94</f>
        <v>1.9139999999999999</v>
      </c>
      <c r="H119" s="77">
        <f>H105 + H94</f>
        <v>1.65264E-2</v>
      </c>
      <c r="I119" s="78"/>
    </row>
  </sheetData>
  <mergeCells count="23">
    <mergeCell ref="A1:D2"/>
    <mergeCell ref="A50:I50"/>
    <mergeCell ref="A8:I9"/>
    <mergeCell ref="A10:I10"/>
    <mergeCell ref="A15:I16"/>
    <mergeCell ref="A17:I17"/>
    <mergeCell ref="A28:I28"/>
    <mergeCell ref="A95:I95"/>
    <mergeCell ref="A117:I117"/>
    <mergeCell ref="A106:I106"/>
    <mergeCell ref="F3:G4"/>
    <mergeCell ref="F1:H2"/>
    <mergeCell ref="A39:I39"/>
    <mergeCell ref="A70:I71"/>
    <mergeCell ref="A72:I72"/>
    <mergeCell ref="A76:F76"/>
    <mergeCell ref="A78:F78"/>
    <mergeCell ref="A82:I83"/>
    <mergeCell ref="A84:I84"/>
    <mergeCell ref="A53:I54"/>
    <mergeCell ref="A55:I55"/>
    <mergeCell ref="A62:I63"/>
    <mergeCell ref="A64:I64"/>
  </mergeCells>
  <pageMargins left="0.7" right="0.7" top="0.75" bottom="0.75" header="0.3" footer="0.3"/>
  <pageSetup scale="3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Poulter</dc:creator>
  <cp:keywords/>
  <dc:description/>
  <cp:lastModifiedBy>Sean Poulter</cp:lastModifiedBy>
  <cp:revision/>
  <dcterms:created xsi:type="dcterms:W3CDTF">2017-07-07T16:56:25Z</dcterms:created>
  <dcterms:modified xsi:type="dcterms:W3CDTF">2017-07-13T21:38:58Z</dcterms:modified>
  <cp:category/>
  <cp:contentStatus/>
</cp:coreProperties>
</file>