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8265" activeTab="2"/>
  </bookViews>
  <sheets>
    <sheet name="Items" sheetId="1" r:id="rId1"/>
    <sheet name="Speed" sheetId="2" r:id="rId2"/>
    <sheet name="Slows" sheetId="3" r:id="rId3"/>
  </sheets>
  <calcPr calcId="145621"/>
</workbook>
</file>

<file path=xl/calcChain.xml><?xml version="1.0" encoding="utf-8"?>
<calcChain xmlns="http://schemas.openxmlformats.org/spreadsheetml/2006/main">
  <c r="H15" i="3" l="1"/>
  <c r="I15" i="3" s="1"/>
  <c r="J15" i="3" s="1"/>
  <c r="H13" i="3"/>
  <c r="I13" i="3" s="1"/>
  <c r="J13" i="3" s="1"/>
  <c r="C9" i="2"/>
  <c r="C11" i="2" s="1"/>
  <c r="I11" i="2" s="1"/>
  <c r="D11" i="2"/>
  <c r="D9" i="2"/>
  <c r="E9" i="2"/>
  <c r="F9" i="2"/>
  <c r="G9" i="2"/>
  <c r="R12" i="2"/>
  <c r="I28" i="2"/>
  <c r="C29" i="2"/>
  <c r="I29" i="2" s="1"/>
  <c r="D29" i="2"/>
  <c r="J29" i="2" s="1"/>
  <c r="E29" i="2"/>
  <c r="K29" i="2" s="1"/>
  <c r="F29" i="2"/>
  <c r="L29" i="2" s="1"/>
  <c r="G29" i="2"/>
  <c r="M29" i="2" s="1"/>
  <c r="C30" i="2"/>
  <c r="I30" i="2" s="1"/>
  <c r="D30" i="2"/>
  <c r="J30" i="2" s="1"/>
  <c r="E30" i="2"/>
  <c r="K30" i="2" s="1"/>
  <c r="F30" i="2"/>
  <c r="L30" i="2" s="1"/>
  <c r="G30" i="2"/>
  <c r="M30" i="2" s="1"/>
  <c r="C31" i="2"/>
  <c r="I31" i="2" s="1"/>
  <c r="D31" i="2"/>
  <c r="J31" i="2" s="1"/>
  <c r="E31" i="2"/>
  <c r="K31" i="2" s="1"/>
  <c r="F31" i="2"/>
  <c r="L31" i="2" s="1"/>
  <c r="G31" i="2"/>
  <c r="M31" i="2" s="1"/>
  <c r="D28" i="2"/>
  <c r="J28" i="2" s="1"/>
  <c r="E28" i="2"/>
  <c r="K28" i="2" s="1"/>
  <c r="F28" i="2"/>
  <c r="L28" i="2" s="1"/>
  <c r="G28" i="2"/>
  <c r="M28" i="2" s="1"/>
  <c r="C28" i="2"/>
  <c r="B29" i="2"/>
  <c r="B30" i="2"/>
  <c r="B31" i="2"/>
  <c r="B28" i="2"/>
  <c r="B11" i="2"/>
  <c r="F11" i="2" s="1"/>
  <c r="L11" i="2" s="1"/>
  <c r="B12" i="2"/>
  <c r="E12" i="2" s="1"/>
  <c r="K12" i="2" s="1"/>
  <c r="B13" i="2"/>
  <c r="D13" i="2" s="1"/>
  <c r="J13" i="2" s="1"/>
  <c r="B10" i="2"/>
  <c r="D10" i="2" s="1"/>
  <c r="J10" i="2" s="1"/>
  <c r="D12" i="2" l="1"/>
  <c r="J12" i="2" s="1"/>
  <c r="G10" i="2"/>
  <c r="M10" i="2" s="1"/>
  <c r="E10" i="2"/>
  <c r="K10" i="2" s="1"/>
  <c r="E11" i="2"/>
  <c r="K11" i="2" s="1"/>
  <c r="F10" i="2"/>
  <c r="L10" i="2" s="1"/>
  <c r="J11" i="2"/>
  <c r="G13" i="2"/>
  <c r="M13" i="2" s="1"/>
  <c r="C13" i="2"/>
  <c r="I13" i="2" s="1"/>
  <c r="F13" i="2"/>
  <c r="L13" i="2" s="1"/>
  <c r="G12" i="2"/>
  <c r="M12" i="2" s="1"/>
  <c r="C12" i="2"/>
  <c r="I12" i="2" s="1"/>
  <c r="E13" i="2"/>
  <c r="K13" i="2" s="1"/>
  <c r="F12" i="2"/>
  <c r="L12" i="2" s="1"/>
  <c r="G11" i="2"/>
  <c r="M11" i="2" s="1"/>
  <c r="C10" i="2"/>
  <c r="I10" i="2" s="1"/>
  <c r="D10" i="3"/>
  <c r="B10" i="3"/>
  <c r="B8" i="3"/>
  <c r="C8" i="3"/>
  <c r="D8" i="3"/>
  <c r="E8" i="3"/>
  <c r="F8" i="3"/>
  <c r="A8" i="3"/>
  <c r="Z17" i="2" l="1"/>
  <c r="Z16" i="2"/>
  <c r="Y14" i="2"/>
  <c r="Y11" i="2"/>
  <c r="Y12" i="2" s="1"/>
  <c r="Z7" i="2"/>
  <c r="Z6" i="2"/>
  <c r="Y1" i="2"/>
  <c r="Z2" i="2" s="1"/>
  <c r="Q5" i="2"/>
  <c r="Q2" i="2"/>
  <c r="R2" i="2"/>
  <c r="S8" i="2"/>
  <c r="S5" i="2"/>
  <c r="R5" i="2"/>
  <c r="O3" i="2"/>
  <c r="O4" i="2"/>
  <c r="O5" i="2"/>
  <c r="O8" i="2"/>
  <c r="O10" i="2"/>
  <c r="O11" i="2"/>
  <c r="O12" i="2"/>
  <c r="O15" i="2"/>
  <c r="O16" i="2"/>
  <c r="O17" i="2"/>
  <c r="O18" i="2"/>
  <c r="O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J2" i="2"/>
  <c r="K2" i="2"/>
  <c r="L2" i="2"/>
  <c r="M2" i="2"/>
  <c r="I2" i="2"/>
  <c r="R6" i="2" l="1"/>
  <c r="S6" i="2" s="1"/>
  <c r="T6" i="2" s="1"/>
  <c r="U6" i="2" s="1"/>
  <c r="Y15" i="2"/>
  <c r="Z15" i="2" s="1"/>
  <c r="R3" i="2"/>
  <c r="S3" i="2" s="1"/>
  <c r="T3" i="2" s="1"/>
  <c r="U3" i="2" s="1"/>
  <c r="Y2" i="2"/>
  <c r="Y5" i="2" s="1"/>
  <c r="Z5" i="2" s="1"/>
  <c r="L39" i="1"/>
  <c r="C27" i="1"/>
  <c r="H26" i="1"/>
  <c r="G27" i="1"/>
  <c r="H27" i="1" s="1"/>
  <c r="H24" i="1"/>
  <c r="H25" i="1"/>
  <c r="B28" i="1"/>
  <c r="C29" i="1" s="1"/>
  <c r="B26" i="1"/>
  <c r="C26" i="1" s="1"/>
  <c r="C24" i="1"/>
  <c r="C25" i="1"/>
  <c r="H22" i="1"/>
  <c r="J22" i="1" s="1"/>
  <c r="H23" i="1"/>
  <c r="C22" i="1"/>
  <c r="C23" i="1"/>
  <c r="C17" i="1"/>
  <c r="C18" i="1"/>
  <c r="C19" i="1"/>
  <c r="C20" i="1"/>
  <c r="H17" i="1"/>
  <c r="J17" i="1" s="1"/>
  <c r="H18" i="1"/>
  <c r="J18" i="1" s="1"/>
  <c r="H19" i="1"/>
  <c r="J19" i="1" s="1"/>
  <c r="H20" i="1"/>
  <c r="J20" i="1" s="1"/>
  <c r="H21" i="1"/>
  <c r="C21" i="1"/>
  <c r="B8" i="1"/>
  <c r="G8" i="1"/>
  <c r="J21" i="1" l="1"/>
  <c r="C28" i="1"/>
  <c r="J23" i="1"/>
</calcChain>
</file>

<file path=xl/sharedStrings.xml><?xml version="1.0" encoding="utf-8"?>
<sst xmlns="http://schemas.openxmlformats.org/spreadsheetml/2006/main" count="129" uniqueCount="86">
  <si>
    <t>Build 1</t>
  </si>
  <si>
    <t>Build 2</t>
  </si>
  <si>
    <t>Sightstone</t>
  </si>
  <si>
    <t>Eye of Oasis</t>
  </si>
  <si>
    <t>Talisman</t>
  </si>
  <si>
    <t>Mikael</t>
  </si>
  <si>
    <t>Alts</t>
  </si>
  <si>
    <t>Banner</t>
  </si>
  <si>
    <t>Zekes</t>
  </si>
  <si>
    <t>CDR Boots</t>
  </si>
  <si>
    <t>Morello</t>
  </si>
  <si>
    <t>Grail</t>
  </si>
  <si>
    <t>Archangel</t>
  </si>
  <si>
    <t>Timeline</t>
  </si>
  <si>
    <t>Coin</t>
  </si>
  <si>
    <t>Tear</t>
  </si>
  <si>
    <t>CDR boots</t>
  </si>
  <si>
    <t>Glacial</t>
  </si>
  <si>
    <t>Zekes Finish</t>
  </si>
  <si>
    <t>Fiendish</t>
  </si>
  <si>
    <t>Idol</t>
  </si>
  <si>
    <t>Medalion</t>
  </si>
  <si>
    <t>Mikaels</t>
  </si>
  <si>
    <t>Archangels</t>
  </si>
  <si>
    <t>Captains</t>
  </si>
  <si>
    <t>Eye of ..</t>
  </si>
  <si>
    <t>NLR</t>
  </si>
  <si>
    <t>PROS:</t>
  </si>
  <si>
    <t>Easier chunks to buy in</t>
  </si>
  <si>
    <t>1 extra item slot</t>
  </si>
  <si>
    <t>???</t>
  </si>
  <si>
    <t>Mikaels and activate items</t>
  </si>
  <si>
    <t>Can we ignore tear w/ this build?</t>
  </si>
  <si>
    <t>CONS:</t>
  </si>
  <si>
    <t>"Faster" 45% cdr</t>
  </si>
  <si>
    <t>fewer rotations</t>
  </si>
  <si>
    <t>CDR</t>
  </si>
  <si>
    <t>Zeke</t>
  </si>
  <si>
    <t>Eye</t>
  </si>
  <si>
    <t>Boots</t>
  </si>
  <si>
    <t>Mikael or Banner</t>
  </si>
  <si>
    <t>Rank 1</t>
  </si>
  <si>
    <t>Rank 2</t>
  </si>
  <si>
    <t>Rank 3</t>
  </si>
  <si>
    <t>Rank 4</t>
  </si>
  <si>
    <t>Rank 5</t>
  </si>
  <si>
    <t>Speed Up</t>
  </si>
  <si>
    <t>Base</t>
  </si>
  <si>
    <t>OOC Movespeed Mastery</t>
  </si>
  <si>
    <t>OOC MS Mastery + River/Brush speed Mastery</t>
  </si>
  <si>
    <t>Boots 1</t>
  </si>
  <si>
    <t>Boots 2</t>
  </si>
  <si>
    <t>708 w Tali</t>
  </si>
  <si>
    <t>RiverBursh in Combat</t>
  </si>
  <si>
    <t>1 Rank vs 5</t>
  </si>
  <si>
    <t>415-490</t>
  </si>
  <si>
    <t>MS BONUS</t>
  </si>
  <si>
    <t>LOW</t>
  </si>
  <si>
    <t>HIGH</t>
  </si>
  <si>
    <t>SLOWS</t>
  </si>
  <si>
    <t>Math</t>
  </si>
  <si>
    <t>110 = Min cap</t>
  </si>
  <si>
    <t>Min 110</t>
  </si>
  <si>
    <t>110-220</t>
  </si>
  <si>
    <t>220-415</t>
  </si>
  <si>
    <t>416-490</t>
  </si>
  <si>
    <t>490+</t>
  </si>
  <si>
    <t>Speed</t>
  </si>
  <si>
    <t xml:space="preserve">(x - 490) * .5 + (490+415) * .8 + 415 </t>
  </si>
  <si>
    <t>Speed Increase - Real</t>
  </si>
  <si>
    <t>Pre-Raw Adjustments</t>
  </si>
  <si>
    <t>SWIFTIES</t>
  </si>
  <si>
    <t>Base Movespeed + Boots Modifier</t>
  </si>
  <si>
    <t>1 + % Movement Bonus</t>
  </si>
  <si>
    <t>1 + Multiplicative Percentage MS Bonus</t>
  </si>
  <si>
    <t>1 + Last Multiplicative Percentage MS Bonus</t>
  </si>
  <si>
    <t>1 - Highest Slow Ratio * Slow Resist Ratio</t>
  </si>
  <si>
    <t>SLOW RESIST STACKS MULTIPLICITAVELY</t>
  </si>
  <si>
    <t>400 x (1 - (.4 * .75)) = 280</t>
  </si>
  <si>
    <t>Current MS * (1 - (Your Slow * Slow Resist))</t>
  </si>
  <si>
    <t>Slow Resist = 1 - Slow Resist Modifier</t>
  </si>
  <si>
    <t>"+15"</t>
  </si>
  <si>
    <t>"+15" x 1.03</t>
  </si>
  <si>
    <t>OOC Mod</t>
  </si>
  <si>
    <t>BASE SLOW</t>
  </si>
  <si>
    <t>&gt;&gt; TEST THIS 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</si>
</sst>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C26" sqref="C26"/>
    </sheetView>
  </sheetViews>
  <sheetFormatPr defaultRowHeight="15" x14ac:dyDescent="0.25"/>
  <sheetData>
    <row r="1" spans="1:9" x14ac:dyDescent="0.25">
      <c r="A1" t="s">
        <v>0</v>
      </c>
      <c r="F1" t="s">
        <v>1</v>
      </c>
    </row>
    <row r="2" spans="1:9" x14ac:dyDescent="0.25">
      <c r="A2" t="s">
        <v>2</v>
      </c>
      <c r="B2">
        <v>1800</v>
      </c>
      <c r="F2" t="s">
        <v>3</v>
      </c>
      <c r="G2">
        <v>2200</v>
      </c>
    </row>
    <row r="3" spans="1:9" x14ac:dyDescent="0.25">
      <c r="A3" t="s">
        <v>4</v>
      </c>
      <c r="B3">
        <v>2200</v>
      </c>
      <c r="F3" t="s">
        <v>11</v>
      </c>
      <c r="G3">
        <v>2800</v>
      </c>
    </row>
    <row r="4" spans="1:9" x14ac:dyDescent="0.25">
      <c r="A4" t="s">
        <v>5</v>
      </c>
      <c r="B4">
        <v>2300</v>
      </c>
    </row>
    <row r="5" spans="1:9" x14ac:dyDescent="0.25">
      <c r="A5" t="s">
        <v>8</v>
      </c>
      <c r="B5">
        <v>2350</v>
      </c>
      <c r="F5" t="s">
        <v>8</v>
      </c>
      <c r="G5">
        <v>2350</v>
      </c>
    </row>
    <row r="6" spans="1:9" x14ac:dyDescent="0.25">
      <c r="A6" t="s">
        <v>9</v>
      </c>
      <c r="B6">
        <v>1000</v>
      </c>
      <c r="F6" t="s">
        <v>9</v>
      </c>
      <c r="G6">
        <v>1000</v>
      </c>
    </row>
    <row r="7" spans="1:9" x14ac:dyDescent="0.25">
      <c r="A7" t="s">
        <v>12</v>
      </c>
      <c r="B7">
        <v>3100</v>
      </c>
      <c r="F7" t="s">
        <v>12</v>
      </c>
      <c r="G7">
        <v>3100</v>
      </c>
    </row>
    <row r="8" spans="1:9" x14ac:dyDescent="0.25">
      <c r="B8">
        <f>SUM(B1:B7)</f>
        <v>12750</v>
      </c>
      <c r="G8">
        <f>SUM(G2:G7)</f>
        <v>11450</v>
      </c>
    </row>
    <row r="11" spans="1:9" x14ac:dyDescent="0.25">
      <c r="A11" t="s">
        <v>6</v>
      </c>
      <c r="F11" t="s">
        <v>6</v>
      </c>
    </row>
    <row r="12" spans="1:9" x14ac:dyDescent="0.25">
      <c r="A12" t="s">
        <v>7</v>
      </c>
      <c r="B12">
        <v>2900</v>
      </c>
      <c r="F12" t="s">
        <v>10</v>
      </c>
      <c r="G12">
        <v>2550</v>
      </c>
    </row>
    <row r="15" spans="1:9" x14ac:dyDescent="0.25">
      <c r="A15" t="s">
        <v>13</v>
      </c>
    </row>
    <row r="16" spans="1:9" x14ac:dyDescent="0.25">
      <c r="A16" t="s">
        <v>14</v>
      </c>
      <c r="B16">
        <v>300</v>
      </c>
      <c r="D16">
        <v>1</v>
      </c>
      <c r="F16" t="s">
        <v>14</v>
      </c>
      <c r="G16">
        <v>300</v>
      </c>
      <c r="I16">
        <v>1</v>
      </c>
    </row>
    <row r="17" spans="1:17" x14ac:dyDescent="0.25">
      <c r="A17" t="s">
        <v>15</v>
      </c>
      <c r="B17">
        <v>750</v>
      </c>
      <c r="C17">
        <f>SUM($B$16:B17)</f>
        <v>1050</v>
      </c>
      <c r="D17">
        <v>2</v>
      </c>
      <c r="F17" t="s">
        <v>15</v>
      </c>
      <c r="G17">
        <v>750</v>
      </c>
      <c r="H17">
        <f>SUM($G$16:G17)</f>
        <v>1050</v>
      </c>
      <c r="I17">
        <v>2</v>
      </c>
      <c r="J17">
        <f>H17-C17</f>
        <v>0</v>
      </c>
      <c r="M17" t="s">
        <v>32</v>
      </c>
    </row>
    <row r="18" spans="1:17" x14ac:dyDescent="0.25">
      <c r="A18" t="s">
        <v>2</v>
      </c>
      <c r="B18">
        <v>800</v>
      </c>
      <c r="C18">
        <f>SUM($B$16:B18)</f>
        <v>1850</v>
      </c>
      <c r="D18">
        <v>3</v>
      </c>
      <c r="F18" t="s">
        <v>2</v>
      </c>
      <c r="G18">
        <v>800</v>
      </c>
      <c r="H18">
        <f>SUM($G$16:G18)</f>
        <v>1850</v>
      </c>
      <c r="I18">
        <v>3</v>
      </c>
      <c r="J18">
        <f t="shared" ref="J18:J23" si="0">H18-C18</f>
        <v>0</v>
      </c>
    </row>
    <row r="19" spans="1:17" x14ac:dyDescent="0.25">
      <c r="A19" s="5" t="s">
        <v>16</v>
      </c>
      <c r="B19" s="5">
        <v>800</v>
      </c>
      <c r="C19" s="5">
        <f>SUM($B$16:B19)</f>
        <v>2650</v>
      </c>
      <c r="D19">
        <v>4</v>
      </c>
      <c r="F19" s="5" t="s">
        <v>16</v>
      </c>
      <c r="G19" s="5">
        <v>800</v>
      </c>
      <c r="H19" s="5">
        <f>SUM($G$16:G19)</f>
        <v>2650</v>
      </c>
      <c r="I19">
        <v>4</v>
      </c>
      <c r="J19">
        <f t="shared" si="0"/>
        <v>0</v>
      </c>
    </row>
    <row r="20" spans="1:17" x14ac:dyDescent="0.25">
      <c r="A20" s="6" t="s">
        <v>17</v>
      </c>
      <c r="B20" s="6">
        <v>1000</v>
      </c>
      <c r="C20" s="6">
        <f>SUM($B$16:B20)</f>
        <v>3650</v>
      </c>
      <c r="D20">
        <v>5</v>
      </c>
      <c r="F20" s="6" t="s">
        <v>17</v>
      </c>
      <c r="G20" s="6">
        <v>1000</v>
      </c>
      <c r="H20" s="6">
        <f>SUM($G$16:G20)</f>
        <v>3650</v>
      </c>
      <c r="I20">
        <v>5</v>
      </c>
      <c r="J20">
        <f t="shared" si="0"/>
        <v>0</v>
      </c>
    </row>
    <row r="21" spans="1:17" x14ac:dyDescent="0.25">
      <c r="A21" t="s">
        <v>18</v>
      </c>
      <c r="B21">
        <v>1350</v>
      </c>
      <c r="C21">
        <f>SUM($B$16:B21)</f>
        <v>5000</v>
      </c>
      <c r="D21">
        <v>5</v>
      </c>
      <c r="F21" t="s">
        <v>18</v>
      </c>
      <c r="G21">
        <v>1350</v>
      </c>
      <c r="H21">
        <f>SUM($G$16:G21)</f>
        <v>5000</v>
      </c>
      <c r="I21">
        <v>5</v>
      </c>
      <c r="J21">
        <f t="shared" si="0"/>
        <v>0</v>
      </c>
    </row>
    <row r="22" spans="1:17" x14ac:dyDescent="0.25">
      <c r="A22" s="4" t="s">
        <v>20</v>
      </c>
      <c r="B22" s="4">
        <v>550</v>
      </c>
      <c r="C22" s="4">
        <f>SUM($B$16:B22)</f>
        <v>5550</v>
      </c>
      <c r="D22">
        <v>6</v>
      </c>
      <c r="F22" s="4" t="s">
        <v>19</v>
      </c>
      <c r="G22" s="4">
        <v>800</v>
      </c>
      <c r="H22" s="4">
        <f>SUM($G$16:G22)</f>
        <v>5800</v>
      </c>
      <c r="I22">
        <v>6</v>
      </c>
      <c r="J22">
        <f t="shared" si="0"/>
        <v>250</v>
      </c>
    </row>
    <row r="23" spans="1:17" x14ac:dyDescent="0.25">
      <c r="A23" t="s">
        <v>21</v>
      </c>
      <c r="B23">
        <v>500</v>
      </c>
      <c r="C23">
        <f>SUM($B$16:B23)</f>
        <v>6050</v>
      </c>
      <c r="D23">
        <v>6</v>
      </c>
      <c r="F23" s="2" t="s">
        <v>11</v>
      </c>
      <c r="G23" s="2">
        <v>2000</v>
      </c>
      <c r="H23" s="2">
        <f>SUM($G$16:G23)</f>
        <v>7800</v>
      </c>
      <c r="I23">
        <v>5</v>
      </c>
      <c r="J23">
        <f t="shared" si="0"/>
        <v>1750</v>
      </c>
    </row>
    <row r="24" spans="1:17" x14ac:dyDescent="0.25">
      <c r="A24" t="s">
        <v>4</v>
      </c>
      <c r="B24">
        <v>800</v>
      </c>
      <c r="C24">
        <f>SUM($B$16:B24)</f>
        <v>6850</v>
      </c>
      <c r="D24">
        <v>5</v>
      </c>
      <c r="F24" s="3" t="s">
        <v>21</v>
      </c>
      <c r="G24" s="3">
        <v>500</v>
      </c>
      <c r="H24" s="3">
        <f>SUM($G$16:G24)</f>
        <v>8300</v>
      </c>
      <c r="I24" s="7">
        <v>5</v>
      </c>
    </row>
    <row r="25" spans="1:17" x14ac:dyDescent="0.25">
      <c r="A25" s="2" t="s">
        <v>20</v>
      </c>
      <c r="B25" s="2">
        <v>550</v>
      </c>
      <c r="C25" s="2">
        <f>SUM($B$16:B25)</f>
        <v>7400</v>
      </c>
      <c r="D25">
        <v>6</v>
      </c>
      <c r="E25" s="1"/>
      <c r="F25" t="s">
        <v>25</v>
      </c>
      <c r="G25">
        <v>800</v>
      </c>
      <c r="H25" s="3">
        <f>SUM($G$16:G25)</f>
        <v>9100</v>
      </c>
      <c r="I25" s="7">
        <v>5</v>
      </c>
    </row>
    <row r="26" spans="1:17" x14ac:dyDescent="0.25">
      <c r="A26" t="s">
        <v>22</v>
      </c>
      <c r="B26">
        <f>2300-550</f>
        <v>1750</v>
      </c>
      <c r="C26" s="3">
        <f>SUM($B$16:B26)</f>
        <v>9150</v>
      </c>
      <c r="D26">
        <v>6</v>
      </c>
      <c r="F26" t="s">
        <v>26</v>
      </c>
      <c r="G26">
        <v>1250</v>
      </c>
      <c r="H26" s="3">
        <f>SUM($G$16:G26)</f>
        <v>10350</v>
      </c>
      <c r="I26" s="7">
        <v>6</v>
      </c>
    </row>
    <row r="27" spans="1:17" x14ac:dyDescent="0.25">
      <c r="A27" t="s">
        <v>2</v>
      </c>
      <c r="B27">
        <v>1000</v>
      </c>
      <c r="C27" s="3">
        <f>SUM($B$16:B27)</f>
        <v>10150</v>
      </c>
      <c r="F27" t="s">
        <v>12</v>
      </c>
      <c r="G27">
        <f>2350-1250</f>
        <v>1100</v>
      </c>
      <c r="H27" s="3">
        <f>SUM($G$16:G27)</f>
        <v>11450</v>
      </c>
      <c r="I27" s="7">
        <v>5</v>
      </c>
    </row>
    <row r="28" spans="1:17" x14ac:dyDescent="0.25">
      <c r="A28" t="s">
        <v>23</v>
      </c>
      <c r="B28">
        <f>3100-750</f>
        <v>2350</v>
      </c>
      <c r="C28" s="3">
        <f>SUM($B$16:B28)</f>
        <v>12500</v>
      </c>
      <c r="D28">
        <v>6</v>
      </c>
      <c r="F28" t="s">
        <v>30</v>
      </c>
      <c r="G28">
        <v>3500</v>
      </c>
      <c r="I28" s="7">
        <v>6</v>
      </c>
    </row>
    <row r="29" spans="1:17" x14ac:dyDescent="0.25">
      <c r="A29" t="s">
        <v>24</v>
      </c>
      <c r="B29">
        <v>250</v>
      </c>
      <c r="C29" s="3">
        <f>SUM($B$16:B29)</f>
        <v>12750</v>
      </c>
      <c r="D29">
        <v>6</v>
      </c>
      <c r="P29" t="s">
        <v>15</v>
      </c>
    </row>
    <row r="30" spans="1:17" x14ac:dyDescent="0.25">
      <c r="C30" s="3"/>
      <c r="P30" t="s">
        <v>2</v>
      </c>
    </row>
    <row r="31" spans="1:17" x14ac:dyDescent="0.25">
      <c r="P31" t="s">
        <v>39</v>
      </c>
    </row>
    <row r="32" spans="1:17" x14ac:dyDescent="0.25">
      <c r="F32" t="s">
        <v>27</v>
      </c>
      <c r="P32" t="s">
        <v>17</v>
      </c>
      <c r="Q32" t="s">
        <v>8</v>
      </c>
    </row>
    <row r="33" spans="1:16" x14ac:dyDescent="0.25">
      <c r="A33" t="s">
        <v>27</v>
      </c>
      <c r="F33" t="s">
        <v>29</v>
      </c>
      <c r="K33" t="s">
        <v>38</v>
      </c>
      <c r="L33">
        <v>2300</v>
      </c>
      <c r="P33" t="s">
        <v>40</v>
      </c>
    </row>
    <row r="34" spans="1:16" x14ac:dyDescent="0.25">
      <c r="A34" t="s">
        <v>31</v>
      </c>
      <c r="F34" t="s">
        <v>34</v>
      </c>
      <c r="K34" t="s">
        <v>7</v>
      </c>
      <c r="L34">
        <v>2900</v>
      </c>
    </row>
    <row r="35" spans="1:16" x14ac:dyDescent="0.25">
      <c r="A35" t="s">
        <v>28</v>
      </c>
      <c r="K35" t="s">
        <v>5</v>
      </c>
      <c r="L35">
        <v>2300</v>
      </c>
    </row>
    <row r="36" spans="1:16" x14ac:dyDescent="0.25">
      <c r="F36" t="s">
        <v>33</v>
      </c>
      <c r="K36" t="s">
        <v>36</v>
      </c>
      <c r="L36">
        <v>800</v>
      </c>
    </row>
    <row r="37" spans="1:16" x14ac:dyDescent="0.25">
      <c r="F37" t="s">
        <v>35</v>
      </c>
      <c r="K37" t="s">
        <v>37</v>
      </c>
      <c r="L37">
        <v>2350</v>
      </c>
    </row>
    <row r="38" spans="1:16" x14ac:dyDescent="0.25">
      <c r="K38" t="s">
        <v>15</v>
      </c>
      <c r="L38">
        <v>750</v>
      </c>
    </row>
    <row r="39" spans="1:16" x14ac:dyDescent="0.25">
      <c r="L39">
        <f>SUM(L33:L38)</f>
        <v>11400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31" workbookViewId="0">
      <selection activeCell="I45" sqref="I45"/>
    </sheetView>
  </sheetViews>
  <sheetFormatPr defaultRowHeight="15" x14ac:dyDescent="0.25"/>
  <cols>
    <col min="1" max="1" width="11.42578125" customWidth="1"/>
    <col min="8" max="8" width="3.85546875" customWidth="1"/>
  </cols>
  <sheetData>
    <row r="1" spans="1:26" x14ac:dyDescent="0.25">
      <c r="C1" t="s">
        <v>41</v>
      </c>
      <c r="D1" t="s">
        <v>42</v>
      </c>
      <c r="E1" t="s">
        <v>43</v>
      </c>
      <c r="F1" t="s">
        <v>44</v>
      </c>
      <c r="G1" t="s">
        <v>45</v>
      </c>
      <c r="I1" s="9" t="s">
        <v>69</v>
      </c>
      <c r="J1" s="10"/>
      <c r="K1" s="10"/>
      <c r="L1" s="10"/>
      <c r="M1" s="11"/>
      <c r="O1" t="s">
        <v>54</v>
      </c>
      <c r="R1" t="s">
        <v>56</v>
      </c>
      <c r="S1" t="s">
        <v>55</v>
      </c>
      <c r="T1">
        <v>490</v>
      </c>
      <c r="X1">
        <v>563</v>
      </c>
      <c r="Y1">
        <f>X1-490</f>
        <v>73</v>
      </c>
    </row>
    <row r="2" spans="1:26" x14ac:dyDescent="0.25">
      <c r="B2">
        <v>335</v>
      </c>
      <c r="C2">
        <v>458</v>
      </c>
      <c r="D2">
        <v>490</v>
      </c>
      <c r="E2">
        <v>515</v>
      </c>
      <c r="F2">
        <v>540</v>
      </c>
      <c r="G2">
        <v>563</v>
      </c>
      <c r="I2">
        <f>C2-B2</f>
        <v>123</v>
      </c>
      <c r="J2">
        <f t="shared" ref="J2:M2" si="0">D2-C2</f>
        <v>32</v>
      </c>
      <c r="K2">
        <f t="shared" si="0"/>
        <v>25</v>
      </c>
      <c r="L2">
        <f t="shared" si="0"/>
        <v>25</v>
      </c>
      <c r="M2">
        <f t="shared" si="0"/>
        <v>23</v>
      </c>
      <c r="O2">
        <f>G2-C2</f>
        <v>105</v>
      </c>
      <c r="Q2">
        <f>ROUNDDOWN(335*0.99,0)</f>
        <v>331</v>
      </c>
      <c r="R2">
        <f>415-B2</f>
        <v>80</v>
      </c>
      <c r="S2">
        <v>95</v>
      </c>
      <c r="W2">
        <v>80</v>
      </c>
      <c r="X2">
        <v>75</v>
      </c>
      <c r="Y2">
        <f>Y1*2</f>
        <v>146</v>
      </c>
      <c r="Z2">
        <f>W2+Y1+X2+335</f>
        <v>563</v>
      </c>
    </row>
    <row r="3" spans="1:26" x14ac:dyDescent="0.25">
      <c r="A3">
        <v>1.03</v>
      </c>
      <c r="B3">
        <v>345</v>
      </c>
      <c r="C3">
        <v>466</v>
      </c>
      <c r="D3">
        <v>495</v>
      </c>
      <c r="E3">
        <v>520</v>
      </c>
      <c r="F3">
        <v>545</v>
      </c>
      <c r="G3">
        <v>568</v>
      </c>
      <c r="I3">
        <f t="shared" ref="I3:I5" si="1">C3-B3</f>
        <v>121</v>
      </c>
      <c r="J3">
        <f t="shared" ref="J3:J5" si="2">D3-C3</f>
        <v>29</v>
      </c>
      <c r="K3">
        <f t="shared" ref="K3:K5" si="3">E3-D3</f>
        <v>25</v>
      </c>
      <c r="L3">
        <f t="shared" ref="L3:L5" si="4">F3-E3</f>
        <v>25</v>
      </c>
      <c r="M3">
        <f t="shared" ref="M3:M5" si="5">G3-F3</f>
        <v>23</v>
      </c>
      <c r="O3">
        <f t="shared" ref="O3:O5" si="6">G3-C3</f>
        <v>102</v>
      </c>
      <c r="R3">
        <f>ROUNDDOWN(Q2-R2, 0)</f>
        <v>251</v>
      </c>
      <c r="S3" s="8">
        <f>ROUNDDOWN(R3-S2,0)</f>
        <v>156</v>
      </c>
      <c r="T3">
        <f>ROUNDDOWN(S3/2,0)</f>
        <v>78</v>
      </c>
      <c r="U3">
        <f>T1+T3</f>
        <v>568</v>
      </c>
      <c r="Y3">
        <v>90</v>
      </c>
    </row>
    <row r="4" spans="1:26" x14ac:dyDescent="0.25">
      <c r="A4" t="s">
        <v>81</v>
      </c>
      <c r="B4">
        <v>350</v>
      </c>
      <c r="C4">
        <v>475</v>
      </c>
      <c r="D4">
        <v>501</v>
      </c>
      <c r="E4">
        <v>528</v>
      </c>
      <c r="F4">
        <v>554</v>
      </c>
      <c r="G4">
        <v>578</v>
      </c>
      <c r="I4">
        <f t="shared" si="1"/>
        <v>125</v>
      </c>
      <c r="J4">
        <f t="shared" si="2"/>
        <v>26</v>
      </c>
      <c r="K4">
        <f t="shared" si="3"/>
        <v>27</v>
      </c>
      <c r="L4">
        <f t="shared" si="4"/>
        <v>26</v>
      </c>
      <c r="M4">
        <f t="shared" si="5"/>
        <v>24</v>
      </c>
      <c r="O4">
        <f t="shared" si="6"/>
        <v>103</v>
      </c>
      <c r="Y4">
        <v>80</v>
      </c>
    </row>
    <row r="5" spans="1:26" x14ac:dyDescent="0.25">
      <c r="A5" t="s">
        <v>82</v>
      </c>
      <c r="B5">
        <v>361</v>
      </c>
      <c r="C5">
        <v>480</v>
      </c>
      <c r="D5">
        <v>507</v>
      </c>
      <c r="E5">
        <v>533</v>
      </c>
      <c r="F5">
        <v>559</v>
      </c>
      <c r="G5">
        <v>584</v>
      </c>
      <c r="I5">
        <f t="shared" si="1"/>
        <v>119</v>
      </c>
      <c r="J5">
        <f t="shared" si="2"/>
        <v>27</v>
      </c>
      <c r="K5">
        <f t="shared" si="3"/>
        <v>26</v>
      </c>
      <c r="L5">
        <f t="shared" si="4"/>
        <v>26</v>
      </c>
      <c r="M5">
        <f t="shared" si="5"/>
        <v>25</v>
      </c>
      <c r="O5">
        <f t="shared" si="6"/>
        <v>104</v>
      </c>
      <c r="Q5">
        <f>ROUNDDOWN(B25*0.99,0)</f>
        <v>402</v>
      </c>
      <c r="R5">
        <f>415-B25</f>
        <v>8</v>
      </c>
      <c r="S5">
        <f>S2</f>
        <v>95</v>
      </c>
      <c r="Y5">
        <f>SUM(Y2:Y4)</f>
        <v>316</v>
      </c>
      <c r="Z5">
        <f>Y5+335</f>
        <v>651</v>
      </c>
    </row>
    <row r="6" spans="1:26" x14ac:dyDescent="0.25">
      <c r="R6">
        <f>Q5-R5</f>
        <v>394</v>
      </c>
      <c r="S6">
        <f>R6-S5</f>
        <v>299</v>
      </c>
      <c r="T6">
        <f>S6/2</f>
        <v>149.5</v>
      </c>
      <c r="U6">
        <f>T6+T1</f>
        <v>639.5</v>
      </c>
      <c r="Z6">
        <f>335*1.99</f>
        <v>666.65</v>
      </c>
    </row>
    <row r="7" spans="1:26" x14ac:dyDescent="0.25">
      <c r="C7" t="s">
        <v>70</v>
      </c>
      <c r="Z7">
        <f>335*1.95</f>
        <v>653.25</v>
      </c>
    </row>
    <row r="8" spans="1:26" x14ac:dyDescent="0.25">
      <c r="C8">
        <v>1.4</v>
      </c>
      <c r="D8">
        <v>1.55</v>
      </c>
      <c r="E8">
        <v>1.7</v>
      </c>
      <c r="F8">
        <v>1.85</v>
      </c>
      <c r="G8">
        <v>1.99</v>
      </c>
      <c r="O8">
        <f>G16-C16</f>
        <v>106</v>
      </c>
      <c r="R8" t="s">
        <v>57</v>
      </c>
      <c r="S8">
        <f>75*1.2</f>
        <v>90</v>
      </c>
    </row>
    <row r="9" spans="1:26" x14ac:dyDescent="0.25">
      <c r="A9" t="s">
        <v>83</v>
      </c>
      <c r="C9">
        <f>C8*1.03</f>
        <v>1.4419999999999999</v>
      </c>
      <c r="D9">
        <f>D8*1.003</f>
        <v>1.5546499999999999</v>
      </c>
      <c r="E9">
        <f t="shared" ref="D9:G9" si="7">E8*1.03</f>
        <v>1.7509999999999999</v>
      </c>
      <c r="F9">
        <f t="shared" si="7"/>
        <v>1.9055000000000002</v>
      </c>
      <c r="G9">
        <f t="shared" si="7"/>
        <v>2.0497000000000001</v>
      </c>
    </row>
    <row r="10" spans="1:26" x14ac:dyDescent="0.25">
      <c r="B10">
        <f>B2</f>
        <v>335</v>
      </c>
      <c r="C10">
        <f>$B10*C$8</f>
        <v>468.99999999999994</v>
      </c>
      <c r="D10" s="12">
        <f t="shared" ref="D10:G13" si="8">$B10*D$8</f>
        <v>519.25</v>
      </c>
      <c r="E10" s="12">
        <f t="shared" si="8"/>
        <v>569.5</v>
      </c>
      <c r="F10" s="12">
        <f t="shared" si="8"/>
        <v>619.75</v>
      </c>
      <c r="G10" s="12">
        <f t="shared" si="8"/>
        <v>666.65</v>
      </c>
      <c r="H10" s="12"/>
      <c r="I10" s="12">
        <f>(C10-490)*0.5+(490-415)*0.8+415</f>
        <v>464.5</v>
      </c>
      <c r="J10" s="12">
        <f t="shared" ref="J10:M10" si="9">(D10-490)*0.5+(490-415)*0.8+415</f>
        <v>489.625</v>
      </c>
      <c r="K10" s="12">
        <f t="shared" si="9"/>
        <v>514.75</v>
      </c>
      <c r="L10" s="12">
        <f t="shared" si="9"/>
        <v>539.875</v>
      </c>
      <c r="M10" s="12">
        <f t="shared" si="9"/>
        <v>563.32500000000005</v>
      </c>
      <c r="O10">
        <f>G17-C17</f>
        <v>107</v>
      </c>
      <c r="R10" t="s">
        <v>58</v>
      </c>
      <c r="S10">
        <v>94</v>
      </c>
    </row>
    <row r="11" spans="1:26" x14ac:dyDescent="0.25">
      <c r="B11">
        <f>B3</f>
        <v>345</v>
      </c>
      <c r="C11">
        <f>$B10*C$9</f>
        <v>483.07</v>
      </c>
      <c r="D11" s="12">
        <f t="shared" si="8"/>
        <v>534.75</v>
      </c>
      <c r="E11" s="12">
        <f t="shared" si="8"/>
        <v>586.5</v>
      </c>
      <c r="F11" s="12">
        <f t="shared" si="8"/>
        <v>638.25</v>
      </c>
      <c r="G11" s="12">
        <f t="shared" si="8"/>
        <v>686.55</v>
      </c>
      <c r="H11" s="12"/>
      <c r="I11" s="12">
        <f t="shared" ref="I11:I13" si="10">(C11-490)*0.5+(490-415)*0.8+415</f>
        <v>471.53499999999997</v>
      </c>
      <c r="J11" s="12">
        <f t="shared" ref="J11:J13" si="11">(D11-490)*0.5+(490-415)*0.8+415</f>
        <v>497.375</v>
      </c>
      <c r="K11" s="12">
        <f t="shared" ref="K11:K13" si="12">(E11-490)*0.5+(490-415)*0.8+415</f>
        <v>523.25</v>
      </c>
      <c r="L11" s="12">
        <f t="shared" ref="L11:L13" si="13">(F11-490)*0.5+(490-415)*0.8+415</f>
        <v>549.125</v>
      </c>
      <c r="M11" s="12">
        <f t="shared" ref="M11:M13" si="14">(G11-490)*0.5+(490-415)*0.8+415</f>
        <v>573.27499999999998</v>
      </c>
      <c r="O11">
        <f>G18-C18</f>
        <v>110</v>
      </c>
      <c r="X11">
        <v>629</v>
      </c>
      <c r="Y11">
        <f>X11-490</f>
        <v>139</v>
      </c>
    </row>
    <row r="12" spans="1:26" x14ac:dyDescent="0.25">
      <c r="B12">
        <f>B4</f>
        <v>350</v>
      </c>
      <c r="C12">
        <f t="shared" ref="C11:C13" si="15">$B12*C$8</f>
        <v>489.99999999999994</v>
      </c>
      <c r="D12">
        <f t="shared" si="8"/>
        <v>542.5</v>
      </c>
      <c r="E12" s="12">
        <f t="shared" si="8"/>
        <v>595</v>
      </c>
      <c r="F12" s="12">
        <f t="shared" si="8"/>
        <v>647.5</v>
      </c>
      <c r="G12" s="12">
        <f t="shared" si="8"/>
        <v>696.5</v>
      </c>
      <c r="H12" s="12"/>
      <c r="I12" s="12">
        <f t="shared" si="10"/>
        <v>475</v>
      </c>
      <c r="J12" s="12">
        <f t="shared" si="11"/>
        <v>501.25</v>
      </c>
      <c r="K12" s="12">
        <f t="shared" si="12"/>
        <v>527.5</v>
      </c>
      <c r="L12" s="12">
        <f t="shared" si="13"/>
        <v>553.75</v>
      </c>
      <c r="M12" s="12">
        <f t="shared" si="14"/>
        <v>578.25</v>
      </c>
      <c r="O12">
        <f>G19-C19</f>
        <v>111</v>
      </c>
      <c r="R12">
        <f>335*1.03</f>
        <v>345.05</v>
      </c>
      <c r="Y12">
        <f>Y11*2</f>
        <v>278</v>
      </c>
    </row>
    <row r="13" spans="1:26" x14ac:dyDescent="0.25">
      <c r="B13">
        <f>B5</f>
        <v>361</v>
      </c>
      <c r="C13">
        <f t="shared" si="15"/>
        <v>505.4</v>
      </c>
      <c r="D13" s="12">
        <f t="shared" si="8"/>
        <v>559.55000000000007</v>
      </c>
      <c r="E13" s="12">
        <f t="shared" si="8"/>
        <v>613.69999999999993</v>
      </c>
      <c r="F13" s="12">
        <f t="shared" si="8"/>
        <v>667.85</v>
      </c>
      <c r="G13" s="12">
        <f t="shared" si="8"/>
        <v>718.39</v>
      </c>
      <c r="H13" s="12"/>
      <c r="I13" s="12">
        <f t="shared" si="10"/>
        <v>482.7</v>
      </c>
      <c r="J13" s="12">
        <f t="shared" si="11"/>
        <v>509.77500000000003</v>
      </c>
      <c r="K13" s="12">
        <f t="shared" si="12"/>
        <v>536.84999999999991</v>
      </c>
      <c r="L13" s="12">
        <f t="shared" si="13"/>
        <v>563.92499999999995</v>
      </c>
      <c r="M13" s="12">
        <f t="shared" si="14"/>
        <v>589.19499999999994</v>
      </c>
      <c r="Y13">
        <v>94</v>
      </c>
    </row>
    <row r="14" spans="1:26" x14ac:dyDescent="0.25">
      <c r="Y14">
        <f>415-B25</f>
        <v>8</v>
      </c>
    </row>
    <row r="15" spans="1:26" x14ac:dyDescent="0.25">
      <c r="B15" t="s">
        <v>50</v>
      </c>
      <c r="O15">
        <f>G22-C22</f>
        <v>112</v>
      </c>
      <c r="Y15">
        <f>SUM(Y12:Y14)</f>
        <v>380</v>
      </c>
      <c r="Z15">
        <f>Y15+407</f>
        <v>787</v>
      </c>
    </row>
    <row r="16" spans="1:26" x14ac:dyDescent="0.25">
      <c r="B16">
        <v>360</v>
      </c>
      <c r="C16">
        <v>482</v>
      </c>
      <c r="D16">
        <v>509</v>
      </c>
      <c r="E16">
        <v>536</v>
      </c>
      <c r="F16">
        <v>563</v>
      </c>
      <c r="G16">
        <v>588</v>
      </c>
      <c r="I16">
        <f>C16-B16</f>
        <v>122</v>
      </c>
      <c r="J16">
        <f>D16-C16</f>
        <v>27</v>
      </c>
      <c r="K16">
        <f>E16-D16</f>
        <v>27</v>
      </c>
      <c r="L16">
        <f>F16-E16</f>
        <v>27</v>
      </c>
      <c r="M16">
        <f>G16-F16</f>
        <v>25</v>
      </c>
      <c r="O16">
        <f>G23-C23</f>
        <v>112</v>
      </c>
      <c r="Z16">
        <f>407*1.99</f>
        <v>809.93</v>
      </c>
    </row>
    <row r="17" spans="2:26" x14ac:dyDescent="0.25">
      <c r="B17">
        <v>371</v>
      </c>
      <c r="C17">
        <v>487</v>
      </c>
      <c r="D17">
        <v>514</v>
      </c>
      <c r="E17">
        <v>541</v>
      </c>
      <c r="F17">
        <v>568</v>
      </c>
      <c r="G17">
        <v>594</v>
      </c>
      <c r="I17">
        <f>C17-B17</f>
        <v>116</v>
      </c>
      <c r="J17">
        <f>D17-C17</f>
        <v>27</v>
      </c>
      <c r="K17">
        <f>E17-D17</f>
        <v>27</v>
      </c>
      <c r="L17">
        <f>F17-E17</f>
        <v>27</v>
      </c>
      <c r="M17">
        <f>G17-F17</f>
        <v>26</v>
      </c>
      <c r="O17">
        <f>G24-C24</f>
        <v>116</v>
      </c>
      <c r="Z17">
        <f>407*1.93</f>
        <v>785.51</v>
      </c>
    </row>
    <row r="18" spans="2:26" x14ac:dyDescent="0.25">
      <c r="B18">
        <v>375</v>
      </c>
      <c r="C18">
        <v>493</v>
      </c>
      <c r="D18">
        <v>521</v>
      </c>
      <c r="E18">
        <v>549</v>
      </c>
      <c r="F18">
        <v>577</v>
      </c>
      <c r="G18">
        <v>603</v>
      </c>
      <c r="I18">
        <f>C18-B18</f>
        <v>118</v>
      </c>
      <c r="J18">
        <f>D18-C18</f>
        <v>28</v>
      </c>
      <c r="K18">
        <f>E18-D18</f>
        <v>28</v>
      </c>
      <c r="L18">
        <f>F18-E18</f>
        <v>28</v>
      </c>
      <c r="M18">
        <f>G18-F18</f>
        <v>26</v>
      </c>
      <c r="O18">
        <f>G25-C25</f>
        <v>117</v>
      </c>
    </row>
    <row r="19" spans="2:26" x14ac:dyDescent="0.25">
      <c r="B19">
        <v>386</v>
      </c>
      <c r="C19">
        <v>498</v>
      </c>
      <c r="D19">
        <v>526</v>
      </c>
      <c r="E19">
        <v>554</v>
      </c>
      <c r="F19">
        <v>583</v>
      </c>
      <c r="G19">
        <v>609</v>
      </c>
      <c r="I19">
        <f>C19-B19</f>
        <v>112</v>
      </c>
      <c r="J19">
        <f>D19-C19</f>
        <v>28</v>
      </c>
      <c r="K19">
        <f>E19-D19</f>
        <v>28</v>
      </c>
      <c r="L19">
        <f>F19-E19</f>
        <v>29</v>
      </c>
      <c r="M19">
        <f>G19-F19</f>
        <v>26</v>
      </c>
    </row>
    <row r="20" spans="2:26" x14ac:dyDescent="0.25">
      <c r="R20" t="s">
        <v>62</v>
      </c>
    </row>
    <row r="21" spans="2:26" x14ac:dyDescent="0.25">
      <c r="B21" t="s">
        <v>51</v>
      </c>
      <c r="R21" t="s">
        <v>63</v>
      </c>
      <c r="S21">
        <v>0</v>
      </c>
    </row>
    <row r="22" spans="2:26" x14ac:dyDescent="0.25">
      <c r="B22">
        <v>380</v>
      </c>
      <c r="C22">
        <v>496</v>
      </c>
      <c r="D22">
        <v>525</v>
      </c>
      <c r="E22">
        <v>553</v>
      </c>
      <c r="F22">
        <v>582</v>
      </c>
      <c r="G22">
        <v>608</v>
      </c>
      <c r="I22">
        <f>C22-B22</f>
        <v>116</v>
      </c>
      <c r="J22">
        <f>D22-C22</f>
        <v>29</v>
      </c>
      <c r="K22">
        <f>E22-D22</f>
        <v>28</v>
      </c>
      <c r="L22">
        <f>F22-E22</f>
        <v>29</v>
      </c>
      <c r="M22">
        <f>G22-F22</f>
        <v>26</v>
      </c>
      <c r="R22" t="s">
        <v>64</v>
      </c>
      <c r="S22" s="1">
        <v>0.5</v>
      </c>
    </row>
    <row r="23" spans="2:26" x14ac:dyDescent="0.25">
      <c r="B23">
        <v>391</v>
      </c>
      <c r="C23">
        <v>502</v>
      </c>
      <c r="D23">
        <v>530</v>
      </c>
      <c r="E23">
        <v>559</v>
      </c>
      <c r="F23">
        <v>587</v>
      </c>
      <c r="G23">
        <v>614</v>
      </c>
      <c r="I23">
        <f>C23-B23</f>
        <v>111</v>
      </c>
      <c r="J23">
        <f>D23-C23</f>
        <v>28</v>
      </c>
      <c r="K23">
        <f>E23-D23</f>
        <v>29</v>
      </c>
      <c r="L23">
        <f>F23-E23</f>
        <v>28</v>
      </c>
      <c r="M23">
        <f>G23-F23</f>
        <v>27</v>
      </c>
      <c r="R23" t="s">
        <v>65</v>
      </c>
      <c r="S23" s="1">
        <v>1</v>
      </c>
    </row>
    <row r="24" spans="2:26" x14ac:dyDescent="0.25">
      <c r="B24">
        <v>395</v>
      </c>
      <c r="C24">
        <v>507</v>
      </c>
      <c r="D24">
        <v>536</v>
      </c>
      <c r="E24">
        <v>566</v>
      </c>
      <c r="F24">
        <v>595</v>
      </c>
      <c r="G24">
        <v>623</v>
      </c>
      <c r="I24">
        <f>C24-B24</f>
        <v>112</v>
      </c>
      <c r="J24">
        <f>D24-C24</f>
        <v>29</v>
      </c>
      <c r="K24">
        <f>E24-D24</f>
        <v>30</v>
      </c>
      <c r="L24">
        <f>F24-E24</f>
        <v>29</v>
      </c>
      <c r="M24">
        <f>G24-F24</f>
        <v>28</v>
      </c>
      <c r="R24" t="s">
        <v>66</v>
      </c>
      <c r="S24" s="1">
        <v>0.8</v>
      </c>
    </row>
    <row r="25" spans="2:26" x14ac:dyDescent="0.25">
      <c r="B25">
        <v>407</v>
      </c>
      <c r="C25">
        <v>512</v>
      </c>
      <c r="D25">
        <v>542</v>
      </c>
      <c r="E25">
        <v>572</v>
      </c>
      <c r="F25">
        <v>601</v>
      </c>
      <c r="G25">
        <v>629</v>
      </c>
      <c r="I25">
        <f>C25-B25</f>
        <v>105</v>
      </c>
      <c r="J25">
        <f>D25-C25</f>
        <v>30</v>
      </c>
      <c r="K25">
        <f>E25-D25</f>
        <v>30</v>
      </c>
      <c r="L25">
        <f>F25-E25</f>
        <v>29</v>
      </c>
      <c r="M25">
        <f>G25-F25</f>
        <v>28</v>
      </c>
      <c r="R25" t="s">
        <v>66</v>
      </c>
      <c r="S25" s="1">
        <v>0.5</v>
      </c>
    </row>
    <row r="27" spans="2:26" x14ac:dyDescent="0.25">
      <c r="C27" t="s">
        <v>70</v>
      </c>
    </row>
    <row r="28" spans="2:26" x14ac:dyDescent="0.25">
      <c r="B28">
        <f>B22</f>
        <v>380</v>
      </c>
      <c r="C28">
        <f>$B28*C$8</f>
        <v>532</v>
      </c>
      <c r="D28">
        <f t="shared" ref="D28:G31" si="16">$B28*D$8</f>
        <v>589</v>
      </c>
      <c r="E28">
        <f t="shared" si="16"/>
        <v>646</v>
      </c>
      <c r="F28">
        <f t="shared" si="16"/>
        <v>703</v>
      </c>
      <c r="G28">
        <f t="shared" si="16"/>
        <v>756.2</v>
      </c>
      <c r="I28">
        <f>(C28-490)*0.5+(490-415)*0.8+415</f>
        <v>496</v>
      </c>
      <c r="J28">
        <f t="shared" ref="J28:M28" si="17">(D28-490)*0.5+(490-415)*0.8+415</f>
        <v>524.5</v>
      </c>
      <c r="K28">
        <f t="shared" si="17"/>
        <v>553</v>
      </c>
      <c r="L28">
        <f t="shared" si="17"/>
        <v>581.5</v>
      </c>
      <c r="M28">
        <f t="shared" si="17"/>
        <v>608.1</v>
      </c>
    </row>
    <row r="29" spans="2:26" x14ac:dyDescent="0.25">
      <c r="B29">
        <f t="shared" ref="B29:B31" si="18">B23</f>
        <v>391</v>
      </c>
      <c r="C29">
        <f t="shared" ref="C29:C31" si="19">$B29*C$8</f>
        <v>547.4</v>
      </c>
      <c r="D29">
        <f t="shared" si="16"/>
        <v>606.05000000000007</v>
      </c>
      <c r="E29">
        <f t="shared" si="16"/>
        <v>664.69999999999993</v>
      </c>
      <c r="F29">
        <f t="shared" si="16"/>
        <v>723.35</v>
      </c>
      <c r="G29">
        <f t="shared" si="16"/>
        <v>778.09</v>
      </c>
      <c r="I29">
        <f t="shared" ref="I29:I31" si="20">(C29-490)*0.5+(490-415)*0.8+415</f>
        <v>503.7</v>
      </c>
      <c r="J29">
        <f t="shared" ref="J29:J31" si="21">(D29-490)*0.5+(490-415)*0.8+415</f>
        <v>533.02500000000009</v>
      </c>
      <c r="K29">
        <f t="shared" ref="K29:K31" si="22">(E29-490)*0.5+(490-415)*0.8+415</f>
        <v>562.34999999999991</v>
      </c>
      <c r="L29">
        <f t="shared" ref="L29:L31" si="23">(F29-490)*0.5+(490-415)*0.8+415</f>
        <v>591.67499999999995</v>
      </c>
      <c r="M29">
        <f t="shared" ref="M29:M31" si="24">(G29-490)*0.5+(490-415)*0.8+415</f>
        <v>619.04500000000007</v>
      </c>
    </row>
    <row r="30" spans="2:26" x14ac:dyDescent="0.25">
      <c r="B30">
        <f t="shared" si="18"/>
        <v>395</v>
      </c>
      <c r="C30">
        <f t="shared" si="19"/>
        <v>553</v>
      </c>
      <c r="D30">
        <f t="shared" si="16"/>
        <v>612.25</v>
      </c>
      <c r="E30">
        <f t="shared" si="16"/>
        <v>671.5</v>
      </c>
      <c r="F30">
        <f t="shared" si="16"/>
        <v>730.75</v>
      </c>
      <c r="G30">
        <f t="shared" si="16"/>
        <v>786.05</v>
      </c>
      <c r="I30">
        <f t="shared" si="20"/>
        <v>506.5</v>
      </c>
      <c r="J30">
        <f t="shared" si="21"/>
        <v>536.125</v>
      </c>
      <c r="K30">
        <f t="shared" si="22"/>
        <v>565.75</v>
      </c>
      <c r="L30">
        <f t="shared" si="23"/>
        <v>595.375</v>
      </c>
      <c r="M30">
        <f t="shared" si="24"/>
        <v>623.02499999999998</v>
      </c>
    </row>
    <row r="31" spans="2:26" x14ac:dyDescent="0.25">
      <c r="B31">
        <f t="shared" si="18"/>
        <v>407</v>
      </c>
      <c r="C31">
        <f t="shared" si="19"/>
        <v>569.79999999999995</v>
      </c>
      <c r="D31">
        <f t="shared" si="16"/>
        <v>630.85</v>
      </c>
      <c r="E31">
        <f t="shared" si="16"/>
        <v>691.9</v>
      </c>
      <c r="F31">
        <f t="shared" si="16"/>
        <v>752.95</v>
      </c>
      <c r="G31">
        <f t="shared" si="16"/>
        <v>809.93</v>
      </c>
      <c r="I31">
        <f t="shared" si="20"/>
        <v>514.9</v>
      </c>
      <c r="J31">
        <f t="shared" si="21"/>
        <v>545.42499999999995</v>
      </c>
      <c r="K31">
        <f t="shared" si="22"/>
        <v>575.95000000000005</v>
      </c>
      <c r="L31">
        <f t="shared" si="23"/>
        <v>606.47500000000002</v>
      </c>
      <c r="M31">
        <f t="shared" si="24"/>
        <v>634.96499999999992</v>
      </c>
    </row>
    <row r="32" spans="2:26" x14ac:dyDescent="0.25">
      <c r="Q32" t="s">
        <v>72</v>
      </c>
    </row>
    <row r="33" spans="2:17" x14ac:dyDescent="0.25">
      <c r="G33" t="s">
        <v>52</v>
      </c>
      <c r="Q33" t="s">
        <v>73</v>
      </c>
    </row>
    <row r="34" spans="2:17" x14ac:dyDescent="0.25">
      <c r="Q34" t="s">
        <v>74</v>
      </c>
    </row>
    <row r="35" spans="2:17" x14ac:dyDescent="0.25">
      <c r="B35" t="s">
        <v>46</v>
      </c>
      <c r="J35" t="s">
        <v>67</v>
      </c>
      <c r="Q35" t="s">
        <v>75</v>
      </c>
    </row>
    <row r="36" spans="2:17" x14ac:dyDescent="0.25">
      <c r="B36" t="s">
        <v>47</v>
      </c>
      <c r="J36" t="s">
        <v>68</v>
      </c>
      <c r="Q36" t="s">
        <v>76</v>
      </c>
    </row>
    <row r="37" spans="2:17" x14ac:dyDescent="0.25">
      <c r="B37" t="s">
        <v>48</v>
      </c>
    </row>
    <row r="38" spans="2:17" x14ac:dyDescent="0.25">
      <c r="B38" t="s">
        <v>53</v>
      </c>
    </row>
    <row r="39" spans="2:17" x14ac:dyDescent="0.25">
      <c r="B39" t="s">
        <v>49</v>
      </c>
    </row>
    <row r="43" spans="2:17" x14ac:dyDescent="0.25">
      <c r="B43" t="s">
        <v>71</v>
      </c>
    </row>
    <row r="44" spans="2:17" x14ac:dyDescent="0.25">
      <c r="B44">
        <v>400</v>
      </c>
      <c r="C44">
        <v>510</v>
      </c>
      <c r="D44">
        <v>540</v>
      </c>
      <c r="E44">
        <v>570</v>
      </c>
      <c r="F44">
        <v>600</v>
      </c>
      <c r="G44">
        <v>628</v>
      </c>
    </row>
    <row r="45" spans="2:17" x14ac:dyDescent="0.25">
      <c r="B45">
        <v>412</v>
      </c>
      <c r="C45">
        <v>516</v>
      </c>
      <c r="D45">
        <v>546</v>
      </c>
      <c r="E45">
        <v>576</v>
      </c>
      <c r="F45">
        <v>606</v>
      </c>
      <c r="G45">
        <v>634</v>
      </c>
    </row>
    <row r="46" spans="2:17" x14ac:dyDescent="0.25">
      <c r="B46">
        <v>415</v>
      </c>
      <c r="C46">
        <v>521</v>
      </c>
      <c r="D46">
        <v>552</v>
      </c>
      <c r="E46">
        <v>583</v>
      </c>
      <c r="F46">
        <v>614</v>
      </c>
      <c r="G46">
        <v>643</v>
      </c>
    </row>
    <row r="47" spans="2:17" x14ac:dyDescent="0.25">
      <c r="B47">
        <v>425</v>
      </c>
      <c r="C47">
        <v>527</v>
      </c>
      <c r="D47">
        <v>558</v>
      </c>
      <c r="E47">
        <v>589</v>
      </c>
      <c r="F47">
        <v>620</v>
      </c>
      <c r="G47">
        <v>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E18" sqref="E18"/>
    </sheetView>
  </sheetViews>
  <sheetFormatPr defaultRowHeight="15" x14ac:dyDescent="0.25"/>
  <sheetData>
    <row r="1" spans="1:16" x14ac:dyDescent="0.25">
      <c r="A1" t="s">
        <v>59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H1" t="s">
        <v>60</v>
      </c>
      <c r="J1" t="s">
        <v>72</v>
      </c>
    </row>
    <row r="2" spans="1:16" x14ac:dyDescent="0.25">
      <c r="A2">
        <v>335</v>
      </c>
      <c r="B2">
        <v>211</v>
      </c>
      <c r="C2">
        <v>185</v>
      </c>
      <c r="D2">
        <v>160</v>
      </c>
      <c r="E2">
        <v>135</v>
      </c>
      <c r="F2">
        <v>111</v>
      </c>
      <c r="J2" t="s">
        <v>73</v>
      </c>
    </row>
    <row r="3" spans="1:16" x14ac:dyDescent="0.25">
      <c r="A3">
        <v>360</v>
      </c>
      <c r="E3">
        <v>137</v>
      </c>
      <c r="F3">
        <v>112</v>
      </c>
      <c r="J3" t="s">
        <v>74</v>
      </c>
    </row>
    <row r="4" spans="1:16" x14ac:dyDescent="0.25">
      <c r="A4">
        <v>370</v>
      </c>
      <c r="B4">
        <v>222</v>
      </c>
      <c r="C4">
        <v>193</v>
      </c>
      <c r="D4">
        <v>166</v>
      </c>
      <c r="E4">
        <v>138</v>
      </c>
      <c r="F4">
        <v>112</v>
      </c>
      <c r="H4" t="s">
        <v>61</v>
      </c>
      <c r="J4" t="s">
        <v>75</v>
      </c>
    </row>
    <row r="5" spans="1:16" x14ac:dyDescent="0.25">
      <c r="A5">
        <v>380</v>
      </c>
      <c r="F5">
        <v>112</v>
      </c>
      <c r="J5" t="s">
        <v>76</v>
      </c>
      <c r="O5" t="s">
        <v>77</v>
      </c>
    </row>
    <row r="6" spans="1:16" x14ac:dyDescent="0.25">
      <c r="P6" t="s">
        <v>79</v>
      </c>
    </row>
    <row r="7" spans="1:16" x14ac:dyDescent="0.25">
      <c r="P7" t="s">
        <v>80</v>
      </c>
    </row>
    <row r="8" spans="1:16" x14ac:dyDescent="0.25">
      <c r="A8">
        <f>A4-A2</f>
        <v>35</v>
      </c>
      <c r="B8">
        <f t="shared" ref="B8:F8" si="0">B4-B2</f>
        <v>11</v>
      </c>
      <c r="C8">
        <f t="shared" si="0"/>
        <v>8</v>
      </c>
      <c r="D8">
        <f t="shared" si="0"/>
        <v>6</v>
      </c>
      <c r="E8">
        <f t="shared" si="0"/>
        <v>3</v>
      </c>
      <c r="F8">
        <f t="shared" si="0"/>
        <v>1</v>
      </c>
      <c r="P8" t="s">
        <v>78</v>
      </c>
    </row>
    <row r="10" spans="1:16" x14ac:dyDescent="0.25">
      <c r="B10">
        <f>B4-F4</f>
        <v>110</v>
      </c>
      <c r="D10">
        <f>B4-D4</f>
        <v>56</v>
      </c>
    </row>
    <row r="11" spans="1:16" x14ac:dyDescent="0.25">
      <c r="A11" t="s">
        <v>85</v>
      </c>
      <c r="H11" t="s">
        <v>84</v>
      </c>
    </row>
    <row r="12" spans="1:16" x14ac:dyDescent="0.25">
      <c r="B12">
        <v>0.4</v>
      </c>
      <c r="C12">
        <v>0.55000000000000004</v>
      </c>
      <c r="D12">
        <v>0.7</v>
      </c>
      <c r="E12">
        <v>0.85</v>
      </c>
      <c r="F12">
        <v>0.99</v>
      </c>
    </row>
    <row r="13" spans="1:16" x14ac:dyDescent="0.25">
      <c r="A13">
        <v>405</v>
      </c>
      <c r="B13">
        <v>285</v>
      </c>
      <c r="C13">
        <v>238</v>
      </c>
      <c r="D13">
        <v>206</v>
      </c>
      <c r="E13">
        <v>183</v>
      </c>
      <c r="F13">
        <v>162</v>
      </c>
      <c r="H13">
        <f>220-F13</f>
        <v>58</v>
      </c>
      <c r="I13">
        <f>H13/2</f>
        <v>29</v>
      </c>
      <c r="J13">
        <f>220-I13</f>
        <v>191</v>
      </c>
      <c r="M13" s="13"/>
      <c r="O13" t="s">
        <v>62</v>
      </c>
    </row>
    <row r="14" spans="1:16" x14ac:dyDescent="0.25">
      <c r="O14" t="s">
        <v>63</v>
      </c>
      <c r="P14">
        <v>0</v>
      </c>
    </row>
    <row r="15" spans="1:16" x14ac:dyDescent="0.25">
      <c r="H15">
        <f>220-F15</f>
        <v>220</v>
      </c>
      <c r="I15">
        <f t="shared" ref="I14:I15" si="1">H15/2</f>
        <v>110</v>
      </c>
      <c r="J15">
        <f t="shared" ref="J14:J15" si="2">220-I15</f>
        <v>110</v>
      </c>
      <c r="O15" t="s">
        <v>64</v>
      </c>
      <c r="P15" s="1">
        <v>0.5</v>
      </c>
    </row>
    <row r="16" spans="1:16" x14ac:dyDescent="0.25">
      <c r="O16" t="s">
        <v>65</v>
      </c>
      <c r="P16" s="1">
        <v>1</v>
      </c>
    </row>
    <row r="17" spans="15:16" x14ac:dyDescent="0.25">
      <c r="O17" t="s">
        <v>66</v>
      </c>
      <c r="P17" s="1">
        <v>0.8</v>
      </c>
    </row>
    <row r="18" spans="15:16" x14ac:dyDescent="0.25">
      <c r="O18" t="s">
        <v>66</v>
      </c>
      <c r="P18" s="1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Speed</vt:lpstr>
      <vt:lpstr>Slows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Iron Throne</dc:creator>
  <cp:lastModifiedBy>The Iron Throne</cp:lastModifiedBy>
  <dcterms:created xsi:type="dcterms:W3CDTF">2015-12-29T19:41:32Z</dcterms:created>
  <dcterms:modified xsi:type="dcterms:W3CDTF">2016-01-30T04:27:49Z</dcterms:modified>
</cp:coreProperties>
</file>