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56\OneDrive - hull.ac.uk\Desktop\"/>
    </mc:Choice>
  </mc:AlternateContent>
  <xr:revisionPtr revIDLastSave="0" documentId="13_ncr:1_{7E8E92E3-5A9A-4CE6-A7E4-FB09B66C5A8D}" xr6:coauthVersionLast="47" xr6:coauthVersionMax="47" xr10:uidLastSave="{00000000-0000-0000-0000-000000000000}"/>
  <bookViews>
    <workbookView xWindow="-120" yWindow="-120" windowWidth="20730" windowHeight="11160" activeTab="1" xr2:uid="{7E814EB5-9044-450C-83D4-E884FBE1E0A5}"/>
  </bookViews>
  <sheets>
    <sheet name="Control Panel" sheetId="5" r:id="rId1"/>
    <sheet name="Financial Model" sheetId="2" r:id="rId2"/>
    <sheet name="Scenarios" sheetId="4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"03/04/2021 16:03:04"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4" l="1"/>
  <c r="F41" i="4"/>
  <c r="G41" i="4"/>
  <c r="H41" i="4"/>
  <c r="D41" i="4"/>
  <c r="J40" i="2"/>
  <c r="K40" i="2"/>
  <c r="L40" i="2"/>
  <c r="M40" i="2"/>
  <c r="I40" i="2"/>
  <c r="I37" i="2"/>
  <c r="J37" i="2"/>
  <c r="K37" i="2"/>
  <c r="L37" i="2"/>
  <c r="M37" i="2"/>
  <c r="J36" i="2"/>
  <c r="K36" i="2"/>
  <c r="L36" i="2"/>
  <c r="M36" i="2"/>
  <c r="I36" i="2"/>
  <c r="I34" i="2"/>
  <c r="J34" i="2"/>
  <c r="K34" i="2"/>
  <c r="L34" i="2"/>
  <c r="M34" i="2"/>
  <c r="J33" i="2"/>
  <c r="K33" i="2"/>
  <c r="L33" i="2"/>
  <c r="M33" i="2"/>
  <c r="I33" i="2"/>
  <c r="J25" i="2"/>
  <c r="K25" i="2"/>
  <c r="L25" i="2"/>
  <c r="M25" i="2"/>
  <c r="J26" i="2"/>
  <c r="K26" i="2"/>
  <c r="L26" i="2"/>
  <c r="M26" i="2"/>
  <c r="I26" i="2"/>
  <c r="I25" i="2"/>
  <c r="I67" i="2"/>
  <c r="I64" i="2"/>
  <c r="J64" i="2"/>
  <c r="K64" i="2"/>
  <c r="L64" i="2"/>
  <c r="M64" i="2"/>
  <c r="J63" i="2"/>
  <c r="K63" i="2"/>
  <c r="L63" i="2"/>
  <c r="M63" i="2"/>
  <c r="I63" i="2"/>
  <c r="J82" i="2"/>
  <c r="K82" i="2"/>
  <c r="L82" i="2"/>
  <c r="M82" i="2"/>
  <c r="M58" i="2"/>
  <c r="M59" i="2"/>
  <c r="I81" i="2"/>
  <c r="J93" i="2"/>
  <c r="J94" i="2"/>
  <c r="K94" i="2"/>
  <c r="L94" i="2"/>
  <c r="M94" i="2"/>
  <c r="J95" i="2"/>
  <c r="K93" i="2"/>
  <c r="K95" i="2"/>
  <c r="L93" i="2"/>
  <c r="L95" i="2"/>
  <c r="M93" i="2"/>
  <c r="M95" i="2"/>
  <c r="I95" i="2"/>
  <c r="I93" i="2"/>
  <c r="I94" i="2"/>
  <c r="J62" i="2"/>
  <c r="K62" i="2"/>
  <c r="L62" i="2"/>
  <c r="M62" i="2"/>
  <c r="I62" i="2"/>
  <c r="J58" i="2"/>
  <c r="K58" i="2"/>
  <c r="L58" i="2"/>
  <c r="I58" i="2"/>
  <c r="I59" i="2"/>
  <c r="I82" i="2"/>
  <c r="J59" i="2"/>
  <c r="K59" i="2"/>
  <c r="L59" i="2"/>
  <c r="J54" i="2"/>
  <c r="K54" i="2"/>
  <c r="L54" i="2"/>
  <c r="M54" i="2"/>
  <c r="I54" i="2"/>
  <c r="J78" i="2"/>
  <c r="K78" i="2"/>
  <c r="L78" i="2"/>
  <c r="M78" i="2"/>
  <c r="I78" i="2"/>
  <c r="J77" i="2"/>
  <c r="K77" i="2"/>
  <c r="L77" i="2"/>
  <c r="M77" i="2"/>
  <c r="I77" i="2"/>
  <c r="J76" i="2"/>
  <c r="K76" i="2"/>
  <c r="L76" i="2"/>
  <c r="M76" i="2"/>
  <c r="I76" i="2"/>
  <c r="J75" i="2"/>
  <c r="K75" i="2"/>
  <c r="L75" i="2"/>
  <c r="M75" i="2"/>
  <c r="I75" i="2"/>
  <c r="J74" i="2"/>
  <c r="K74" i="2"/>
  <c r="L74" i="2"/>
  <c r="M74" i="2"/>
  <c r="I74" i="2"/>
  <c r="P10" i="2"/>
  <c r="Q9" i="2"/>
  <c r="P9" i="2"/>
  <c r="Q11" i="2"/>
  <c r="P11" i="2" s="1"/>
  <c r="P12" i="2" s="1"/>
  <c r="P13" i="2" s="1"/>
  <c r="Q10" i="2"/>
  <c r="S9" i="2"/>
  <c r="J15" i="2"/>
  <c r="K15" i="2"/>
  <c r="L15" i="2"/>
  <c r="M15" i="2"/>
  <c r="I15" i="2"/>
  <c r="J90" i="2"/>
  <c r="K90" i="2"/>
  <c r="L90" i="2"/>
  <c r="M90" i="2"/>
  <c r="I90" i="2"/>
  <c r="J87" i="2"/>
  <c r="J88" i="2"/>
  <c r="K88" i="2"/>
  <c r="L88" i="2"/>
  <c r="M88" i="2"/>
  <c r="J89" i="2"/>
  <c r="K87" i="2"/>
  <c r="K89" i="2"/>
  <c r="L87" i="2"/>
  <c r="L89" i="2"/>
  <c r="M87" i="2"/>
  <c r="M89" i="2"/>
  <c r="I89" i="2"/>
  <c r="I88" i="2"/>
  <c r="I87" i="2"/>
  <c r="H28" i="4"/>
  <c r="G28" i="4"/>
  <c r="F28" i="4"/>
  <c r="E28" i="4"/>
  <c r="D28" i="4"/>
  <c r="H27" i="4"/>
  <c r="G27" i="4"/>
  <c r="F27" i="4"/>
  <c r="E27" i="4"/>
  <c r="D27" i="4"/>
  <c r="H26" i="4"/>
  <c r="G26" i="4"/>
  <c r="F26" i="4"/>
  <c r="E26" i="4"/>
  <c r="D26" i="4"/>
  <c r="H25" i="4"/>
  <c r="G25" i="4"/>
  <c r="F25" i="4"/>
  <c r="E25" i="4"/>
  <c r="D25" i="4"/>
  <c r="H24" i="4"/>
  <c r="G24" i="4"/>
  <c r="F24" i="4"/>
  <c r="E24" i="4"/>
  <c r="D24" i="4"/>
  <c r="H23" i="4"/>
  <c r="G23" i="4"/>
  <c r="F23" i="4"/>
  <c r="E23" i="4"/>
  <c r="D23" i="4"/>
  <c r="H20" i="4"/>
  <c r="G20" i="4"/>
  <c r="F20" i="4"/>
  <c r="E20" i="4"/>
  <c r="D20" i="4"/>
  <c r="H19" i="4"/>
  <c r="G19" i="4"/>
  <c r="F19" i="4"/>
  <c r="E19" i="4"/>
  <c r="D19" i="4"/>
  <c r="H16" i="4"/>
  <c r="G16" i="4"/>
  <c r="F16" i="4"/>
  <c r="E16" i="4"/>
  <c r="D16" i="4"/>
  <c r="H15" i="4"/>
  <c r="G15" i="4"/>
  <c r="F15" i="4"/>
  <c r="E15" i="4"/>
  <c r="D15" i="4"/>
  <c r="H13" i="4"/>
  <c r="G13" i="4"/>
  <c r="F13" i="4"/>
  <c r="E13" i="4"/>
  <c r="D13" i="4"/>
  <c r="H12" i="4"/>
  <c r="G12" i="4"/>
  <c r="F12" i="4"/>
  <c r="E12" i="4"/>
  <c r="D12" i="4"/>
  <c r="H11" i="4"/>
  <c r="G11" i="4"/>
  <c r="F11" i="4"/>
  <c r="E11" i="4"/>
  <c r="D11" i="4"/>
  <c r="I9" i="2"/>
  <c r="I13" i="2"/>
  <c r="D42" i="4"/>
  <c r="D17" i="4"/>
  <c r="E42" i="4"/>
  <c r="E17" i="4"/>
  <c r="F42" i="4"/>
  <c r="F17" i="4"/>
  <c r="G42" i="4"/>
  <c r="G17" i="4"/>
  <c r="H42" i="4"/>
  <c r="H17" i="4"/>
  <c r="D64" i="4"/>
  <c r="E64" i="4"/>
  <c r="F64" i="4"/>
  <c r="G64" i="4"/>
  <c r="H64" i="4"/>
  <c r="D86" i="4"/>
  <c r="E86" i="4"/>
  <c r="F86" i="4"/>
  <c r="G86" i="4"/>
  <c r="H86" i="4"/>
  <c r="E5" i="2"/>
  <c r="F5" i="2"/>
  <c r="G5" i="2"/>
  <c r="H5" i="2"/>
  <c r="I5" i="2"/>
  <c r="D11" i="2"/>
  <c r="D16" i="2"/>
  <c r="D18" i="2"/>
  <c r="E11" i="2"/>
  <c r="E16" i="2"/>
  <c r="E18" i="2"/>
  <c r="F11" i="2"/>
  <c r="G11" i="2"/>
  <c r="H11" i="2"/>
  <c r="F16" i="2"/>
  <c r="F18" i="2"/>
  <c r="G16" i="2"/>
  <c r="G18" i="2"/>
  <c r="H16" i="2"/>
  <c r="H18" i="2"/>
  <c r="D27" i="2"/>
  <c r="D30" i="2"/>
  <c r="E27" i="2"/>
  <c r="E30" i="2"/>
  <c r="F27" i="2"/>
  <c r="F30" i="2"/>
  <c r="G27" i="2"/>
  <c r="H27" i="2"/>
  <c r="G30" i="2"/>
  <c r="H30" i="2"/>
  <c r="D34" i="2"/>
  <c r="D37" i="2"/>
  <c r="D43" i="2"/>
  <c r="E34" i="2"/>
  <c r="E37" i="2"/>
  <c r="E43" i="2"/>
  <c r="F34" i="2"/>
  <c r="F37" i="2"/>
  <c r="F43" i="2"/>
  <c r="G34" i="2"/>
  <c r="H34" i="2"/>
  <c r="G37" i="2"/>
  <c r="H37" i="2"/>
  <c r="D42" i="2"/>
  <c r="E42" i="2"/>
  <c r="F42" i="2"/>
  <c r="G42" i="2"/>
  <c r="H42" i="2"/>
  <c r="H43" i="2"/>
  <c r="G43" i="2"/>
  <c r="D55" i="2"/>
  <c r="D66" i="2"/>
  <c r="D68" i="2"/>
  <c r="E55" i="2"/>
  <c r="E66" i="2"/>
  <c r="E68" i="2"/>
  <c r="F55" i="2"/>
  <c r="F66" i="2"/>
  <c r="F68" i="2"/>
  <c r="G55" i="2"/>
  <c r="G66" i="2"/>
  <c r="G68" i="2"/>
  <c r="H55" i="2"/>
  <c r="H66" i="2"/>
  <c r="H68" i="2"/>
  <c r="D59" i="2"/>
  <c r="E59" i="2"/>
  <c r="F59" i="2"/>
  <c r="G59" i="2"/>
  <c r="H59" i="2"/>
  <c r="D64" i="2"/>
  <c r="E64" i="2"/>
  <c r="F64" i="2"/>
  <c r="G64" i="2"/>
  <c r="H64" i="2"/>
  <c r="D77" i="2"/>
  <c r="E77" i="2"/>
  <c r="F77" i="2"/>
  <c r="G77" i="2"/>
  <c r="H77" i="2"/>
  <c r="D84" i="2"/>
  <c r="E84" i="2"/>
  <c r="F84" i="2"/>
  <c r="G84" i="2"/>
  <c r="H84" i="2"/>
  <c r="D89" i="2"/>
  <c r="E89" i="2"/>
  <c r="F89" i="2"/>
  <c r="G89" i="2"/>
  <c r="H89" i="2"/>
  <c r="D95" i="2"/>
  <c r="E95" i="2"/>
  <c r="F95" i="2"/>
  <c r="G95" i="2"/>
  <c r="H95" i="2"/>
  <c r="J14" i="2"/>
  <c r="J83" i="2"/>
  <c r="J53" i="2"/>
  <c r="M83" i="2"/>
  <c r="M53" i="2"/>
  <c r="M14" i="2"/>
  <c r="K83" i="2"/>
  <c r="K53" i="2"/>
  <c r="K14" i="2"/>
  <c r="L83" i="2"/>
  <c r="L53" i="2"/>
  <c r="L14" i="2"/>
  <c r="I83" i="2"/>
  <c r="I14" i="2"/>
  <c r="I10" i="2"/>
  <c r="I11" i="2"/>
  <c r="I16" i="2"/>
  <c r="J9" i="2"/>
  <c r="J13" i="2"/>
  <c r="D6" i="4"/>
  <c r="J5" i="2"/>
  <c r="I53" i="2"/>
  <c r="I84" i="2"/>
  <c r="I17" i="2"/>
  <c r="I18" i="2"/>
  <c r="K9" i="2"/>
  <c r="K13" i="2"/>
  <c r="J10" i="2"/>
  <c r="J11" i="2"/>
  <c r="J16" i="2"/>
  <c r="E6" i="4"/>
  <c r="K5" i="2"/>
  <c r="I51" i="2"/>
  <c r="I55" i="2"/>
  <c r="I66" i="2"/>
  <c r="I68" i="2"/>
  <c r="I41" i="2"/>
  <c r="I29" i="2"/>
  <c r="J81" i="2"/>
  <c r="J84" i="2"/>
  <c r="J17" i="2"/>
  <c r="J18" i="2"/>
  <c r="J51" i="2"/>
  <c r="J55" i="2"/>
  <c r="J66" i="2"/>
  <c r="L9" i="2"/>
  <c r="L13" i="2"/>
  <c r="K10" i="2"/>
  <c r="K11" i="2"/>
  <c r="K16" i="2"/>
  <c r="F6" i="4"/>
  <c r="L5" i="2"/>
  <c r="K81" i="2"/>
  <c r="K84" i="2"/>
  <c r="J29" i="2"/>
  <c r="I42" i="2"/>
  <c r="I43" i="2"/>
  <c r="J41" i="2"/>
  <c r="J67" i="2"/>
  <c r="J68" i="2"/>
  <c r="I24" i="2"/>
  <c r="I27" i="2"/>
  <c r="I30" i="2"/>
  <c r="K17" i="2"/>
  <c r="K18" i="2"/>
  <c r="K51" i="2"/>
  <c r="K55" i="2"/>
  <c r="K66" i="2"/>
  <c r="M9" i="2"/>
  <c r="M13" i="2"/>
  <c r="L10" i="2"/>
  <c r="L11" i="2"/>
  <c r="L16" i="2"/>
  <c r="G6" i="4"/>
  <c r="M5" i="2"/>
  <c r="H6" i="4"/>
  <c r="K41" i="2"/>
  <c r="J42" i="2"/>
  <c r="J43" i="2"/>
  <c r="K67" i="2"/>
  <c r="K68" i="2"/>
  <c r="J24" i="2"/>
  <c r="J27" i="2"/>
  <c r="J30" i="2"/>
  <c r="L81" i="2"/>
  <c r="L84" i="2"/>
  <c r="K29" i="2"/>
  <c r="L17" i="2"/>
  <c r="L18" i="2"/>
  <c r="L51" i="2"/>
  <c r="L55" i="2"/>
  <c r="L66" i="2"/>
  <c r="M10" i="2"/>
  <c r="M11" i="2"/>
  <c r="M16" i="2"/>
  <c r="L67" i="2"/>
  <c r="L68" i="2"/>
  <c r="K24" i="2"/>
  <c r="K27" i="2"/>
  <c r="K30" i="2"/>
  <c r="M81" i="2"/>
  <c r="M84" i="2"/>
  <c r="M29" i="2"/>
  <c r="L29" i="2"/>
  <c r="L41" i="2"/>
  <c r="K42" i="2"/>
  <c r="K43" i="2"/>
  <c r="M17" i="2"/>
  <c r="M18" i="2"/>
  <c r="M51" i="2"/>
  <c r="M55" i="2"/>
  <c r="M66" i="2"/>
  <c r="M41" i="2"/>
  <c r="M42" i="2"/>
  <c r="M43" i="2"/>
  <c r="L42" i="2"/>
  <c r="L43" i="2"/>
  <c r="M67" i="2"/>
  <c r="M68" i="2"/>
  <c r="M24" i="2"/>
  <c r="M27" i="2"/>
  <c r="M30" i="2"/>
  <c r="L24" i="2"/>
  <c r="L27" i="2"/>
  <c r="L30" i="2"/>
</calcChain>
</file>

<file path=xl/sharedStrings.xml><?xml version="1.0" encoding="utf-8"?>
<sst xmlns="http://schemas.openxmlformats.org/spreadsheetml/2006/main" count="151" uniqueCount="90">
  <si>
    <t>Income Statement</t>
  </si>
  <si>
    <t>Cost of Sales</t>
  </si>
  <si>
    <t>Sales Revenue</t>
  </si>
  <si>
    <t>Depreciation Expense</t>
  </si>
  <si>
    <t>SG&amp;A Expense</t>
  </si>
  <si>
    <t>Interest Expense</t>
  </si>
  <si>
    <t>Income Before Income Taxes</t>
  </si>
  <si>
    <t>Income Taxes</t>
  </si>
  <si>
    <t>Net Income</t>
  </si>
  <si>
    <t>Balance Sheet</t>
  </si>
  <si>
    <t>Assets</t>
  </si>
  <si>
    <t>Cash &amp; Cash Equivalents</t>
  </si>
  <si>
    <t>Accounts Receivable</t>
  </si>
  <si>
    <t>Inventories</t>
  </si>
  <si>
    <t>Total Current Assets</t>
  </si>
  <si>
    <t>Property, Plant &amp; Equipment</t>
  </si>
  <si>
    <t>Total Assets</t>
  </si>
  <si>
    <t>Liabilities</t>
  </si>
  <si>
    <t>Accounts Payable</t>
  </si>
  <si>
    <t>Total Liabilities</t>
  </si>
  <si>
    <t>Total Current Liabilities</t>
  </si>
  <si>
    <t>Long-Term Debt</t>
  </si>
  <si>
    <t>Shareholders' Equity</t>
  </si>
  <si>
    <t>Share Capital</t>
  </si>
  <si>
    <t>Retained Earnings</t>
  </si>
  <si>
    <t>Total Shareholders' Equity</t>
  </si>
  <si>
    <t>Total Liabilities and Shareholders' Equity</t>
  </si>
  <si>
    <t>Cash Flow Statement</t>
  </si>
  <si>
    <t>Operating Activities</t>
  </si>
  <si>
    <t>Adjustments For:</t>
  </si>
  <si>
    <t>Changes in Non-Cash Working Capital</t>
  </si>
  <si>
    <t>Cash Generated From Operating Activities</t>
  </si>
  <si>
    <t>Investing Activities</t>
  </si>
  <si>
    <t>Additions to Property, Plant &amp;  Equipment</t>
  </si>
  <si>
    <t>Cash (Used For) Investing Activities</t>
  </si>
  <si>
    <t>Financing Activities</t>
  </si>
  <si>
    <t>Issuance (Repayment) of Debt</t>
  </si>
  <si>
    <t>Issuance (Buy-back) of Equity</t>
  </si>
  <si>
    <t>Cash (Used For) Generated From Financing Activities</t>
  </si>
  <si>
    <t>Cash (Used) Generated in the Period</t>
  </si>
  <si>
    <t>Cash &amp; Cash Equivalents, Beginning of Period</t>
  </si>
  <si>
    <t>Cash &amp; Cash Equivalents, End of Period</t>
  </si>
  <si>
    <t>Forecast Scenarios</t>
  </si>
  <si>
    <t>Live Case</t>
  </si>
  <si>
    <t>Accounts Receivable (Days)</t>
  </si>
  <si>
    <t>Inventory (Days)</t>
  </si>
  <si>
    <t>Accounts Payable (Days)</t>
  </si>
  <si>
    <t>Income Statement Assumptions</t>
  </si>
  <si>
    <t>SG&amp;A Expense (% of Sales)</t>
  </si>
  <si>
    <t>Cost of Sales (% of Sales)</t>
  </si>
  <si>
    <t>Annual Sales Growth</t>
  </si>
  <si>
    <t>Balance Sheet Assumptions</t>
  </si>
  <si>
    <t>Interest Rate</t>
  </si>
  <si>
    <t>Effective Tax Rate</t>
  </si>
  <si>
    <t>Depreciation Expense (On Existing Assets)</t>
  </si>
  <si>
    <t>Depreciation Expense (On New Additions)</t>
  </si>
  <si>
    <t>Total Depreciation Expense</t>
  </si>
  <si>
    <t>Capital Expenditures</t>
  </si>
  <si>
    <t>Debt Issuance (Repayment)</t>
  </si>
  <si>
    <t>Equity Issued (Repaid)</t>
  </si>
  <si>
    <t>Base Case</t>
  </si>
  <si>
    <t>Low Case</t>
  </si>
  <si>
    <t>Scenario Inputs</t>
  </si>
  <si>
    <t>Annual Sales Growth (%)</t>
  </si>
  <si>
    <t>Model Inputs and Assumptions</t>
  </si>
  <si>
    <t>General Assumptions</t>
  </si>
  <si>
    <t>Forecast Scenario</t>
  </si>
  <si>
    <t>Days Per Year</t>
  </si>
  <si>
    <t>Asset Salvage Value (% of Capital Addition)</t>
  </si>
  <si>
    <t>Asset Useful Life (New Additions)</t>
  </si>
  <si>
    <t>Base Case Capital Assumptions</t>
  </si>
  <si>
    <t>High Case</t>
  </si>
  <si>
    <t>Supporting Schedules</t>
  </si>
  <si>
    <t>Change in Non-Cash Working Capital</t>
  </si>
  <si>
    <t>Total Working Capital</t>
  </si>
  <si>
    <t>PP&amp;E, Opening Balance</t>
  </si>
  <si>
    <t>Asset Continuity Schedule</t>
  </si>
  <si>
    <t>Debt Schedule</t>
  </si>
  <si>
    <t>Total Debt, Opening Balance</t>
  </si>
  <si>
    <t>Issuance (Repayment)</t>
  </si>
  <si>
    <t>Total Debt, Ending Balance</t>
  </si>
  <si>
    <t>Share Capital Schedule</t>
  </si>
  <si>
    <t>Share Capital, Opening Balance</t>
  </si>
  <si>
    <t>Share Capital, Ending Balance</t>
  </si>
  <si>
    <t>PP&amp;E, Ending Balance</t>
  </si>
  <si>
    <t>Historical and Forecast Financial Information</t>
  </si>
  <si>
    <t>Gross Profit</t>
  </si>
  <si>
    <t>Share Issuance (Buy-Back))</t>
  </si>
  <si>
    <t>All Figures in US$000's unless otherwise stated.</t>
  </si>
  <si>
    <t>CASE STUDY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</si>
</sst>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;\(&quot;$&quot;#,##0\)"/>
    <numFmt numFmtId="165" formatCode="0.0%"/>
    <numFmt numFmtId="166" formatCode="&quot;$&quot;#,##0.00"/>
    <numFmt numFmtId="167" formatCode="yyyy"/>
    <numFmt numFmtId="168" formatCode="yyyy&quot;E&quot;"/>
    <numFmt numFmtId="169" formatCode="#\ &quot;Years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i/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i/>
      <sz val="12"/>
      <color theme="0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11" fillId="0" borderId="0" xfId="0" applyFont="1"/>
    <xf numFmtId="0" fontId="12" fillId="0" borderId="0" xfId="0" applyFont="1"/>
    <xf numFmtId="167" fontId="12" fillId="0" borderId="2" xfId="0" applyNumberFormat="1" applyFont="1" applyBorder="1"/>
    <xf numFmtId="0" fontId="2" fillId="0" borderId="0" xfId="0" applyFont="1"/>
    <xf numFmtId="0" fontId="3" fillId="0" borderId="0" xfId="0" applyFont="1"/>
    <xf numFmtId="168" fontId="12" fillId="0" borderId="2" xfId="0" applyNumberFormat="1" applyFont="1" applyBorder="1"/>
    <xf numFmtId="0" fontId="6" fillId="2" borderId="0" xfId="0" applyFont="1" applyFill="1"/>
    <xf numFmtId="164" fontId="2" fillId="0" borderId="0" xfId="0" applyNumberFormat="1" applyFont="1"/>
    <xf numFmtId="0" fontId="6" fillId="0" borderId="0" xfId="0" applyFont="1"/>
    <xf numFmtId="0" fontId="3" fillId="3" borderId="0" xfId="0" applyFont="1" applyFill="1"/>
    <xf numFmtId="0" fontId="2" fillId="0" borderId="0" xfId="0" applyFont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4" xfId="0" applyFont="1" applyBorder="1"/>
    <xf numFmtId="9" fontId="13" fillId="0" borderId="4" xfId="1" applyFont="1" applyBorder="1"/>
    <xf numFmtId="169" fontId="13" fillId="0" borderId="4" xfId="0" applyNumberFormat="1" applyFont="1" applyBorder="1"/>
    <xf numFmtId="0" fontId="2" fillId="0" borderId="2" xfId="0" applyFont="1" applyBorder="1"/>
    <xf numFmtId="0" fontId="2" fillId="0" borderId="3" xfId="0" applyFont="1" applyBorder="1"/>
    <xf numFmtId="164" fontId="2" fillId="0" borderId="2" xfId="0" applyNumberFormat="1" applyFont="1" applyBorder="1"/>
    <xf numFmtId="0" fontId="14" fillId="0" borderId="0" xfId="0" applyFont="1"/>
    <xf numFmtId="164" fontId="14" fillId="0" borderId="0" xfId="0" applyNumberFormat="1" applyFont="1"/>
    <xf numFmtId="164" fontId="3" fillId="0" borderId="0" xfId="0" applyNumberFormat="1" applyFont="1"/>
    <xf numFmtId="166" fontId="2" fillId="0" borderId="0" xfId="0" applyNumberFormat="1" applyFont="1"/>
    <xf numFmtId="165" fontId="2" fillId="0" borderId="0" xfId="1" applyNumberFormat="1" applyFont="1"/>
    <xf numFmtId="164" fontId="13" fillId="0" borderId="0" xfId="0" applyNumberFormat="1" applyFont="1"/>
    <xf numFmtId="164" fontId="13" fillId="0" borderId="2" xfId="0" applyNumberFormat="1" applyFont="1" applyBorder="1"/>
    <xf numFmtId="165" fontId="14" fillId="0" borderId="0" xfId="1" applyNumberFormat="1" applyFont="1" applyBorder="1"/>
    <xf numFmtId="3" fontId="14" fillId="0" borderId="0" xfId="1" applyNumberFormat="1" applyFont="1" applyBorder="1"/>
    <xf numFmtId="165" fontId="13" fillId="0" borderId="4" xfId="1" applyNumberFormat="1" applyFont="1" applyBorder="1"/>
    <xf numFmtId="164" fontId="13" fillId="0" borderId="4" xfId="0" applyNumberFormat="1" applyFont="1" applyBorder="1"/>
    <xf numFmtId="164" fontId="13" fillId="4" borderId="4" xfId="0" applyNumberFormat="1" applyFont="1" applyFill="1" applyBorder="1"/>
    <xf numFmtId="3" fontId="13" fillId="0" borderId="4" xfId="1" applyNumberFormat="1" applyFont="1" applyBorder="1"/>
    <xf numFmtId="164" fontId="14" fillId="0" borderId="2" xfId="0" applyNumberFormat="1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2" fillId="0" borderId="0" xfId="0" applyFont="1" applyAlignment="1">
      <alignment horizontal="left" indent="1"/>
    </xf>
    <xf numFmtId="0" fontId="2" fillId="0" borderId="2" xfId="0" applyFont="1" applyBorder="1" applyAlignment="1">
      <alignment horizontal="left" indent="1"/>
    </xf>
    <xf numFmtId="165" fontId="14" fillId="4" borderId="4" xfId="1" applyNumberFormat="1" applyFont="1" applyFill="1" applyBorder="1"/>
    <xf numFmtId="9" fontId="2" fillId="0" borderId="0" xfId="1" applyFont="1"/>
    <xf numFmtId="10" fontId="15" fillId="0" borderId="0" xfId="1" applyNumberFormat="1" applyFont="1" applyFill="1" applyBorder="1" applyAlignment="1"/>
    <xf numFmtId="164" fontId="2" fillId="0" borderId="1" xfId="0" applyNumberFormat="1" applyFont="1" applyBorder="1"/>
    <xf numFmtId="0" fontId="6" fillId="5" borderId="0" xfId="0" applyFont="1" applyFill="1"/>
    <xf numFmtId="164" fontId="6" fillId="5" borderId="0" xfId="0" applyNumberFormat="1" applyFont="1" applyFill="1"/>
    <xf numFmtId="37" fontId="8" fillId="6" borderId="0" xfId="0" applyNumberFormat="1" applyFont="1" applyFill="1" applyAlignment="1">
      <alignment vertical="top"/>
    </xf>
    <xf numFmtId="37" fontId="6" fillId="6" borderId="0" xfId="0" applyNumberFormat="1" applyFont="1" applyFill="1" applyAlignment="1">
      <alignment horizontal="left" vertical="top"/>
    </xf>
    <xf numFmtId="37" fontId="9" fillId="6" borderId="0" xfId="0" applyNumberFormat="1" applyFont="1" applyFill="1" applyAlignment="1">
      <alignment horizontal="left" vertical="top"/>
    </xf>
    <xf numFmtId="37" fontId="7" fillId="6" borderId="0" xfId="0" applyNumberFormat="1" applyFont="1" applyFill="1" applyAlignment="1">
      <alignment vertical="top"/>
    </xf>
    <xf numFmtId="37" fontId="10" fillId="6" borderId="0" xfId="0" applyNumberFormat="1" applyFont="1" applyFill="1" applyAlignment="1">
      <alignment vertical="top"/>
    </xf>
    <xf numFmtId="37" fontId="10" fillId="7" borderId="0" xfId="0" applyNumberFormat="1" applyFont="1" applyFill="1" applyAlignment="1">
      <alignment vertical="top"/>
    </xf>
  </cellXfs>
  <cellStyles count="4">
    <cellStyle name="Hyperlink 2 2" xfId="3" xr:uid="{EFA73749-38F0-4478-8E68-F31B366FE5C6}"/>
    <cellStyle name="Normal" xfId="0" builtinId="0"/>
    <cellStyle name="Normal 2 2 2" xfId="2" xr:uid="{2EA36A67-9C82-4E26-8639-B09A830F0E9F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  <color rgb="FF008000"/>
      <color rgb="FF00CC00"/>
      <color rgb="FF339933"/>
      <color rgb="FF00C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C093-6917-466B-A3FF-53E2CD3556BE}">
  <dimension ref="A1:F13"/>
  <sheetViews>
    <sheetView showGridLines="0" workbookViewId="0">
      <selection activeCell="H14" sqref="H14"/>
    </sheetView>
  </sheetViews>
  <sheetFormatPr defaultColWidth="10.7109375" defaultRowHeight="16.5" x14ac:dyDescent="0.3"/>
  <cols>
    <col min="1" max="1" width="5.7109375" style="5" customWidth="1"/>
    <col min="2" max="2" width="25.7109375" style="5" customWidth="1"/>
    <col min="3" max="16384" width="10.7109375" style="5"/>
  </cols>
  <sheetData>
    <row r="1" spans="1:6" s="1" customFormat="1" ht="15.75" x14ac:dyDescent="0.25">
      <c r="A1" s="44" t="s">
        <v>89</v>
      </c>
      <c r="B1" s="44"/>
      <c r="C1" s="44"/>
      <c r="D1" s="44"/>
      <c r="E1" s="44"/>
      <c r="F1" s="44"/>
    </row>
    <row r="2" spans="1:6" s="1" customFormat="1" ht="18" x14ac:dyDescent="0.25">
      <c r="A2" s="45" t="s">
        <v>64</v>
      </c>
      <c r="B2" s="46"/>
      <c r="C2" s="46"/>
      <c r="D2" s="46"/>
      <c r="E2" s="46"/>
      <c r="F2" s="46"/>
    </row>
    <row r="3" spans="1:6" s="1" customFormat="1" ht="15.75" x14ac:dyDescent="0.25">
      <c r="A3" s="47" t="s">
        <v>88</v>
      </c>
      <c r="B3" s="48"/>
      <c r="C3" s="48"/>
      <c r="D3" s="48"/>
      <c r="E3" s="48"/>
      <c r="F3" s="48"/>
    </row>
    <row r="5" spans="1:6" s="10" customFormat="1" ht="18" x14ac:dyDescent="0.25">
      <c r="B5" s="42" t="s">
        <v>64</v>
      </c>
      <c r="C5" s="42"/>
      <c r="D5" s="42"/>
      <c r="E5" s="42"/>
      <c r="F5" s="42"/>
    </row>
    <row r="6" spans="1:6" ht="5.25" customHeight="1" x14ac:dyDescent="0.3"/>
    <row r="7" spans="1:6" x14ac:dyDescent="0.3">
      <c r="B7" s="11" t="s">
        <v>65</v>
      </c>
      <c r="C7" s="11"/>
      <c r="D7" s="11"/>
      <c r="E7" s="11"/>
      <c r="F7" s="11"/>
    </row>
    <row r="8" spans="1:6" x14ac:dyDescent="0.3">
      <c r="B8" s="5" t="s">
        <v>66</v>
      </c>
      <c r="F8" s="13"/>
    </row>
    <row r="9" spans="1:6" x14ac:dyDescent="0.3">
      <c r="B9" s="5" t="s">
        <v>67</v>
      </c>
      <c r="F9" s="14">
        <v>365</v>
      </c>
    </row>
    <row r="11" spans="1:6" x14ac:dyDescent="0.3">
      <c r="B11" s="11" t="s">
        <v>70</v>
      </c>
      <c r="C11" s="11"/>
      <c r="D11" s="11"/>
      <c r="E11" s="11"/>
      <c r="F11" s="11"/>
    </row>
    <row r="12" spans="1:6" x14ac:dyDescent="0.3">
      <c r="B12" s="5" t="s">
        <v>68</v>
      </c>
      <c r="F12" s="15">
        <v>0.15</v>
      </c>
    </row>
    <row r="13" spans="1:6" x14ac:dyDescent="0.3">
      <c r="B13" s="5" t="s">
        <v>69</v>
      </c>
      <c r="F13" s="1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58B6-0AA1-451B-A067-6654589B93F6}">
  <dimension ref="A1:S95"/>
  <sheetViews>
    <sheetView showGridLines="0" tabSelected="1" workbookViewId="0">
      <pane xSplit="3" ySplit="5" topLeftCell="D6" activePane="bottomRight" state="frozen"/>
      <selection activeCell="C14" sqref="C14"/>
      <selection pane="topRight" activeCell="C14" sqref="C14"/>
      <selection pane="bottomLeft" activeCell="C14" sqref="C14"/>
      <selection pane="bottomRight" activeCell="O9" sqref="O9"/>
    </sheetView>
  </sheetViews>
  <sheetFormatPr defaultColWidth="10.7109375" defaultRowHeight="16.5" x14ac:dyDescent="0.3"/>
  <cols>
    <col min="1" max="1" width="5.7109375" style="5" customWidth="1"/>
    <col min="2" max="2" width="40.7109375" style="5" customWidth="1"/>
    <col min="3" max="18" width="10.7109375" style="5"/>
    <col min="19" max="19" width="7.85546875" style="5" customWidth="1"/>
    <col min="20" max="16384" width="10.7109375" style="5"/>
  </cols>
  <sheetData>
    <row r="1" spans="1:19" s="1" customFormat="1" ht="15.75" x14ac:dyDescent="0.25">
      <c r="A1" s="44" t="s">
        <v>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9" s="1" customFormat="1" ht="18" x14ac:dyDescent="0.25">
      <c r="A2" s="45" t="s">
        <v>85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9" s="1" customFormat="1" ht="15.75" x14ac:dyDescent="0.25">
      <c r="A3" s="47" t="s">
        <v>88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s="1" customFormat="1" ht="15.75" x14ac:dyDescent="0.25"/>
    <row r="5" spans="1:19" s="3" customFormat="1" ht="18" x14ac:dyDescent="0.25">
      <c r="D5" s="4">
        <v>44196</v>
      </c>
      <c r="E5" s="4">
        <f>+DATE(YEAR(D5)+1,12,31)</f>
        <v>44561</v>
      </c>
      <c r="F5" s="4">
        <f t="shared" ref="F5:H5" si="0">+DATE(YEAR(E5)+1,12,31)</f>
        <v>44926</v>
      </c>
      <c r="G5" s="4">
        <f t="shared" si="0"/>
        <v>45291</v>
      </c>
      <c r="H5" s="4">
        <f t="shared" si="0"/>
        <v>45657</v>
      </c>
      <c r="I5" s="7">
        <f t="shared" ref="I5:L5" si="1">+DATE(YEAR(H5)+1,12,31)</f>
        <v>46022</v>
      </c>
      <c r="J5" s="7">
        <f t="shared" si="1"/>
        <v>46387</v>
      </c>
      <c r="K5" s="7">
        <f t="shared" si="1"/>
        <v>46752</v>
      </c>
      <c r="L5" s="7">
        <f t="shared" si="1"/>
        <v>47118</v>
      </c>
      <c r="M5" s="7">
        <f t="shared" ref="M5" si="2">+DATE(YEAR(L5)+1,12,31)</f>
        <v>47483</v>
      </c>
    </row>
    <row r="6" spans="1:19" s="1" customFormat="1" ht="5.25" customHeight="1" x14ac:dyDescent="0.25"/>
    <row r="7" spans="1:19" s="1" customFormat="1" ht="18" x14ac:dyDescent="0.25">
      <c r="B7" s="42" t="s">
        <v>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9" ht="5.25" customHeight="1" x14ac:dyDescent="0.3"/>
    <row r="9" spans="1:19" ht="16.5" customHeight="1" x14ac:dyDescent="0.3">
      <c r="B9" s="5" t="s">
        <v>2</v>
      </c>
      <c r="D9" s="25">
        <v>102007</v>
      </c>
      <c r="E9" s="25">
        <v>110086</v>
      </c>
      <c r="F9" s="25">
        <v>131345</v>
      </c>
      <c r="G9" s="25">
        <v>142341</v>
      </c>
      <c r="H9" s="25">
        <v>150772</v>
      </c>
      <c r="I9" s="9">
        <f>H9*(1+Scenarios!D11)</f>
        <v>162230.67200000002</v>
      </c>
      <c r="J9" s="9">
        <f>I9*(1+Scenarios!E11)</f>
        <v>174560.20307200003</v>
      </c>
      <c r="K9" s="9">
        <f>J9*(1+Scenarios!F11)</f>
        <v>187826.77850547206</v>
      </c>
      <c r="L9" s="9">
        <f>K9*(1+Scenarios!G11)</f>
        <v>202101.61367188796</v>
      </c>
      <c r="M9" s="9">
        <f>L9*(1+Scenarios!H11)</f>
        <v>217461.33631095145</v>
      </c>
      <c r="O9" s="39"/>
      <c r="P9" s="5">
        <f>Q9*R9</f>
        <v>0.17769300482643802</v>
      </c>
      <c r="Q9" s="40">
        <f>H9/G9-1</f>
        <v>5.9231001608812672E-2</v>
      </c>
      <c r="R9" s="5">
        <v>3</v>
      </c>
      <c r="S9" s="40">
        <f>SUMPRODUCT(Q9:Q11,R9:R11)/SUM(R9:R11)</f>
        <v>8.9707094169433302E-2</v>
      </c>
    </row>
    <row r="10" spans="1:19" ht="16.5" customHeight="1" x14ac:dyDescent="0.3">
      <c r="B10" s="17" t="s">
        <v>1</v>
      </c>
      <c r="C10" s="17"/>
      <c r="D10" s="26">
        <v>-39023</v>
      </c>
      <c r="E10" s="26">
        <v>-48004</v>
      </c>
      <c r="F10" s="26">
        <v>-49123</v>
      </c>
      <c r="G10" s="26">
        <v>-53254</v>
      </c>
      <c r="H10" s="26">
        <v>-57310</v>
      </c>
      <c r="I10" s="33">
        <f>-Scenarios!D12*'Financial Model'!I9</f>
        <v>-61647.655360000012</v>
      </c>
      <c r="J10" s="33">
        <f>-Scenarios!E12*'Financial Model'!J9</f>
        <v>-66332.877167360013</v>
      </c>
      <c r="K10" s="33">
        <f>-Scenarios!F12*'Financial Model'!K9</f>
        <v>-71374.175832079389</v>
      </c>
      <c r="L10" s="33">
        <f>-Scenarios!G12*'Financial Model'!L9</f>
        <v>-76798.613195317419</v>
      </c>
      <c r="M10" s="33">
        <f>-Scenarios!H12*'Financial Model'!M9</f>
        <v>-82635.30779816155</v>
      </c>
      <c r="O10" s="39"/>
      <c r="P10" s="5">
        <f t="shared" ref="P10:P11" si="3">Q10*R10</f>
        <v>0.16743690281320189</v>
      </c>
      <c r="Q10" s="40">
        <f>G9/F9-1</f>
        <v>8.3718451406600947E-2</v>
      </c>
      <c r="R10" s="5">
        <v>2</v>
      </c>
    </row>
    <row r="11" spans="1:19" s="6" customFormat="1" ht="16.5" customHeight="1" x14ac:dyDescent="0.3">
      <c r="B11" s="6" t="s">
        <v>86</v>
      </c>
      <c r="D11" s="22">
        <f>SUM(D9:D10)</f>
        <v>62984</v>
      </c>
      <c r="E11" s="22">
        <f t="shared" ref="E11:M11" si="4">SUM(E9:E10)</f>
        <v>62082</v>
      </c>
      <c r="F11" s="22">
        <f t="shared" si="4"/>
        <v>82222</v>
      </c>
      <c r="G11" s="22">
        <f t="shared" si="4"/>
        <v>89087</v>
      </c>
      <c r="H11" s="22">
        <f t="shared" si="4"/>
        <v>93462</v>
      </c>
      <c r="I11" s="22">
        <f t="shared" si="4"/>
        <v>100583.01664000002</v>
      </c>
      <c r="J11" s="22">
        <f t="shared" si="4"/>
        <v>108227.32590464002</v>
      </c>
      <c r="K11" s="22">
        <f t="shared" si="4"/>
        <v>116452.60267339267</v>
      </c>
      <c r="L11" s="22">
        <f t="shared" si="4"/>
        <v>125303.00047657054</v>
      </c>
      <c r="M11" s="22">
        <f t="shared" si="4"/>
        <v>134826.0285127899</v>
      </c>
      <c r="O11" s="39"/>
      <c r="P11" s="5">
        <f t="shared" si="3"/>
        <v>0.19311265737695993</v>
      </c>
      <c r="Q11" s="40">
        <f>F9/E9-1</f>
        <v>0.19311265737695993</v>
      </c>
      <c r="R11" s="6">
        <v>1</v>
      </c>
    </row>
    <row r="12" spans="1:19" x14ac:dyDescent="0.3">
      <c r="I12" s="24"/>
      <c r="J12" s="24"/>
      <c r="K12" s="24"/>
      <c r="L12" s="24"/>
      <c r="M12" s="24"/>
      <c r="P12" s="5">
        <f>SUM(P9:P11)</f>
        <v>0.53824256501659984</v>
      </c>
    </row>
    <row r="13" spans="1:19" x14ac:dyDescent="0.3">
      <c r="B13" s="5" t="s">
        <v>4</v>
      </c>
      <c r="D13" s="25">
        <v>-37390</v>
      </c>
      <c r="E13" s="25">
        <v>-32783</v>
      </c>
      <c r="F13" s="25">
        <v>-33959</v>
      </c>
      <c r="G13" s="25">
        <v>-34022</v>
      </c>
      <c r="H13" s="25">
        <v>-36657</v>
      </c>
      <c r="I13" s="21">
        <f>-Scenarios!D38*'Financial Model'!I9</f>
        <v>-38935.361280000005</v>
      </c>
      <c r="J13" s="21">
        <f>-Scenarios!E38*'Financial Model'!J9</f>
        <v>-41894.448737280007</v>
      </c>
      <c r="K13" s="21">
        <f>-Scenarios!F38*'Financial Model'!K9</f>
        <v>-45078.426841313296</v>
      </c>
      <c r="L13" s="21">
        <f>-Scenarios!G38*'Financial Model'!L9</f>
        <v>-48504.387281253104</v>
      </c>
      <c r="M13" s="21">
        <f>-Scenarios!H38*'Financial Model'!M9</f>
        <v>-52190.720714628347</v>
      </c>
      <c r="P13" s="5">
        <f>P12/6</f>
        <v>8.9707094169433302E-2</v>
      </c>
    </row>
    <row r="14" spans="1:19" x14ac:dyDescent="0.3">
      <c r="B14" s="5" t="s">
        <v>3</v>
      </c>
      <c r="D14" s="25">
        <v>-19500</v>
      </c>
      <c r="E14" s="25">
        <v>-18150</v>
      </c>
      <c r="F14" s="25">
        <v>-17205</v>
      </c>
      <c r="G14" s="25">
        <v>-16543.5</v>
      </c>
      <c r="H14" s="25">
        <v>-16080.45</v>
      </c>
      <c r="I14" s="21">
        <f>-(Scenarios!D17)</f>
        <v>-10500</v>
      </c>
      <c r="J14" s="21">
        <f>-(Scenarios!E17)</f>
        <v>-10500</v>
      </c>
      <c r="K14" s="21">
        <f>-(Scenarios!F17)</f>
        <v>-10500</v>
      </c>
      <c r="L14" s="21">
        <f>-(Scenarios!G17)</f>
        <v>-10500</v>
      </c>
      <c r="M14" s="21">
        <f>-(Scenarios!H17)</f>
        <v>-10500</v>
      </c>
    </row>
    <row r="15" spans="1:19" x14ac:dyDescent="0.3">
      <c r="B15" s="17" t="s">
        <v>5</v>
      </c>
      <c r="C15" s="17"/>
      <c r="D15" s="26">
        <v>-2500</v>
      </c>
      <c r="E15" s="26">
        <v>-2500</v>
      </c>
      <c r="F15" s="26">
        <v>-1500</v>
      </c>
      <c r="G15" s="26">
        <v>-900</v>
      </c>
      <c r="H15" s="26">
        <v>-900</v>
      </c>
      <c r="I15" s="19">
        <f>-I90</f>
        <v>-1200</v>
      </c>
      <c r="J15" s="19">
        <f t="shared" ref="J15:M15" si="5">-J90</f>
        <v>-1200</v>
      </c>
      <c r="K15" s="19">
        <f t="shared" si="5"/>
        <v>-400</v>
      </c>
      <c r="L15" s="19">
        <f t="shared" si="5"/>
        <v>-400</v>
      </c>
      <c r="M15" s="19">
        <f t="shared" si="5"/>
        <v>0</v>
      </c>
    </row>
    <row r="16" spans="1:19" x14ac:dyDescent="0.3">
      <c r="B16" s="5" t="s">
        <v>6</v>
      </c>
      <c r="D16" s="9">
        <f t="shared" ref="D16" si="6">SUM(D11:D15)</f>
        <v>3594</v>
      </c>
      <c r="E16" s="9">
        <f t="shared" ref="E16" si="7">SUM(E11:E15)</f>
        <v>8649</v>
      </c>
      <c r="F16" s="9">
        <f t="shared" ref="F16" si="8">SUM(F11:F15)</f>
        <v>29558</v>
      </c>
      <c r="G16" s="9">
        <f t="shared" ref="G16" si="9">SUM(G11:G15)</f>
        <v>37621.5</v>
      </c>
      <c r="H16" s="9">
        <f t="shared" ref="H16:M16" si="10">SUM(H11:H15)</f>
        <v>39824.550000000003</v>
      </c>
      <c r="I16" s="9">
        <f t="shared" si="10"/>
        <v>49947.655360000012</v>
      </c>
      <c r="J16" s="9">
        <f t="shared" si="10"/>
        <v>54632.877167360013</v>
      </c>
      <c r="K16" s="9">
        <f t="shared" si="10"/>
        <v>60474.175832079374</v>
      </c>
      <c r="L16" s="9">
        <f t="shared" si="10"/>
        <v>65898.613195317434</v>
      </c>
      <c r="M16" s="9">
        <f t="shared" si="10"/>
        <v>72135.30779816155</v>
      </c>
    </row>
    <row r="17" spans="2:13" x14ac:dyDescent="0.3">
      <c r="B17" s="17" t="s">
        <v>7</v>
      </c>
      <c r="C17" s="17"/>
      <c r="D17" s="26">
        <v>-1120.1708000000001</v>
      </c>
      <c r="E17" s="26">
        <v>-4858.2165021220299</v>
      </c>
      <c r="F17" s="26">
        <v>-8482.8061148686793</v>
      </c>
      <c r="G17" s="26">
        <v>-10908.020976404699</v>
      </c>
      <c r="H17" s="26">
        <v>-11597.6652414197</v>
      </c>
      <c r="I17" s="19">
        <f>Scenarios!D20*'Financial Model'!I16</f>
        <v>14984.296608000002</v>
      </c>
      <c r="J17" s="19">
        <f>Scenarios!E20*'Financial Model'!J16</f>
        <v>16389.863150208002</v>
      </c>
      <c r="K17" s="19">
        <f>Scenarios!F20*'Financial Model'!K16</f>
        <v>18142.252749623811</v>
      </c>
      <c r="L17" s="19">
        <f>Scenarios!G20*'Financial Model'!L16</f>
        <v>19769.583958595231</v>
      </c>
      <c r="M17" s="19">
        <f>Scenarios!H20*'Financial Model'!M16</f>
        <v>21640.592339448463</v>
      </c>
    </row>
    <row r="18" spans="2:13" x14ac:dyDescent="0.3">
      <c r="B18" s="34" t="s">
        <v>8</v>
      </c>
      <c r="C18" s="17"/>
      <c r="D18" s="35">
        <f t="shared" ref="D18" si="11">SUM(D16:D17)</f>
        <v>2473.8292000000001</v>
      </c>
      <c r="E18" s="35">
        <f t="shared" ref="E18" si="12">SUM(E16:E17)</f>
        <v>3790.7834978779701</v>
      </c>
      <c r="F18" s="35">
        <f t="shared" ref="F18" si="13">SUM(F16:F17)</f>
        <v>21075.193885131321</v>
      </c>
      <c r="G18" s="35">
        <f t="shared" ref="G18" si="14">SUM(G16:G17)</f>
        <v>26713.479023595301</v>
      </c>
      <c r="H18" s="35">
        <f t="shared" ref="H18:M18" si="15">SUM(H16:H17)</f>
        <v>28226.884758580301</v>
      </c>
      <c r="I18" s="35">
        <f t="shared" si="15"/>
        <v>64931.951968000016</v>
      </c>
      <c r="J18" s="35">
        <f t="shared" si="15"/>
        <v>71022.740317568008</v>
      </c>
      <c r="K18" s="35">
        <f t="shared" si="15"/>
        <v>78616.428581703192</v>
      </c>
      <c r="L18" s="35">
        <f t="shared" si="15"/>
        <v>85668.197153912668</v>
      </c>
      <c r="M18" s="35">
        <f t="shared" si="15"/>
        <v>93775.900137610006</v>
      </c>
    </row>
    <row r="21" spans="2:13" s="1" customFormat="1" ht="18" x14ac:dyDescent="0.25">
      <c r="B21" s="42" t="s">
        <v>9</v>
      </c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</row>
    <row r="22" spans="2:13" ht="5.25" customHeight="1" x14ac:dyDescent="0.3">
      <c r="D22" s="9"/>
      <c r="E22" s="9"/>
      <c r="F22" s="9"/>
      <c r="G22" s="9"/>
      <c r="H22" s="9"/>
    </row>
    <row r="23" spans="2:13" x14ac:dyDescent="0.3">
      <c r="B23" s="6" t="s">
        <v>10</v>
      </c>
    </row>
    <row r="24" spans="2:13" x14ac:dyDescent="0.3">
      <c r="B24" s="5" t="s">
        <v>11</v>
      </c>
      <c r="D24" s="25">
        <v>167971.17920000001</v>
      </c>
      <c r="E24" s="25">
        <v>181209.91269787797</v>
      </c>
      <c r="F24" s="25">
        <v>183715.25658300929</v>
      </c>
      <c r="G24" s="25">
        <v>211069.33560660461</v>
      </c>
      <c r="H24" s="25">
        <v>239549.5203651849</v>
      </c>
      <c r="I24" s="21">
        <f>I68</f>
        <v>294279.23662469175</v>
      </c>
      <c r="J24" s="21">
        <f t="shared" ref="J24:M24" si="16">J68</f>
        <v>334744.67742841429</v>
      </c>
      <c r="K24" s="21">
        <f t="shared" si="16"/>
        <v>402723.45173321973</v>
      </c>
      <c r="L24" s="21">
        <f t="shared" si="16"/>
        <v>467667.53288519045</v>
      </c>
      <c r="M24" s="21">
        <f t="shared" si="16"/>
        <v>550626.28420471086</v>
      </c>
    </row>
    <row r="25" spans="2:13" x14ac:dyDescent="0.3">
      <c r="B25" s="5" t="s">
        <v>12</v>
      </c>
      <c r="D25" s="25">
        <v>5100.3500000000004</v>
      </c>
      <c r="E25" s="25">
        <v>5904.3</v>
      </c>
      <c r="F25" s="25">
        <v>6567.25</v>
      </c>
      <c r="G25" s="25">
        <v>7117.05</v>
      </c>
      <c r="H25" s="25">
        <v>7538.6</v>
      </c>
      <c r="I25" s="21">
        <f>I74</f>
        <v>8000.4167013698634</v>
      </c>
      <c r="J25" s="21">
        <f t="shared" ref="J25:M25" si="17">J74</f>
        <v>8608.4483706739738</v>
      </c>
      <c r="K25" s="21">
        <f t="shared" si="17"/>
        <v>9262.6904468451976</v>
      </c>
      <c r="L25" s="21">
        <f t="shared" si="17"/>
        <v>9966.654920805433</v>
      </c>
      <c r="M25" s="21">
        <f t="shared" si="17"/>
        <v>10724.120694786647</v>
      </c>
    </row>
    <row r="26" spans="2:13" x14ac:dyDescent="0.3">
      <c r="B26" s="17" t="s">
        <v>13</v>
      </c>
      <c r="C26" s="17"/>
      <c r="D26" s="26">
        <v>7804.6</v>
      </c>
      <c r="E26" s="26">
        <v>9600.8000000000011</v>
      </c>
      <c r="F26" s="26">
        <v>9824.6</v>
      </c>
      <c r="G26" s="26">
        <v>10530.800000000001</v>
      </c>
      <c r="H26" s="26">
        <v>11342</v>
      </c>
      <c r="I26" s="21">
        <f>I75</f>
        <v>11822.838014246578</v>
      </c>
      <c r="J26" s="21">
        <f t="shared" ref="J26:M26" si="18">J75</f>
        <v>12721.373703329316</v>
      </c>
      <c r="K26" s="21">
        <f t="shared" si="18"/>
        <v>13688.198104782348</v>
      </c>
      <c r="L26" s="21">
        <f t="shared" si="18"/>
        <v>14728.501160745805</v>
      </c>
      <c r="M26" s="21">
        <f t="shared" si="18"/>
        <v>15847.867248962488</v>
      </c>
    </row>
    <row r="27" spans="2:13" x14ac:dyDescent="0.3">
      <c r="B27" s="5" t="s">
        <v>14</v>
      </c>
      <c r="D27" s="9">
        <f>SUM(D24:D26)</f>
        <v>180876.12920000002</v>
      </c>
      <c r="E27" s="9">
        <f t="shared" ref="E27:M27" si="19">SUM(E24:E26)</f>
        <v>196715.01269787794</v>
      </c>
      <c r="F27" s="9">
        <f t="shared" si="19"/>
        <v>200107.1065830093</v>
      </c>
      <c r="G27" s="9">
        <f t="shared" si="19"/>
        <v>228717.18560660459</v>
      </c>
      <c r="H27" s="9">
        <f t="shared" si="19"/>
        <v>258430.12036518491</v>
      </c>
      <c r="I27" s="41">
        <f t="shared" si="19"/>
        <v>314102.49134030822</v>
      </c>
      <c r="J27" s="41">
        <f t="shared" si="19"/>
        <v>356074.49950241757</v>
      </c>
      <c r="K27" s="41">
        <f t="shared" si="19"/>
        <v>425674.34028484725</v>
      </c>
      <c r="L27" s="41">
        <f t="shared" si="19"/>
        <v>492362.68896674167</v>
      </c>
      <c r="M27" s="41">
        <f t="shared" si="19"/>
        <v>577198.27214846003</v>
      </c>
    </row>
    <row r="28" spans="2:13" x14ac:dyDescent="0.3">
      <c r="H28" s="23"/>
      <c r="I28" s="23"/>
    </row>
    <row r="29" spans="2:13" x14ac:dyDescent="0.3">
      <c r="B29" s="17" t="s">
        <v>15</v>
      </c>
      <c r="C29" s="17"/>
      <c r="D29" s="26">
        <v>45500</v>
      </c>
      <c r="E29" s="26">
        <v>42350</v>
      </c>
      <c r="F29" s="26">
        <v>40145</v>
      </c>
      <c r="G29" s="26">
        <v>38601.5</v>
      </c>
      <c r="H29" s="26">
        <v>37521.050000000003</v>
      </c>
      <c r="I29" s="19">
        <f>I84</f>
        <v>47021.05</v>
      </c>
      <c r="J29" s="19">
        <f t="shared" ref="J29:M29" si="20">J84</f>
        <v>56521.05</v>
      </c>
      <c r="K29" s="19">
        <f t="shared" si="20"/>
        <v>66021.05</v>
      </c>
      <c r="L29" s="19">
        <f t="shared" si="20"/>
        <v>75521.05</v>
      </c>
      <c r="M29" s="19">
        <f t="shared" si="20"/>
        <v>85021.05</v>
      </c>
    </row>
    <row r="30" spans="2:13" x14ac:dyDescent="0.3">
      <c r="B30" s="34" t="s">
        <v>16</v>
      </c>
      <c r="C30" s="17"/>
      <c r="D30" s="35">
        <f>+D27+D29</f>
        <v>226376.12920000002</v>
      </c>
      <c r="E30" s="35">
        <f t="shared" ref="E30:M30" si="21">+E27+E29</f>
        <v>239065.01269787794</v>
      </c>
      <c r="F30" s="35">
        <f t="shared" si="21"/>
        <v>240252.1065830093</v>
      </c>
      <c r="G30" s="35">
        <f t="shared" si="21"/>
        <v>267318.68560660456</v>
      </c>
      <c r="H30" s="35">
        <f t="shared" si="21"/>
        <v>295951.17036518489</v>
      </c>
      <c r="I30" s="35">
        <f t="shared" si="21"/>
        <v>361123.54134030821</v>
      </c>
      <c r="J30" s="35">
        <f t="shared" si="21"/>
        <v>412595.54950241756</v>
      </c>
      <c r="K30" s="35">
        <f t="shared" si="21"/>
        <v>491695.39028484724</v>
      </c>
      <c r="L30" s="35">
        <f t="shared" si="21"/>
        <v>567883.73896674172</v>
      </c>
      <c r="M30" s="35">
        <f t="shared" si="21"/>
        <v>662219.32214846008</v>
      </c>
    </row>
    <row r="31" spans="2:13" x14ac:dyDescent="0.3">
      <c r="D31" s="9"/>
      <c r="E31" s="9"/>
      <c r="F31" s="9"/>
      <c r="G31" s="9"/>
      <c r="H31" s="9"/>
    </row>
    <row r="32" spans="2:13" x14ac:dyDescent="0.3">
      <c r="B32" s="6" t="s">
        <v>17</v>
      </c>
      <c r="D32" s="9"/>
      <c r="E32" s="9"/>
      <c r="F32" s="9"/>
      <c r="G32" s="9"/>
      <c r="H32" s="9"/>
    </row>
    <row r="33" spans="2:13" x14ac:dyDescent="0.3">
      <c r="B33" s="17" t="s">
        <v>18</v>
      </c>
      <c r="C33" s="17"/>
      <c r="D33" s="26">
        <v>3902.3</v>
      </c>
      <c r="E33" s="26">
        <v>4800.4000000000005</v>
      </c>
      <c r="F33" s="26">
        <v>4912.3</v>
      </c>
      <c r="G33" s="26">
        <v>5265.4000000000005</v>
      </c>
      <c r="H33" s="26">
        <v>5671</v>
      </c>
      <c r="I33" s="19">
        <f>I76</f>
        <v>5911.4190071232888</v>
      </c>
      <c r="J33" s="19">
        <f t="shared" ref="J33:M33" si="22">J76</f>
        <v>6360.6868516646582</v>
      </c>
      <c r="K33" s="19">
        <f t="shared" si="22"/>
        <v>6844.0990523911742</v>
      </c>
      <c r="L33" s="19">
        <f t="shared" si="22"/>
        <v>7364.2505803729027</v>
      </c>
      <c r="M33" s="19">
        <f t="shared" si="22"/>
        <v>7923.9336244812439</v>
      </c>
    </row>
    <row r="34" spans="2:13" x14ac:dyDescent="0.3">
      <c r="B34" s="5" t="s">
        <v>20</v>
      </c>
      <c r="D34" s="9">
        <f>+D33</f>
        <v>3902.3</v>
      </c>
      <c r="E34" s="9">
        <f t="shared" ref="E34:M34" si="23">+E33</f>
        <v>4800.4000000000005</v>
      </c>
      <c r="F34" s="9">
        <f t="shared" si="23"/>
        <v>4912.3</v>
      </c>
      <c r="G34" s="9">
        <f t="shared" si="23"/>
        <v>5265.4000000000005</v>
      </c>
      <c r="H34" s="9">
        <f t="shared" si="23"/>
        <v>5671</v>
      </c>
      <c r="I34" s="9">
        <f t="shared" si="23"/>
        <v>5911.4190071232888</v>
      </c>
      <c r="J34" s="9">
        <f t="shared" si="23"/>
        <v>6360.6868516646582</v>
      </c>
      <c r="K34" s="9">
        <f t="shared" si="23"/>
        <v>6844.0990523911742</v>
      </c>
      <c r="L34" s="9">
        <f t="shared" si="23"/>
        <v>7364.2505803729027</v>
      </c>
      <c r="M34" s="9">
        <f t="shared" si="23"/>
        <v>7923.9336244812439</v>
      </c>
    </row>
    <row r="35" spans="2:13" x14ac:dyDescent="0.3">
      <c r="D35" s="9"/>
      <c r="E35" s="9"/>
      <c r="F35" s="9"/>
      <c r="G35" s="9"/>
      <c r="H35" s="9"/>
      <c r="I35" s="9"/>
    </row>
    <row r="36" spans="2:13" x14ac:dyDescent="0.3">
      <c r="B36" s="17" t="s">
        <v>21</v>
      </c>
      <c r="C36" s="17"/>
      <c r="D36" s="26">
        <v>50000</v>
      </c>
      <c r="E36" s="26">
        <v>50000</v>
      </c>
      <c r="F36" s="26">
        <v>30000</v>
      </c>
      <c r="G36" s="26">
        <v>30000</v>
      </c>
      <c r="H36" s="26">
        <v>30000</v>
      </c>
      <c r="I36" s="19">
        <f>I89</f>
        <v>30000</v>
      </c>
      <c r="J36" s="19">
        <f t="shared" ref="J36:M36" si="24">J89</f>
        <v>10000</v>
      </c>
      <c r="K36" s="19">
        <f t="shared" si="24"/>
        <v>10000</v>
      </c>
      <c r="L36" s="19">
        <f t="shared" si="24"/>
        <v>0</v>
      </c>
      <c r="M36" s="19">
        <f t="shared" si="24"/>
        <v>0</v>
      </c>
    </row>
    <row r="37" spans="2:13" x14ac:dyDescent="0.3">
      <c r="B37" s="6" t="s">
        <v>19</v>
      </c>
      <c r="D37" s="22">
        <f>+D36+D34</f>
        <v>53902.3</v>
      </c>
      <c r="E37" s="22">
        <f t="shared" ref="E37:M37" si="25">+E36+E34</f>
        <v>54800.4</v>
      </c>
      <c r="F37" s="22">
        <f t="shared" si="25"/>
        <v>34912.300000000003</v>
      </c>
      <c r="G37" s="22">
        <f t="shared" si="25"/>
        <v>35265.4</v>
      </c>
      <c r="H37" s="22">
        <f t="shared" si="25"/>
        <v>35671</v>
      </c>
      <c r="I37" s="22">
        <f t="shared" si="25"/>
        <v>35911.419007123288</v>
      </c>
      <c r="J37" s="22">
        <f t="shared" si="25"/>
        <v>16360.686851664657</v>
      </c>
      <c r="K37" s="22">
        <f t="shared" si="25"/>
        <v>16844.099052391175</v>
      </c>
      <c r="L37" s="22">
        <f t="shared" si="25"/>
        <v>7364.2505803729027</v>
      </c>
      <c r="M37" s="22">
        <f t="shared" si="25"/>
        <v>7923.9336244812439</v>
      </c>
    </row>
    <row r="38" spans="2:13" x14ac:dyDescent="0.3">
      <c r="D38" s="9"/>
      <c r="E38" s="9"/>
      <c r="F38" s="9"/>
      <c r="G38" s="9"/>
      <c r="H38" s="9"/>
    </row>
    <row r="39" spans="2:13" x14ac:dyDescent="0.3">
      <c r="B39" s="6" t="s">
        <v>22</v>
      </c>
      <c r="D39" s="9"/>
      <c r="E39" s="9"/>
      <c r="F39" s="9"/>
      <c r="G39" s="9"/>
      <c r="H39" s="9"/>
    </row>
    <row r="40" spans="2:13" x14ac:dyDescent="0.3">
      <c r="B40" s="5" t="s">
        <v>23</v>
      </c>
      <c r="D40" s="25">
        <v>170000</v>
      </c>
      <c r="E40" s="25">
        <v>170000</v>
      </c>
      <c r="F40" s="25">
        <v>170000</v>
      </c>
      <c r="G40" s="25">
        <v>170000</v>
      </c>
      <c r="H40" s="25">
        <v>170000</v>
      </c>
      <c r="I40" s="21">
        <f>I95</f>
        <v>170000</v>
      </c>
      <c r="J40" s="21">
        <f t="shared" ref="J40:M40" si="26">J95</f>
        <v>170000</v>
      </c>
      <c r="K40" s="21">
        <f t="shared" si="26"/>
        <v>170000</v>
      </c>
      <c r="L40" s="21">
        <f t="shared" si="26"/>
        <v>170000</v>
      </c>
      <c r="M40" s="21">
        <f t="shared" si="26"/>
        <v>170000</v>
      </c>
    </row>
    <row r="41" spans="2:13" x14ac:dyDescent="0.3">
      <c r="B41" s="17" t="s">
        <v>24</v>
      </c>
      <c r="D41" s="26">
        <v>2473.8292000000001</v>
      </c>
      <c r="E41" s="26">
        <v>14264.612697877968</v>
      </c>
      <c r="F41" s="26">
        <v>35339.806583009296</v>
      </c>
      <c r="G41" s="26">
        <v>62053.285606604608</v>
      </c>
      <c r="H41" s="26">
        <v>90280.170365184895</v>
      </c>
      <c r="I41" s="9">
        <f>H41+I18</f>
        <v>155212.1223331849</v>
      </c>
      <c r="J41" s="9">
        <f t="shared" ref="J41:M41" si="27">I41+J18</f>
        <v>226234.86265075291</v>
      </c>
      <c r="K41" s="9">
        <f t="shared" si="27"/>
        <v>304851.2912324561</v>
      </c>
      <c r="L41" s="9">
        <f t="shared" si="27"/>
        <v>390519.48838636879</v>
      </c>
      <c r="M41" s="9">
        <f t="shared" si="27"/>
        <v>484295.38852397876</v>
      </c>
    </row>
    <row r="42" spans="2:13" x14ac:dyDescent="0.3">
      <c r="B42" s="34" t="s">
        <v>25</v>
      </c>
      <c r="C42" s="18"/>
      <c r="D42" s="35">
        <f>SUM(D40:D41)</f>
        <v>172473.82920000001</v>
      </c>
      <c r="E42" s="35">
        <f t="shared" ref="E42:M42" si="28">SUM(E40:E41)</f>
        <v>184264.61269787798</v>
      </c>
      <c r="F42" s="35">
        <f t="shared" si="28"/>
        <v>205339.80658300931</v>
      </c>
      <c r="G42" s="35">
        <f t="shared" si="28"/>
        <v>232053.28560660459</v>
      </c>
      <c r="H42" s="35">
        <f t="shared" si="28"/>
        <v>260280.17036518489</v>
      </c>
      <c r="I42" s="35">
        <f t="shared" si="28"/>
        <v>325212.12233318493</v>
      </c>
      <c r="J42" s="35">
        <f t="shared" si="28"/>
        <v>396234.86265075288</v>
      </c>
      <c r="K42" s="35">
        <f t="shared" si="28"/>
        <v>474851.2912324561</v>
      </c>
      <c r="L42" s="35">
        <f t="shared" si="28"/>
        <v>560519.48838636884</v>
      </c>
      <c r="M42" s="35">
        <f t="shared" si="28"/>
        <v>654295.38852397876</v>
      </c>
    </row>
    <row r="43" spans="2:13" x14ac:dyDescent="0.3">
      <c r="B43" s="34" t="s">
        <v>26</v>
      </c>
      <c r="C43" s="18"/>
      <c r="D43" s="35">
        <f>+D42+D37</f>
        <v>226376.12920000002</v>
      </c>
      <c r="E43" s="35">
        <f t="shared" ref="E43:M43" si="29">+E42+E37</f>
        <v>239065.01269787797</v>
      </c>
      <c r="F43" s="35">
        <f t="shared" si="29"/>
        <v>240252.1065830093</v>
      </c>
      <c r="G43" s="35">
        <f t="shared" si="29"/>
        <v>267318.68560660462</v>
      </c>
      <c r="H43" s="35">
        <f t="shared" si="29"/>
        <v>295951.17036518489</v>
      </c>
      <c r="I43" s="35">
        <f t="shared" si="29"/>
        <v>361123.54134030821</v>
      </c>
      <c r="J43" s="35">
        <f t="shared" si="29"/>
        <v>412595.54950241756</v>
      </c>
      <c r="K43" s="35">
        <f t="shared" si="29"/>
        <v>491695.39028484729</v>
      </c>
      <c r="L43" s="35">
        <f t="shared" si="29"/>
        <v>567883.73896674172</v>
      </c>
      <c r="M43" s="35">
        <f t="shared" si="29"/>
        <v>662219.32214845996</v>
      </c>
    </row>
    <row r="45" spans="2:13" x14ac:dyDescent="0.3"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2:13" x14ac:dyDescent="0.3"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8" spans="2:13" s="1" customFormat="1" ht="18" x14ac:dyDescent="0.25">
      <c r="B48" s="42" t="s">
        <v>27</v>
      </c>
      <c r="C48" s="42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2:13" ht="5.25" customHeight="1" x14ac:dyDescent="0.3">
      <c r="D49" s="9"/>
      <c r="E49" s="9"/>
      <c r="F49" s="9"/>
      <c r="G49" s="9"/>
      <c r="H49" s="9"/>
    </row>
    <row r="50" spans="2:13" x14ac:dyDescent="0.3">
      <c r="B50" s="6" t="s">
        <v>28</v>
      </c>
    </row>
    <row r="51" spans="2:13" x14ac:dyDescent="0.3">
      <c r="B51" s="5" t="s">
        <v>8</v>
      </c>
      <c r="D51" s="25">
        <v>2473.8292000000001</v>
      </c>
      <c r="E51" s="25">
        <v>11790.78349787797</v>
      </c>
      <c r="F51" s="25">
        <v>21075.193885131321</v>
      </c>
      <c r="G51" s="25">
        <v>26713.479023595301</v>
      </c>
      <c r="H51" s="25">
        <v>28226.884758580301</v>
      </c>
      <c r="I51" s="9">
        <f>I18</f>
        <v>64931.951968000016</v>
      </c>
      <c r="J51" s="9">
        <f t="shared" ref="J51:M51" si="30">J18</f>
        <v>71022.740317568008</v>
      </c>
      <c r="K51" s="9">
        <f t="shared" si="30"/>
        <v>78616.428581703192</v>
      </c>
      <c r="L51" s="9">
        <f t="shared" si="30"/>
        <v>85668.197153912668</v>
      </c>
      <c r="M51" s="9">
        <f t="shared" si="30"/>
        <v>93775.900137610006</v>
      </c>
    </row>
    <row r="52" spans="2:13" x14ac:dyDescent="0.3">
      <c r="B52" s="5" t="s">
        <v>29</v>
      </c>
      <c r="D52" s="9"/>
      <c r="E52" s="9"/>
      <c r="F52" s="9"/>
      <c r="G52" s="9"/>
      <c r="H52" s="9"/>
    </row>
    <row r="53" spans="2:13" x14ac:dyDescent="0.3">
      <c r="B53" s="36" t="s">
        <v>3</v>
      </c>
      <c r="D53" s="25">
        <v>19500</v>
      </c>
      <c r="E53" s="25">
        <v>18150</v>
      </c>
      <c r="F53" s="25">
        <v>17205</v>
      </c>
      <c r="G53" s="25">
        <v>16543.5</v>
      </c>
      <c r="H53" s="25">
        <v>16080.45</v>
      </c>
      <c r="I53" s="9">
        <f>-I83</f>
        <v>10500</v>
      </c>
      <c r="J53" s="9">
        <f t="shared" ref="J53:M53" si="31">-J83</f>
        <v>10500</v>
      </c>
      <c r="K53" s="9">
        <f t="shared" si="31"/>
        <v>10500</v>
      </c>
      <c r="L53" s="9">
        <f t="shared" si="31"/>
        <v>10500</v>
      </c>
      <c r="M53" s="9">
        <f t="shared" si="31"/>
        <v>10500</v>
      </c>
    </row>
    <row r="54" spans="2:13" x14ac:dyDescent="0.3">
      <c r="B54" s="37" t="s">
        <v>30</v>
      </c>
      <c r="C54" s="17"/>
      <c r="D54" s="26">
        <v>-9002.65</v>
      </c>
      <c r="E54" s="26">
        <v>-1702.05</v>
      </c>
      <c r="F54" s="26">
        <v>-774.849999999999</v>
      </c>
      <c r="G54" s="26">
        <v>-902.900000000001</v>
      </c>
      <c r="H54" s="26">
        <v>-827.14999999999804</v>
      </c>
      <c r="I54" s="19">
        <f>I78</f>
        <v>-702.23570849315365</v>
      </c>
      <c r="J54" s="19">
        <f t="shared" ref="J54:M54" si="32">J78</f>
        <v>-1057.2995138454826</v>
      </c>
      <c r="K54" s="19">
        <f t="shared" si="32"/>
        <v>-1137.6542768977379</v>
      </c>
      <c r="L54" s="19">
        <f t="shared" si="32"/>
        <v>-1224.1160019419622</v>
      </c>
      <c r="M54" s="19">
        <f t="shared" si="32"/>
        <v>-1317.148818089554</v>
      </c>
    </row>
    <row r="55" spans="2:13" x14ac:dyDescent="0.3">
      <c r="B55" s="6" t="s">
        <v>31</v>
      </c>
      <c r="D55" s="22">
        <f>SUM(D51:D54)</f>
        <v>12971.1792</v>
      </c>
      <c r="E55" s="22">
        <f t="shared" ref="E55:M55" si="33">SUM(E51:E54)</f>
        <v>28238.733497877973</v>
      </c>
      <c r="F55" s="22">
        <f t="shared" si="33"/>
        <v>37505.343885131319</v>
      </c>
      <c r="G55" s="22">
        <f t="shared" si="33"/>
        <v>42354.079023595295</v>
      </c>
      <c r="H55" s="22">
        <f t="shared" si="33"/>
        <v>43480.184758580297</v>
      </c>
      <c r="I55" s="22">
        <f t="shared" si="33"/>
        <v>74729.716259506851</v>
      </c>
      <c r="J55" s="22">
        <f t="shared" si="33"/>
        <v>80465.440803722522</v>
      </c>
      <c r="K55" s="22">
        <f t="shared" si="33"/>
        <v>87978.774304805454</v>
      </c>
      <c r="L55" s="22">
        <f t="shared" si="33"/>
        <v>94944.081151970706</v>
      </c>
      <c r="M55" s="22">
        <f t="shared" si="33"/>
        <v>102958.75131952045</v>
      </c>
    </row>
    <row r="56" spans="2:13" x14ac:dyDescent="0.3">
      <c r="D56" s="9"/>
      <c r="E56" s="9"/>
      <c r="F56" s="9"/>
      <c r="G56" s="9"/>
      <c r="H56" s="9"/>
    </row>
    <row r="57" spans="2:13" x14ac:dyDescent="0.3">
      <c r="B57" s="6" t="s">
        <v>32</v>
      </c>
      <c r="D57" s="9"/>
      <c r="E57" s="9"/>
      <c r="F57" s="9"/>
      <c r="G57" s="9"/>
      <c r="H57" s="9"/>
    </row>
    <row r="58" spans="2:13" x14ac:dyDescent="0.3">
      <c r="B58" s="17" t="s">
        <v>33</v>
      </c>
      <c r="C58" s="17"/>
      <c r="D58" s="26">
        <v>-15000</v>
      </c>
      <c r="E58" s="26">
        <v>-15000</v>
      </c>
      <c r="F58" s="26">
        <v>-15000</v>
      </c>
      <c r="G58" s="26">
        <v>-15000</v>
      </c>
      <c r="H58" s="26">
        <v>-15000</v>
      </c>
      <c r="I58" s="19">
        <f>-I82</f>
        <v>-20000</v>
      </c>
      <c r="J58" s="19">
        <f t="shared" ref="J58:M58" si="34">-J82</f>
        <v>-20000</v>
      </c>
      <c r="K58" s="19">
        <f t="shared" si="34"/>
        <v>-20000</v>
      </c>
      <c r="L58" s="19">
        <f t="shared" si="34"/>
        <v>-20000</v>
      </c>
      <c r="M58" s="19">
        <f t="shared" si="34"/>
        <v>-20000</v>
      </c>
    </row>
    <row r="59" spans="2:13" x14ac:dyDescent="0.3">
      <c r="B59" s="6" t="s">
        <v>34</v>
      </c>
      <c r="D59" s="22">
        <f>+D58</f>
        <v>-15000</v>
      </c>
      <c r="E59" s="22">
        <f t="shared" ref="E59:M59" si="35">+E58</f>
        <v>-15000</v>
      </c>
      <c r="F59" s="22">
        <f t="shared" si="35"/>
        <v>-15000</v>
      </c>
      <c r="G59" s="22">
        <f t="shared" si="35"/>
        <v>-15000</v>
      </c>
      <c r="H59" s="22">
        <f t="shared" si="35"/>
        <v>-15000</v>
      </c>
      <c r="I59" s="22">
        <f t="shared" si="35"/>
        <v>-20000</v>
      </c>
      <c r="J59" s="22">
        <f t="shared" si="35"/>
        <v>-20000</v>
      </c>
      <c r="K59" s="22">
        <f t="shared" si="35"/>
        <v>-20000</v>
      </c>
      <c r="L59" s="22">
        <f t="shared" si="35"/>
        <v>-20000</v>
      </c>
      <c r="M59" s="22">
        <f t="shared" si="35"/>
        <v>-20000</v>
      </c>
    </row>
    <row r="60" spans="2:13" x14ac:dyDescent="0.3">
      <c r="D60" s="9"/>
      <c r="E60" s="9"/>
      <c r="F60" s="9"/>
      <c r="G60" s="9"/>
      <c r="H60" s="9"/>
    </row>
    <row r="61" spans="2:13" x14ac:dyDescent="0.3">
      <c r="B61" s="6" t="s">
        <v>35</v>
      </c>
      <c r="D61" s="9"/>
      <c r="E61" s="9"/>
      <c r="F61" s="9"/>
      <c r="G61" s="9"/>
      <c r="H61" s="9"/>
    </row>
    <row r="62" spans="2:13" x14ac:dyDescent="0.3">
      <c r="B62" s="5" t="s">
        <v>36</v>
      </c>
      <c r="D62" s="25">
        <v>0</v>
      </c>
      <c r="E62" s="25">
        <v>0</v>
      </c>
      <c r="F62" s="25">
        <v>-20000</v>
      </c>
      <c r="G62" s="25">
        <v>0</v>
      </c>
      <c r="H62" s="25">
        <v>0</v>
      </c>
      <c r="I62" s="9">
        <f>I88</f>
        <v>0</v>
      </c>
      <c r="J62" s="9">
        <f t="shared" ref="J62:M62" si="36">J88</f>
        <v>-20000</v>
      </c>
      <c r="K62" s="9">
        <f t="shared" si="36"/>
        <v>0</v>
      </c>
      <c r="L62" s="9">
        <f t="shared" si="36"/>
        <v>-10000</v>
      </c>
      <c r="M62" s="9">
        <f t="shared" si="36"/>
        <v>0</v>
      </c>
    </row>
    <row r="63" spans="2:13" x14ac:dyDescent="0.3">
      <c r="B63" s="17" t="s">
        <v>37</v>
      </c>
      <c r="C63" s="17"/>
      <c r="D63" s="26">
        <v>170000</v>
      </c>
      <c r="E63" s="26">
        <v>0</v>
      </c>
      <c r="F63" s="26">
        <v>0</v>
      </c>
      <c r="G63" s="26">
        <v>0</v>
      </c>
      <c r="H63" s="26">
        <v>0</v>
      </c>
      <c r="I63" s="19">
        <f>I94</f>
        <v>0</v>
      </c>
      <c r="J63" s="19">
        <f t="shared" ref="J63:M63" si="37">J94</f>
        <v>0</v>
      </c>
      <c r="K63" s="19">
        <f t="shared" si="37"/>
        <v>0</v>
      </c>
      <c r="L63" s="19">
        <f t="shared" si="37"/>
        <v>0</v>
      </c>
      <c r="M63" s="19">
        <f t="shared" si="37"/>
        <v>0</v>
      </c>
    </row>
    <row r="64" spans="2:13" x14ac:dyDescent="0.3">
      <c r="B64" s="6" t="s">
        <v>38</v>
      </c>
      <c r="D64" s="22">
        <f>SUM(D62:D63)</f>
        <v>170000</v>
      </c>
      <c r="E64" s="22">
        <f t="shared" ref="E64:M64" si="38">SUM(E62:E63)</f>
        <v>0</v>
      </c>
      <c r="F64" s="22">
        <f t="shared" si="38"/>
        <v>-20000</v>
      </c>
      <c r="G64" s="22">
        <f t="shared" si="38"/>
        <v>0</v>
      </c>
      <c r="H64" s="22">
        <f t="shared" si="38"/>
        <v>0</v>
      </c>
      <c r="I64" s="22">
        <f t="shared" si="38"/>
        <v>0</v>
      </c>
      <c r="J64" s="22">
        <f t="shared" si="38"/>
        <v>-20000</v>
      </c>
      <c r="K64" s="22">
        <f t="shared" si="38"/>
        <v>0</v>
      </c>
      <c r="L64" s="22">
        <f t="shared" si="38"/>
        <v>-10000</v>
      </c>
      <c r="M64" s="22">
        <f t="shared" si="38"/>
        <v>0</v>
      </c>
    </row>
    <row r="65" spans="2:13" x14ac:dyDescent="0.3">
      <c r="D65" s="9"/>
      <c r="E65" s="9"/>
      <c r="F65" s="9"/>
      <c r="G65" s="9"/>
      <c r="H65" s="9"/>
    </row>
    <row r="66" spans="2:13" x14ac:dyDescent="0.3">
      <c r="B66" s="6" t="s">
        <v>39</v>
      </c>
      <c r="D66" s="22">
        <f>+D55+D59+D64</f>
        <v>167971.17920000001</v>
      </c>
      <c r="E66" s="22">
        <f t="shared" ref="E66:M66" si="39">+E55+E59+E64</f>
        <v>13238.733497877973</v>
      </c>
      <c r="F66" s="22">
        <f t="shared" si="39"/>
        <v>2505.3438851313185</v>
      </c>
      <c r="G66" s="22">
        <f t="shared" si="39"/>
        <v>27354.079023595295</v>
      </c>
      <c r="H66" s="22">
        <f t="shared" si="39"/>
        <v>28480.184758580297</v>
      </c>
      <c r="I66" s="22">
        <f t="shared" si="39"/>
        <v>54729.716259506851</v>
      </c>
      <c r="J66" s="22">
        <f t="shared" si="39"/>
        <v>40465.440803722522</v>
      </c>
      <c r="K66" s="22">
        <f t="shared" si="39"/>
        <v>67978.774304805454</v>
      </c>
      <c r="L66" s="22">
        <f t="shared" si="39"/>
        <v>64944.081151970706</v>
      </c>
      <c r="M66" s="22">
        <f t="shared" si="39"/>
        <v>82958.751319520452</v>
      </c>
    </row>
    <row r="67" spans="2:13" x14ac:dyDescent="0.3">
      <c r="B67" s="17" t="s">
        <v>40</v>
      </c>
      <c r="D67" s="26">
        <v>0</v>
      </c>
      <c r="E67" s="26">
        <v>167971.17920000001</v>
      </c>
      <c r="F67" s="26">
        <v>181209.91269787797</v>
      </c>
      <c r="G67" s="26">
        <v>183715.25658300929</v>
      </c>
      <c r="H67" s="26">
        <v>211069.33560660461</v>
      </c>
      <c r="I67" s="19">
        <f>H68</f>
        <v>239549.5203651849</v>
      </c>
      <c r="J67" s="19">
        <f t="shared" ref="J67:M67" si="40">I68</f>
        <v>294279.23662469175</v>
      </c>
      <c r="K67" s="19">
        <f t="shared" si="40"/>
        <v>334744.67742841429</v>
      </c>
      <c r="L67" s="19">
        <f t="shared" si="40"/>
        <v>402723.45173321973</v>
      </c>
      <c r="M67" s="19">
        <f t="shared" si="40"/>
        <v>467667.53288519045</v>
      </c>
    </row>
    <row r="68" spans="2:13" x14ac:dyDescent="0.3">
      <c r="B68" s="34" t="s">
        <v>41</v>
      </c>
      <c r="C68" s="18"/>
      <c r="D68" s="35">
        <f>+D66+D67</f>
        <v>167971.17920000001</v>
      </c>
      <c r="E68" s="35">
        <f t="shared" ref="E68:I68" si="41">+E66+E67</f>
        <v>181209.912697878</v>
      </c>
      <c r="F68" s="35">
        <f t="shared" si="41"/>
        <v>183715.25658300929</v>
      </c>
      <c r="G68" s="35">
        <f t="shared" si="41"/>
        <v>211069.33560660458</v>
      </c>
      <c r="H68" s="35">
        <f t="shared" si="41"/>
        <v>239549.5203651849</v>
      </c>
      <c r="I68" s="35">
        <f t="shared" si="41"/>
        <v>294279.23662469175</v>
      </c>
      <c r="J68" s="35">
        <f t="shared" ref="J68:M68" si="42">+J66+J67</f>
        <v>334744.67742841429</v>
      </c>
      <c r="K68" s="35">
        <f t="shared" si="42"/>
        <v>402723.45173321973</v>
      </c>
      <c r="L68" s="35">
        <f t="shared" si="42"/>
        <v>467667.53288519045</v>
      </c>
      <c r="M68" s="35">
        <f t="shared" si="42"/>
        <v>550626.28420471086</v>
      </c>
    </row>
    <row r="71" spans="2:13" s="1" customFormat="1" ht="18" x14ac:dyDescent="0.25">
      <c r="B71" s="42" t="s">
        <v>72</v>
      </c>
      <c r="C71" s="42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spans="2:13" ht="5.25" customHeight="1" x14ac:dyDescent="0.3">
      <c r="D72" s="9"/>
      <c r="E72" s="9"/>
      <c r="F72" s="9"/>
      <c r="G72" s="9"/>
      <c r="H72" s="9"/>
    </row>
    <row r="73" spans="2:13" x14ac:dyDescent="0.3">
      <c r="B73" s="6" t="s">
        <v>73</v>
      </c>
    </row>
    <row r="74" spans="2:13" x14ac:dyDescent="0.3">
      <c r="B74" s="5" t="s">
        <v>12</v>
      </c>
      <c r="D74" s="25">
        <v>5100.3500000000004</v>
      </c>
      <c r="E74" s="25">
        <v>5904.3</v>
      </c>
      <c r="F74" s="25">
        <v>6567.25</v>
      </c>
      <c r="G74" s="25">
        <v>7117.05</v>
      </c>
      <c r="H74" s="25">
        <v>7538.6</v>
      </c>
      <c r="I74" s="9">
        <f>Scenarios!D23/'Control Panel'!$F$9*'Financial Model'!I9</f>
        <v>8000.4167013698634</v>
      </c>
      <c r="J74" s="9">
        <f>Scenarios!E23/'Control Panel'!$F$9*'Financial Model'!J9</f>
        <v>8608.4483706739738</v>
      </c>
      <c r="K74" s="9">
        <f>Scenarios!F23/'Control Panel'!$F$9*'Financial Model'!K9</f>
        <v>9262.6904468451976</v>
      </c>
      <c r="L74" s="9">
        <f>Scenarios!G23/'Control Panel'!$F$9*'Financial Model'!L9</f>
        <v>9966.654920805433</v>
      </c>
      <c r="M74" s="9">
        <f>Scenarios!H23/'Control Panel'!$F$9*'Financial Model'!M9</f>
        <v>10724.120694786647</v>
      </c>
    </row>
    <row r="75" spans="2:13" x14ac:dyDescent="0.3">
      <c r="B75" s="5" t="s">
        <v>13</v>
      </c>
      <c r="D75" s="25">
        <v>7804.6</v>
      </c>
      <c r="E75" s="25">
        <v>9600.8000000000011</v>
      </c>
      <c r="F75" s="25">
        <v>9824.6</v>
      </c>
      <c r="G75" s="25">
        <v>10530.800000000001</v>
      </c>
      <c r="H75" s="25">
        <v>11342</v>
      </c>
      <c r="I75" s="9">
        <f>Scenarios!D24/'Control Panel'!$F$9*-'Financial Model'!I10</f>
        <v>11822.838014246578</v>
      </c>
      <c r="J75" s="9">
        <f>Scenarios!E24/'Control Panel'!$F$9*-'Financial Model'!J10</f>
        <v>12721.373703329316</v>
      </c>
      <c r="K75" s="9">
        <f>Scenarios!F24/'Control Panel'!$F$9*-'Financial Model'!K10</f>
        <v>13688.198104782348</v>
      </c>
      <c r="L75" s="9">
        <f>Scenarios!G24/'Control Panel'!$F$9*-'Financial Model'!L10</f>
        <v>14728.501160745805</v>
      </c>
      <c r="M75" s="9">
        <f>Scenarios!H24/'Control Panel'!$F$9*-'Financial Model'!M10</f>
        <v>15847.867248962488</v>
      </c>
    </row>
    <row r="76" spans="2:13" x14ac:dyDescent="0.3">
      <c r="B76" s="17" t="s">
        <v>18</v>
      </c>
      <c r="C76" s="17"/>
      <c r="D76" s="26">
        <v>3902.3</v>
      </c>
      <c r="E76" s="26">
        <v>4800.4000000000005</v>
      </c>
      <c r="F76" s="26">
        <v>4912.3</v>
      </c>
      <c r="G76" s="26">
        <v>5265.4000000000005</v>
      </c>
      <c r="H76" s="26">
        <v>5671</v>
      </c>
      <c r="I76" s="19">
        <f>Scenarios!D25/'Control Panel'!$F$9*-'Financial Model'!I10</f>
        <v>5911.4190071232888</v>
      </c>
      <c r="J76" s="19">
        <f>Scenarios!E25/'Control Panel'!$F$9*-'Financial Model'!J10</f>
        <v>6360.6868516646582</v>
      </c>
      <c r="K76" s="19">
        <f>Scenarios!F25/'Control Panel'!$F$9*-'Financial Model'!K10</f>
        <v>6844.0990523911742</v>
      </c>
      <c r="L76" s="19">
        <f>Scenarios!G25/'Control Panel'!$F$9*-'Financial Model'!L10</f>
        <v>7364.2505803729027</v>
      </c>
      <c r="M76" s="19">
        <f>Scenarios!H25/'Control Panel'!$F$9*-'Financial Model'!M10</f>
        <v>7923.9336244812439</v>
      </c>
    </row>
    <row r="77" spans="2:13" x14ac:dyDescent="0.3">
      <c r="B77" s="5" t="s">
        <v>74</v>
      </c>
      <c r="D77" s="9">
        <f>+D74+D75-D76</f>
        <v>9002.6500000000015</v>
      </c>
      <c r="E77" s="9">
        <f t="shared" ref="E77:H77" si="43">+E74+E75-E76</f>
        <v>10704.7</v>
      </c>
      <c r="F77" s="9">
        <f t="shared" si="43"/>
        <v>11479.55</v>
      </c>
      <c r="G77" s="9">
        <f t="shared" si="43"/>
        <v>12382.45</v>
      </c>
      <c r="H77" s="9">
        <f t="shared" si="43"/>
        <v>13209.599999999999</v>
      </c>
      <c r="I77" s="9">
        <f>I74+I75-I76</f>
        <v>13911.835708493152</v>
      </c>
      <c r="J77" s="9">
        <f t="shared" ref="J77:M77" si="44">J74+J75-J76</f>
        <v>14969.135222338635</v>
      </c>
      <c r="K77" s="9">
        <f t="shared" si="44"/>
        <v>16106.789499236373</v>
      </c>
      <c r="L77" s="9">
        <f t="shared" si="44"/>
        <v>17330.905501178335</v>
      </c>
      <c r="M77" s="9">
        <f t="shared" si="44"/>
        <v>18648.054319267889</v>
      </c>
    </row>
    <row r="78" spans="2:13" x14ac:dyDescent="0.3">
      <c r="B78" s="5" t="s">
        <v>73</v>
      </c>
      <c r="E78" s="25">
        <v>-1702.0500000000002</v>
      </c>
      <c r="F78" s="25">
        <v>-774.84999999999945</v>
      </c>
      <c r="G78" s="25">
        <v>-902.90000000000055</v>
      </c>
      <c r="H78" s="25">
        <v>-827.14999999999964</v>
      </c>
      <c r="I78" s="9">
        <f>H77-I77</f>
        <v>-702.23570849315365</v>
      </c>
      <c r="J78" s="9">
        <f t="shared" ref="J78:M78" si="45">I77-J77</f>
        <v>-1057.2995138454826</v>
      </c>
      <c r="K78" s="9">
        <f t="shared" si="45"/>
        <v>-1137.6542768977379</v>
      </c>
      <c r="L78" s="9">
        <f t="shared" si="45"/>
        <v>-1224.1160019419622</v>
      </c>
      <c r="M78" s="9">
        <f t="shared" si="45"/>
        <v>-1317.148818089554</v>
      </c>
    </row>
    <row r="79" spans="2:13" x14ac:dyDescent="0.3">
      <c r="E79" s="9"/>
    </row>
    <row r="80" spans="2:13" x14ac:dyDescent="0.3">
      <c r="B80" s="6" t="s">
        <v>76</v>
      </c>
    </row>
    <row r="81" spans="2:13" x14ac:dyDescent="0.3">
      <c r="B81" s="5" t="s">
        <v>75</v>
      </c>
      <c r="D81" s="25">
        <v>50000</v>
      </c>
      <c r="E81" s="25">
        <v>45500</v>
      </c>
      <c r="F81" s="25">
        <v>42350</v>
      </c>
      <c r="G81" s="25">
        <v>40145</v>
      </c>
      <c r="H81" s="25">
        <v>38601.5</v>
      </c>
      <c r="I81" s="9">
        <f>H84</f>
        <v>37521.050000000003</v>
      </c>
      <c r="J81" s="9">
        <f t="shared" ref="J81:M81" si="46">I84</f>
        <v>47021.05</v>
      </c>
      <c r="K81" s="9">
        <f t="shared" si="46"/>
        <v>56521.05</v>
      </c>
      <c r="L81" s="9">
        <f t="shared" si="46"/>
        <v>66021.05</v>
      </c>
      <c r="M81" s="9">
        <f t="shared" si="46"/>
        <v>75521.05</v>
      </c>
    </row>
    <row r="82" spans="2:13" x14ac:dyDescent="0.3">
      <c r="B82" s="5" t="s">
        <v>57</v>
      </c>
      <c r="D82" s="25">
        <v>15000</v>
      </c>
      <c r="E82" s="25">
        <v>15000</v>
      </c>
      <c r="F82" s="25">
        <v>15000</v>
      </c>
      <c r="G82" s="25">
        <v>15000</v>
      </c>
      <c r="H82" s="25">
        <v>15000</v>
      </c>
      <c r="I82" s="9">
        <f>Scenarios!D26</f>
        <v>20000</v>
      </c>
      <c r="J82" s="9">
        <f>Scenarios!E26</f>
        <v>20000</v>
      </c>
      <c r="K82" s="9">
        <f>Scenarios!F26</f>
        <v>20000</v>
      </c>
      <c r="L82" s="9">
        <f>Scenarios!G26</f>
        <v>20000</v>
      </c>
      <c r="M82" s="9">
        <f>Scenarios!H26</f>
        <v>20000</v>
      </c>
    </row>
    <row r="83" spans="2:13" x14ac:dyDescent="0.3">
      <c r="B83" s="17" t="s">
        <v>3</v>
      </c>
      <c r="C83" s="17"/>
      <c r="D83" s="26">
        <v>-19500</v>
      </c>
      <c r="E83" s="26">
        <v>-18150</v>
      </c>
      <c r="F83" s="26">
        <v>-17205</v>
      </c>
      <c r="G83" s="26">
        <v>-16543.5</v>
      </c>
      <c r="H83" s="26">
        <v>-16080.45</v>
      </c>
      <c r="I83" s="19">
        <f>-Scenarios!D17</f>
        <v>-10500</v>
      </c>
      <c r="J83" s="19">
        <f>-Scenarios!E17</f>
        <v>-10500</v>
      </c>
      <c r="K83" s="19">
        <f>-Scenarios!F17</f>
        <v>-10500</v>
      </c>
      <c r="L83" s="19">
        <f>-Scenarios!G17</f>
        <v>-10500</v>
      </c>
      <c r="M83" s="19">
        <f>-Scenarios!H17</f>
        <v>-10500</v>
      </c>
    </row>
    <row r="84" spans="2:13" x14ac:dyDescent="0.3">
      <c r="B84" s="5" t="s">
        <v>84</v>
      </c>
      <c r="D84" s="9">
        <f>+D29</f>
        <v>45500</v>
      </c>
      <c r="E84" s="9">
        <f>SUM(E81:E83)</f>
        <v>42350</v>
      </c>
      <c r="F84" s="9">
        <f t="shared" ref="F84:I84" si="47">SUM(F81:F83)</f>
        <v>40145</v>
      </c>
      <c r="G84" s="9">
        <f t="shared" si="47"/>
        <v>38601.5</v>
      </c>
      <c r="H84" s="9">
        <f t="shared" si="47"/>
        <v>37521.050000000003</v>
      </c>
      <c r="I84" s="9">
        <f t="shared" si="47"/>
        <v>47021.05</v>
      </c>
      <c r="J84" s="9">
        <f t="shared" ref="J84:M84" si="48">SUM(J81:J83)</f>
        <v>56521.05</v>
      </c>
      <c r="K84" s="9">
        <f t="shared" si="48"/>
        <v>66021.05</v>
      </c>
      <c r="L84" s="9">
        <f t="shared" si="48"/>
        <v>75521.05</v>
      </c>
      <c r="M84" s="9">
        <f t="shared" si="48"/>
        <v>85021.05</v>
      </c>
    </row>
    <row r="86" spans="2:13" x14ac:dyDescent="0.3">
      <c r="B86" s="6" t="s">
        <v>77</v>
      </c>
    </row>
    <row r="87" spans="2:13" x14ac:dyDescent="0.3">
      <c r="B87" s="5" t="s">
        <v>78</v>
      </c>
      <c r="D87" s="25">
        <v>50000</v>
      </c>
      <c r="E87" s="25">
        <v>50000</v>
      </c>
      <c r="F87" s="25">
        <v>50000</v>
      </c>
      <c r="G87" s="25">
        <v>30000</v>
      </c>
      <c r="H87" s="25">
        <v>30000</v>
      </c>
      <c r="I87" s="9">
        <f>H89</f>
        <v>30000</v>
      </c>
      <c r="J87" s="9">
        <f t="shared" ref="J87:M87" si="49">I89</f>
        <v>30000</v>
      </c>
      <c r="K87" s="9">
        <f t="shared" si="49"/>
        <v>10000</v>
      </c>
      <c r="L87" s="9">
        <f t="shared" si="49"/>
        <v>10000</v>
      </c>
      <c r="M87" s="9">
        <f t="shared" si="49"/>
        <v>0</v>
      </c>
    </row>
    <row r="88" spans="2:13" x14ac:dyDescent="0.3">
      <c r="B88" s="17" t="s">
        <v>79</v>
      </c>
      <c r="C88" s="17"/>
      <c r="D88" s="26">
        <v>0</v>
      </c>
      <c r="E88" s="26">
        <v>0</v>
      </c>
      <c r="F88" s="26">
        <v>-20000</v>
      </c>
      <c r="G88" s="26">
        <v>0</v>
      </c>
      <c r="H88" s="26">
        <v>0</v>
      </c>
      <c r="I88" s="19">
        <f>Scenarios!D27</f>
        <v>0</v>
      </c>
      <c r="J88" s="19">
        <f>Scenarios!E27</f>
        <v>-20000</v>
      </c>
      <c r="K88" s="19">
        <f>Scenarios!F27</f>
        <v>0</v>
      </c>
      <c r="L88" s="19">
        <f>Scenarios!G27</f>
        <v>-10000</v>
      </c>
      <c r="M88" s="19">
        <f>Scenarios!H27</f>
        <v>0</v>
      </c>
    </row>
    <row r="89" spans="2:13" x14ac:dyDescent="0.3">
      <c r="B89" s="5" t="s">
        <v>80</v>
      </c>
      <c r="D89" s="9">
        <f>+D36</f>
        <v>50000</v>
      </c>
      <c r="E89" s="9">
        <f>SUM(E87:E88)</f>
        <v>50000</v>
      </c>
      <c r="F89" s="9">
        <f t="shared" ref="F89:I89" si="50">SUM(F87:F88)</f>
        <v>30000</v>
      </c>
      <c r="G89" s="9">
        <f t="shared" si="50"/>
        <v>30000</v>
      </c>
      <c r="H89" s="9">
        <f t="shared" si="50"/>
        <v>30000</v>
      </c>
      <c r="I89" s="9">
        <f t="shared" si="50"/>
        <v>30000</v>
      </c>
      <c r="J89" s="9">
        <f t="shared" ref="J89:M89" si="51">SUM(J87:J88)</f>
        <v>10000</v>
      </c>
      <c r="K89" s="9">
        <f t="shared" si="51"/>
        <v>10000</v>
      </c>
      <c r="L89" s="9">
        <f t="shared" si="51"/>
        <v>0</v>
      </c>
      <c r="M89" s="9">
        <f t="shared" si="51"/>
        <v>0</v>
      </c>
    </row>
    <row r="90" spans="2:13" x14ac:dyDescent="0.3">
      <c r="B90" s="5" t="s">
        <v>5</v>
      </c>
      <c r="D90" s="25">
        <v>2500</v>
      </c>
      <c r="E90" s="25">
        <v>2500</v>
      </c>
      <c r="F90" s="25">
        <v>1500</v>
      </c>
      <c r="G90" s="25">
        <v>900</v>
      </c>
      <c r="H90" s="25">
        <v>900</v>
      </c>
      <c r="I90" s="9">
        <f>Scenarios!D19*'Financial Model'!I87</f>
        <v>1200</v>
      </c>
      <c r="J90" s="9">
        <f>Scenarios!E19*'Financial Model'!J87</f>
        <v>1200</v>
      </c>
      <c r="K90" s="9">
        <f>Scenarios!F19*'Financial Model'!K87</f>
        <v>400</v>
      </c>
      <c r="L90" s="9">
        <f>Scenarios!G19*'Financial Model'!L87</f>
        <v>400</v>
      </c>
      <c r="M90" s="9">
        <f>Scenarios!H19*'Financial Model'!M87</f>
        <v>0</v>
      </c>
    </row>
    <row r="91" spans="2:13" x14ac:dyDescent="0.3">
      <c r="G91" s="24"/>
    </row>
    <row r="92" spans="2:13" x14ac:dyDescent="0.3">
      <c r="B92" s="6" t="s">
        <v>81</v>
      </c>
    </row>
    <row r="93" spans="2:13" x14ac:dyDescent="0.3">
      <c r="B93" s="5" t="s">
        <v>82</v>
      </c>
      <c r="D93" s="25">
        <v>0</v>
      </c>
      <c r="E93" s="25">
        <v>170000</v>
      </c>
      <c r="F93" s="25">
        <v>170000</v>
      </c>
      <c r="G93" s="25">
        <v>170000</v>
      </c>
      <c r="H93" s="25">
        <v>170000</v>
      </c>
      <c r="I93" s="9">
        <f>H95</f>
        <v>170000</v>
      </c>
      <c r="J93" s="9">
        <f t="shared" ref="J93:M93" si="52">I95</f>
        <v>170000</v>
      </c>
      <c r="K93" s="9">
        <f t="shared" si="52"/>
        <v>170000</v>
      </c>
      <c r="L93" s="9">
        <f t="shared" si="52"/>
        <v>170000</v>
      </c>
      <c r="M93" s="9">
        <f t="shared" si="52"/>
        <v>170000</v>
      </c>
    </row>
    <row r="94" spans="2:13" x14ac:dyDescent="0.3">
      <c r="B94" s="17" t="s">
        <v>87</v>
      </c>
      <c r="C94" s="17"/>
      <c r="D94" s="26">
        <v>170000</v>
      </c>
      <c r="E94" s="26">
        <v>0</v>
      </c>
      <c r="F94" s="26">
        <v>0</v>
      </c>
      <c r="G94" s="26">
        <v>0</v>
      </c>
      <c r="H94" s="26">
        <v>0</v>
      </c>
      <c r="I94" s="19">
        <f>Scenarios!D28</f>
        <v>0</v>
      </c>
      <c r="J94" s="19">
        <f>Scenarios!E28</f>
        <v>0</v>
      </c>
      <c r="K94" s="19">
        <f>Scenarios!F28</f>
        <v>0</v>
      </c>
      <c r="L94" s="19">
        <f>Scenarios!G28</f>
        <v>0</v>
      </c>
      <c r="M94" s="19">
        <f>Scenarios!H28</f>
        <v>0</v>
      </c>
    </row>
    <row r="95" spans="2:13" x14ac:dyDescent="0.3">
      <c r="B95" s="5" t="s">
        <v>83</v>
      </c>
      <c r="D95" s="9">
        <f>+D40</f>
        <v>170000</v>
      </c>
      <c r="E95" s="9">
        <f>SUM(E93:E94)</f>
        <v>170000</v>
      </c>
      <c r="F95" s="9">
        <f t="shared" ref="F95:I95" si="53">SUM(F93:F94)</f>
        <v>170000</v>
      </c>
      <c r="G95" s="9">
        <f t="shared" si="53"/>
        <v>170000</v>
      </c>
      <c r="H95" s="9">
        <f t="shared" si="53"/>
        <v>170000</v>
      </c>
      <c r="I95" s="9">
        <f t="shared" si="53"/>
        <v>170000</v>
      </c>
      <c r="J95" s="9">
        <f t="shared" ref="J95:M95" si="54">SUM(J93:J94)</f>
        <v>170000</v>
      </c>
      <c r="K95" s="9">
        <f t="shared" si="54"/>
        <v>170000</v>
      </c>
      <c r="L95" s="9">
        <f t="shared" si="54"/>
        <v>170000</v>
      </c>
      <c r="M95" s="9">
        <f t="shared" si="54"/>
        <v>170000</v>
      </c>
    </row>
  </sheetData>
  <conditionalFormatting sqref="D46:M46">
    <cfRule type="containsText" dxfId="1" priority="1" operator="containsText" text="OK">
      <formula>NOT(ISERROR(SEARCH("OK",D46)))</formula>
    </cfRule>
    <cfRule type="containsText" dxfId="0" priority="2" operator="containsText" text="ERROR">
      <formula>NOT(ISERROR(SEARCH("ERROR",D46)))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C099-9BC7-457D-A544-D0E2FBD08273}">
  <dimension ref="A1:L97"/>
  <sheetViews>
    <sheetView showGridLines="0" workbookViewId="0">
      <pane xSplit="3" ySplit="6" topLeftCell="D88" activePane="bottomRight" state="frozen"/>
      <selection activeCell="C14" sqref="C14"/>
      <selection pane="topRight" activeCell="C14" sqref="C14"/>
      <selection pane="bottomLeft" activeCell="C14" sqref="C14"/>
      <selection pane="bottomRight" activeCell="D11" sqref="D11"/>
    </sheetView>
  </sheetViews>
  <sheetFormatPr defaultColWidth="10.7109375" defaultRowHeight="16.5" x14ac:dyDescent="0.3"/>
  <cols>
    <col min="1" max="1" width="5.7109375" style="5" customWidth="1"/>
    <col min="2" max="2" width="35.7109375" style="5" customWidth="1"/>
    <col min="3" max="16384" width="10.7109375" style="5"/>
  </cols>
  <sheetData>
    <row r="1" spans="1:12" s="1" customFormat="1" ht="15.75" x14ac:dyDescent="0.25">
      <c r="A1" s="44" t="s">
        <v>89</v>
      </c>
      <c r="B1" s="44"/>
      <c r="C1" s="44"/>
      <c r="D1" s="44"/>
      <c r="E1" s="44"/>
      <c r="F1" s="44"/>
      <c r="G1" s="44"/>
      <c r="H1" s="44"/>
      <c r="L1" s="1">
        <v>1</v>
      </c>
    </row>
    <row r="2" spans="1:12" s="1" customFormat="1" ht="18" x14ac:dyDescent="0.25">
      <c r="A2" s="45" t="s">
        <v>42</v>
      </c>
      <c r="B2" s="46"/>
      <c r="C2" s="46"/>
      <c r="D2" s="46"/>
      <c r="E2" s="46"/>
      <c r="F2" s="46"/>
      <c r="G2" s="46"/>
      <c r="H2" s="46"/>
      <c r="L2" s="1">
        <v>2</v>
      </c>
    </row>
    <row r="3" spans="1:12" s="1" customFormat="1" ht="15.75" x14ac:dyDescent="0.25">
      <c r="A3" s="47" t="s">
        <v>88</v>
      </c>
      <c r="B3" s="48"/>
      <c r="C3" s="48"/>
      <c r="D3" s="48"/>
      <c r="E3" s="48"/>
      <c r="F3" s="48"/>
      <c r="G3" s="48"/>
      <c r="H3" s="49">
        <v>1</v>
      </c>
      <c r="L3" s="1">
        <v>3</v>
      </c>
    </row>
    <row r="6" spans="1:12" s="2" customFormat="1" ht="18" x14ac:dyDescent="0.25">
      <c r="D6" s="7">
        <f>+'Financial Model'!I5</f>
        <v>46022</v>
      </c>
      <c r="E6" s="7">
        <f>+'Financial Model'!J5</f>
        <v>46387</v>
      </c>
      <c r="F6" s="7">
        <f>+'Financial Model'!K5</f>
        <v>46752</v>
      </c>
      <c r="G6" s="7">
        <f>+'Financial Model'!L5</f>
        <v>47118</v>
      </c>
      <c r="H6" s="7">
        <f>+'Financial Model'!M5</f>
        <v>47483</v>
      </c>
    </row>
    <row r="7" spans="1:12" s="1" customFormat="1" ht="5.25" customHeight="1" x14ac:dyDescent="0.25"/>
    <row r="8" spans="1:12" s="1" customFormat="1" ht="18" x14ac:dyDescent="0.25">
      <c r="B8" s="42" t="s">
        <v>43</v>
      </c>
      <c r="C8" s="42"/>
      <c r="D8" s="42"/>
      <c r="E8" s="42"/>
      <c r="F8" s="42"/>
      <c r="G8" s="42"/>
      <c r="H8" s="42"/>
    </row>
    <row r="9" spans="1:12" ht="5.25" customHeight="1" x14ac:dyDescent="0.3"/>
    <row r="10" spans="1:12" x14ac:dyDescent="0.3">
      <c r="B10" s="6" t="s">
        <v>47</v>
      </c>
    </row>
    <row r="11" spans="1:12" x14ac:dyDescent="0.3">
      <c r="B11" s="5" t="s">
        <v>50</v>
      </c>
      <c r="D11" s="27">
        <f>CHOOSE($H$3,D36,D58,D80)</f>
        <v>7.5999999999999998E-2</v>
      </c>
      <c r="E11" s="27">
        <f t="shared" ref="E11:H11" si="0">CHOOSE($H$3,E36,E58,E80)</f>
        <v>7.5999999999999998E-2</v>
      </c>
      <c r="F11" s="27">
        <f t="shared" si="0"/>
        <v>7.5999999999999998E-2</v>
      </c>
      <c r="G11" s="27">
        <f t="shared" si="0"/>
        <v>7.5999999999999998E-2</v>
      </c>
      <c r="H11" s="27">
        <f t="shared" si="0"/>
        <v>7.5999999999999998E-2</v>
      </c>
    </row>
    <row r="12" spans="1:12" x14ac:dyDescent="0.3">
      <c r="B12" s="5" t="s">
        <v>49</v>
      </c>
      <c r="D12" s="27">
        <f t="shared" ref="D12:H12" si="1">CHOOSE($H$3,D37,D59,D81)</f>
        <v>0.38</v>
      </c>
      <c r="E12" s="27">
        <f t="shared" si="1"/>
        <v>0.38</v>
      </c>
      <c r="F12" s="27">
        <f t="shared" si="1"/>
        <v>0.38</v>
      </c>
      <c r="G12" s="27">
        <f t="shared" si="1"/>
        <v>0.38</v>
      </c>
      <c r="H12" s="27">
        <f t="shared" si="1"/>
        <v>0.38</v>
      </c>
    </row>
    <row r="13" spans="1:12" x14ac:dyDescent="0.3">
      <c r="B13" s="5" t="s">
        <v>48</v>
      </c>
      <c r="D13" s="27">
        <f t="shared" ref="D13:H13" si="2">CHOOSE($H$3,D38,D60,D82)</f>
        <v>0.24</v>
      </c>
      <c r="E13" s="27">
        <f t="shared" si="2"/>
        <v>0.24</v>
      </c>
      <c r="F13" s="27">
        <f t="shared" si="2"/>
        <v>0.24</v>
      </c>
      <c r="G13" s="27">
        <f t="shared" si="2"/>
        <v>0.24</v>
      </c>
      <c r="H13" s="27">
        <f t="shared" si="2"/>
        <v>0.24</v>
      </c>
    </row>
    <row r="14" spans="1:12" x14ac:dyDescent="0.3">
      <c r="D14" s="20"/>
      <c r="E14" s="20"/>
      <c r="F14" s="20"/>
      <c r="G14" s="20"/>
      <c r="H14" s="20"/>
    </row>
    <row r="15" spans="1:12" x14ac:dyDescent="0.3">
      <c r="B15" s="5" t="s">
        <v>54</v>
      </c>
      <c r="D15" s="21">
        <f t="shared" ref="D15:H15" si="3">CHOOSE($H$3,D40,D62,D84)</f>
        <v>7500</v>
      </c>
      <c r="E15" s="21">
        <f t="shared" si="3"/>
        <v>7500</v>
      </c>
      <c r="F15" s="21">
        <f t="shared" si="3"/>
        <v>7500</v>
      </c>
      <c r="G15" s="21">
        <f t="shared" si="3"/>
        <v>7500</v>
      </c>
      <c r="H15" s="21">
        <f t="shared" si="3"/>
        <v>7500</v>
      </c>
    </row>
    <row r="16" spans="1:12" x14ac:dyDescent="0.3">
      <c r="B16" s="5" t="s">
        <v>55</v>
      </c>
      <c r="D16" s="21">
        <f t="shared" ref="D16:H16" si="4">CHOOSE($H$3,D41,D63,D85)</f>
        <v>3000</v>
      </c>
      <c r="E16" s="21">
        <f t="shared" si="4"/>
        <v>3000</v>
      </c>
      <c r="F16" s="21">
        <f t="shared" si="4"/>
        <v>3000</v>
      </c>
      <c r="G16" s="21">
        <f t="shared" si="4"/>
        <v>3000</v>
      </c>
      <c r="H16" s="21">
        <f t="shared" si="4"/>
        <v>3000</v>
      </c>
    </row>
    <row r="17" spans="2:8" x14ac:dyDescent="0.3">
      <c r="B17" s="5" t="s">
        <v>56</v>
      </c>
      <c r="D17" s="21">
        <f t="shared" ref="D17:H17" si="5">CHOOSE($H$3,D42,D64,D86)</f>
        <v>10500</v>
      </c>
      <c r="E17" s="21">
        <f t="shared" si="5"/>
        <v>10500</v>
      </c>
      <c r="F17" s="21">
        <f t="shared" si="5"/>
        <v>10500</v>
      </c>
      <c r="G17" s="21">
        <f t="shared" si="5"/>
        <v>10500</v>
      </c>
      <c r="H17" s="21">
        <f t="shared" si="5"/>
        <v>10500</v>
      </c>
    </row>
    <row r="18" spans="2:8" x14ac:dyDescent="0.3">
      <c r="D18" s="20"/>
      <c r="E18" s="20"/>
      <c r="F18" s="20"/>
      <c r="G18" s="20"/>
      <c r="H18" s="20"/>
    </row>
    <row r="19" spans="2:8" x14ac:dyDescent="0.3">
      <c r="B19" s="5" t="s">
        <v>52</v>
      </c>
      <c r="D19" s="27">
        <f t="shared" ref="D19:H19" si="6">CHOOSE($H$3,D44,D66,D88)</f>
        <v>0.04</v>
      </c>
      <c r="E19" s="27">
        <f t="shared" si="6"/>
        <v>0.04</v>
      </c>
      <c r="F19" s="27">
        <f t="shared" si="6"/>
        <v>0.04</v>
      </c>
      <c r="G19" s="27">
        <f t="shared" si="6"/>
        <v>0.04</v>
      </c>
      <c r="H19" s="27">
        <f t="shared" si="6"/>
        <v>0.04</v>
      </c>
    </row>
    <row r="20" spans="2:8" x14ac:dyDescent="0.3">
      <c r="B20" s="5" t="s">
        <v>53</v>
      </c>
      <c r="D20" s="27">
        <f t="shared" ref="D20:H20" si="7">CHOOSE($H$3,D45,D67,D89)</f>
        <v>0.3</v>
      </c>
      <c r="E20" s="27">
        <f t="shared" si="7"/>
        <v>0.3</v>
      </c>
      <c r="F20" s="27">
        <f t="shared" si="7"/>
        <v>0.3</v>
      </c>
      <c r="G20" s="27">
        <f t="shared" si="7"/>
        <v>0.3</v>
      </c>
      <c r="H20" s="27">
        <f t="shared" si="7"/>
        <v>0.3</v>
      </c>
    </row>
    <row r="21" spans="2:8" x14ac:dyDescent="0.3">
      <c r="D21" s="20"/>
      <c r="E21" s="20"/>
      <c r="F21" s="20"/>
      <c r="G21" s="20"/>
      <c r="H21" s="20"/>
    </row>
    <row r="22" spans="2:8" x14ac:dyDescent="0.3">
      <c r="B22" s="6" t="s">
        <v>51</v>
      </c>
      <c r="D22" s="20"/>
      <c r="E22" s="20"/>
      <c r="F22" s="20"/>
      <c r="G22" s="20"/>
      <c r="H22" s="20"/>
    </row>
    <row r="23" spans="2:8" x14ac:dyDescent="0.3">
      <c r="B23" s="5" t="s">
        <v>44</v>
      </c>
      <c r="D23" s="28">
        <f t="shared" ref="D23:H23" si="8">CHOOSE($H$3,D48,D70,D92)</f>
        <v>18</v>
      </c>
      <c r="E23" s="28">
        <f t="shared" si="8"/>
        <v>18</v>
      </c>
      <c r="F23" s="28">
        <f t="shared" si="8"/>
        <v>18</v>
      </c>
      <c r="G23" s="28">
        <f t="shared" si="8"/>
        <v>18</v>
      </c>
      <c r="H23" s="28">
        <f t="shared" si="8"/>
        <v>18</v>
      </c>
    </row>
    <row r="24" spans="2:8" x14ac:dyDescent="0.3">
      <c r="B24" s="5" t="s">
        <v>45</v>
      </c>
      <c r="D24" s="28">
        <f t="shared" ref="D24:H24" si="9">CHOOSE($H$3,D49,D71,D93)</f>
        <v>70</v>
      </c>
      <c r="E24" s="28">
        <f t="shared" si="9"/>
        <v>70</v>
      </c>
      <c r="F24" s="28">
        <f t="shared" si="9"/>
        <v>70</v>
      </c>
      <c r="G24" s="28">
        <f t="shared" si="9"/>
        <v>70</v>
      </c>
      <c r="H24" s="28">
        <f t="shared" si="9"/>
        <v>70</v>
      </c>
    </row>
    <row r="25" spans="2:8" x14ac:dyDescent="0.3">
      <c r="B25" s="5" t="s">
        <v>46</v>
      </c>
      <c r="D25" s="28">
        <f t="shared" ref="D25:H25" si="10">CHOOSE($H$3,D50,D72,D94)</f>
        <v>35</v>
      </c>
      <c r="E25" s="28">
        <f t="shared" si="10"/>
        <v>35</v>
      </c>
      <c r="F25" s="28">
        <f t="shared" si="10"/>
        <v>35</v>
      </c>
      <c r="G25" s="28">
        <f t="shared" si="10"/>
        <v>35</v>
      </c>
      <c r="H25" s="28">
        <f t="shared" si="10"/>
        <v>35</v>
      </c>
    </row>
    <row r="26" spans="2:8" x14ac:dyDescent="0.3">
      <c r="B26" s="5" t="s">
        <v>57</v>
      </c>
      <c r="D26" s="21">
        <f t="shared" ref="D26:H26" si="11">CHOOSE($H$3,D51,D73,D95)</f>
        <v>20000</v>
      </c>
      <c r="E26" s="21">
        <f t="shared" si="11"/>
        <v>20000</v>
      </c>
      <c r="F26" s="21">
        <f t="shared" si="11"/>
        <v>20000</v>
      </c>
      <c r="G26" s="21">
        <f t="shared" si="11"/>
        <v>20000</v>
      </c>
      <c r="H26" s="21">
        <f t="shared" si="11"/>
        <v>20000</v>
      </c>
    </row>
    <row r="27" spans="2:8" x14ac:dyDescent="0.3">
      <c r="B27" s="5" t="s">
        <v>58</v>
      </c>
      <c r="D27" s="21">
        <f t="shared" ref="D27:H27" si="12">CHOOSE($H$3,D52,D74,D96)</f>
        <v>0</v>
      </c>
      <c r="E27" s="21">
        <f t="shared" si="12"/>
        <v>-20000</v>
      </c>
      <c r="F27" s="21">
        <f t="shared" si="12"/>
        <v>0</v>
      </c>
      <c r="G27" s="21">
        <f t="shared" si="12"/>
        <v>-10000</v>
      </c>
      <c r="H27" s="21">
        <f t="shared" si="12"/>
        <v>0</v>
      </c>
    </row>
    <row r="28" spans="2:8" x14ac:dyDescent="0.3">
      <c r="B28" s="5" t="s">
        <v>59</v>
      </c>
      <c r="D28" s="21">
        <f t="shared" ref="D28:H28" si="13">CHOOSE($H$3,D53,D75,D97)</f>
        <v>0</v>
      </c>
      <c r="E28" s="21">
        <f t="shared" si="13"/>
        <v>0</v>
      </c>
      <c r="F28" s="21">
        <f t="shared" si="13"/>
        <v>0</v>
      </c>
      <c r="G28" s="21">
        <f t="shared" si="13"/>
        <v>0</v>
      </c>
      <c r="H28" s="21">
        <f t="shared" si="13"/>
        <v>0</v>
      </c>
    </row>
    <row r="31" spans="2:8" s="1" customFormat="1" ht="18" x14ac:dyDescent="0.25">
      <c r="B31" s="42" t="s">
        <v>62</v>
      </c>
      <c r="C31" s="42"/>
      <c r="D31" s="42"/>
      <c r="E31" s="42"/>
      <c r="F31" s="42"/>
      <c r="G31" s="42"/>
      <c r="H31" s="42"/>
    </row>
    <row r="32" spans="2:8" s="1" customFormat="1" ht="5.25" customHeight="1" x14ac:dyDescent="0.25"/>
    <row r="33" spans="2:8" s="1" customFormat="1" ht="18" x14ac:dyDescent="0.25">
      <c r="B33" s="8" t="s">
        <v>60</v>
      </c>
      <c r="C33" s="8"/>
      <c r="D33" s="8"/>
      <c r="E33" s="8"/>
      <c r="F33" s="8"/>
      <c r="G33" s="8"/>
      <c r="H33" s="8"/>
    </row>
    <row r="34" spans="2:8" ht="5.25" customHeight="1" x14ac:dyDescent="0.3"/>
    <row r="35" spans="2:8" x14ac:dyDescent="0.3">
      <c r="B35" s="6" t="s">
        <v>47</v>
      </c>
    </row>
    <row r="36" spans="2:8" x14ac:dyDescent="0.3">
      <c r="B36" s="5" t="s">
        <v>63</v>
      </c>
      <c r="D36" s="38">
        <v>7.5999999999999998E-2</v>
      </c>
      <c r="E36" s="38">
        <v>7.5999999999999998E-2</v>
      </c>
      <c r="F36" s="38">
        <v>7.5999999999999998E-2</v>
      </c>
      <c r="G36" s="38">
        <v>7.5999999999999998E-2</v>
      </c>
      <c r="H36" s="38">
        <v>7.5999999999999998E-2</v>
      </c>
    </row>
    <row r="37" spans="2:8" x14ac:dyDescent="0.3">
      <c r="B37" s="5" t="s">
        <v>49</v>
      </c>
      <c r="D37" s="29">
        <v>0.38</v>
      </c>
      <c r="E37" s="29">
        <v>0.38</v>
      </c>
      <c r="F37" s="29">
        <v>0.38</v>
      </c>
      <c r="G37" s="29">
        <v>0.38</v>
      </c>
      <c r="H37" s="29">
        <v>0.38</v>
      </c>
    </row>
    <row r="38" spans="2:8" x14ac:dyDescent="0.3">
      <c r="B38" s="5" t="s">
        <v>48</v>
      </c>
      <c r="D38" s="29">
        <v>0.24</v>
      </c>
      <c r="E38" s="29">
        <v>0.24</v>
      </c>
      <c r="F38" s="29">
        <v>0.24</v>
      </c>
      <c r="G38" s="29">
        <v>0.24</v>
      </c>
      <c r="H38" s="29">
        <v>0.24</v>
      </c>
    </row>
    <row r="40" spans="2:8" x14ac:dyDescent="0.3">
      <c r="B40" s="5" t="s">
        <v>54</v>
      </c>
      <c r="D40" s="30">
        <v>7500</v>
      </c>
      <c r="E40" s="30">
        <v>7500</v>
      </c>
      <c r="F40" s="30">
        <v>7500</v>
      </c>
      <c r="G40" s="30">
        <v>7500</v>
      </c>
      <c r="H40" s="30">
        <v>7500</v>
      </c>
    </row>
    <row r="41" spans="2:8" x14ac:dyDescent="0.3">
      <c r="B41" s="5" t="s">
        <v>55</v>
      </c>
      <c r="D41" s="31">
        <f>'Control Panel'!$F$12*Scenarios!D51</f>
        <v>3000</v>
      </c>
      <c r="E41" s="31">
        <f>'Control Panel'!$F$12*Scenarios!E51</f>
        <v>3000</v>
      </c>
      <c r="F41" s="31">
        <f>'Control Panel'!$F$12*Scenarios!F51</f>
        <v>3000</v>
      </c>
      <c r="G41" s="31">
        <f>'Control Panel'!$F$12*Scenarios!G51</f>
        <v>3000</v>
      </c>
      <c r="H41" s="31">
        <f>'Control Panel'!$F$12*Scenarios!H51</f>
        <v>3000</v>
      </c>
    </row>
    <row r="42" spans="2:8" x14ac:dyDescent="0.3">
      <c r="B42" s="5" t="s">
        <v>56</v>
      </c>
      <c r="D42" s="9">
        <f>SUM(D40:D41)</f>
        <v>10500</v>
      </c>
      <c r="E42" s="9">
        <f t="shared" ref="E42:H42" si="14">SUM(E40:E41)</f>
        <v>10500</v>
      </c>
      <c r="F42" s="9">
        <f t="shared" si="14"/>
        <v>10500</v>
      </c>
      <c r="G42" s="9">
        <f t="shared" si="14"/>
        <v>10500</v>
      </c>
      <c r="H42" s="9">
        <f t="shared" si="14"/>
        <v>10500</v>
      </c>
    </row>
    <row r="44" spans="2:8" x14ac:dyDescent="0.3">
      <c r="B44" s="5" t="s">
        <v>52</v>
      </c>
      <c r="D44" s="29">
        <v>0.04</v>
      </c>
      <c r="E44" s="29">
        <v>0.04</v>
      </c>
      <c r="F44" s="29">
        <v>0.04</v>
      </c>
      <c r="G44" s="29">
        <v>0.04</v>
      </c>
      <c r="H44" s="29">
        <v>0.04</v>
      </c>
    </row>
    <row r="45" spans="2:8" x14ac:dyDescent="0.3">
      <c r="B45" s="5" t="s">
        <v>53</v>
      </c>
      <c r="D45" s="29">
        <v>0.3</v>
      </c>
      <c r="E45" s="29">
        <v>0.3</v>
      </c>
      <c r="F45" s="29">
        <v>0.3</v>
      </c>
      <c r="G45" s="29">
        <v>0.3</v>
      </c>
      <c r="H45" s="29">
        <v>0.3</v>
      </c>
    </row>
    <row r="47" spans="2:8" x14ac:dyDescent="0.3">
      <c r="B47" s="6" t="s">
        <v>51</v>
      </c>
    </row>
    <row r="48" spans="2:8" x14ac:dyDescent="0.3">
      <c r="B48" s="5" t="s">
        <v>44</v>
      </c>
      <c r="D48" s="32">
        <v>18</v>
      </c>
      <c r="E48" s="32">
        <v>18</v>
      </c>
      <c r="F48" s="32">
        <v>18</v>
      </c>
      <c r="G48" s="32">
        <v>18</v>
      </c>
      <c r="H48" s="32">
        <v>18</v>
      </c>
    </row>
    <row r="49" spans="2:8" x14ac:dyDescent="0.3">
      <c r="B49" s="5" t="s">
        <v>45</v>
      </c>
      <c r="D49" s="32">
        <v>70</v>
      </c>
      <c r="E49" s="32">
        <v>70</v>
      </c>
      <c r="F49" s="32">
        <v>70</v>
      </c>
      <c r="G49" s="32">
        <v>70</v>
      </c>
      <c r="H49" s="32">
        <v>70</v>
      </c>
    </row>
    <row r="50" spans="2:8" x14ac:dyDescent="0.3">
      <c r="B50" s="5" t="s">
        <v>46</v>
      </c>
      <c r="D50" s="32">
        <v>35</v>
      </c>
      <c r="E50" s="32">
        <v>35</v>
      </c>
      <c r="F50" s="32">
        <v>35</v>
      </c>
      <c r="G50" s="32">
        <v>35</v>
      </c>
      <c r="H50" s="32">
        <v>35</v>
      </c>
    </row>
    <row r="51" spans="2:8" x14ac:dyDescent="0.3">
      <c r="B51" s="5" t="s">
        <v>57</v>
      </c>
      <c r="D51" s="30">
        <v>20000</v>
      </c>
      <c r="E51" s="30">
        <v>20000</v>
      </c>
      <c r="F51" s="30">
        <v>20000</v>
      </c>
      <c r="G51" s="30">
        <v>20000</v>
      </c>
      <c r="H51" s="30">
        <v>20000</v>
      </c>
    </row>
    <row r="52" spans="2:8" x14ac:dyDescent="0.3">
      <c r="B52" s="5" t="s">
        <v>58</v>
      </c>
      <c r="D52" s="30">
        <v>0</v>
      </c>
      <c r="E52" s="30">
        <v>-20000</v>
      </c>
      <c r="F52" s="30">
        <v>0</v>
      </c>
      <c r="G52" s="30">
        <v>-10000</v>
      </c>
      <c r="H52" s="30">
        <v>0</v>
      </c>
    </row>
    <row r="53" spans="2:8" x14ac:dyDescent="0.3">
      <c r="B53" s="5" t="s">
        <v>59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</row>
    <row r="55" spans="2:8" s="1" customFormat="1" ht="18" x14ac:dyDescent="0.25">
      <c r="B55" s="8" t="s">
        <v>61</v>
      </c>
      <c r="C55" s="8"/>
      <c r="D55" s="8"/>
      <c r="E55" s="8"/>
      <c r="F55" s="8"/>
      <c r="G55" s="8"/>
      <c r="H55" s="8"/>
    </row>
    <row r="56" spans="2:8" ht="5.25" customHeight="1" x14ac:dyDescent="0.3"/>
    <row r="57" spans="2:8" x14ac:dyDescent="0.3">
      <c r="B57" s="6" t="s">
        <v>47</v>
      </c>
    </row>
    <row r="58" spans="2:8" x14ac:dyDescent="0.3">
      <c r="B58" s="5" t="s">
        <v>50</v>
      </c>
      <c r="D58" s="29">
        <v>0.05</v>
      </c>
      <c r="E58" s="29">
        <v>0.05</v>
      </c>
      <c r="F58" s="29">
        <v>0.05</v>
      </c>
      <c r="G58" s="29">
        <v>0.05</v>
      </c>
      <c r="H58" s="29">
        <v>0.05</v>
      </c>
    </row>
    <row r="59" spans="2:8" x14ac:dyDescent="0.3">
      <c r="B59" s="5" t="s">
        <v>49</v>
      </c>
      <c r="D59" s="29">
        <v>0.45</v>
      </c>
      <c r="E59" s="29">
        <v>0.45</v>
      </c>
      <c r="F59" s="29">
        <v>0.45</v>
      </c>
      <c r="G59" s="29">
        <v>0.45</v>
      </c>
      <c r="H59" s="29">
        <v>0.45</v>
      </c>
    </row>
    <row r="60" spans="2:8" x14ac:dyDescent="0.3">
      <c r="B60" s="5" t="s">
        <v>48</v>
      </c>
      <c r="D60" s="29">
        <v>0.3</v>
      </c>
      <c r="E60" s="29">
        <v>0.3</v>
      </c>
      <c r="F60" s="29">
        <v>0.3</v>
      </c>
      <c r="G60" s="29">
        <v>0.3</v>
      </c>
      <c r="H60" s="29">
        <v>0.3</v>
      </c>
    </row>
    <row r="62" spans="2:8" x14ac:dyDescent="0.3">
      <c r="B62" s="5" t="s">
        <v>54</v>
      </c>
      <c r="D62" s="30">
        <v>7500</v>
      </c>
      <c r="E62" s="30">
        <v>7500</v>
      </c>
      <c r="F62" s="30">
        <v>7500</v>
      </c>
      <c r="G62" s="30">
        <v>7500</v>
      </c>
      <c r="H62" s="30">
        <v>7500</v>
      </c>
    </row>
    <row r="63" spans="2:8" x14ac:dyDescent="0.3">
      <c r="B63" s="5" t="s">
        <v>55</v>
      </c>
      <c r="D63" s="30">
        <v>3000</v>
      </c>
      <c r="E63" s="30">
        <v>3000</v>
      </c>
      <c r="F63" s="30">
        <v>3000</v>
      </c>
      <c r="G63" s="30">
        <v>3000</v>
      </c>
      <c r="H63" s="30">
        <v>3000</v>
      </c>
    </row>
    <row r="64" spans="2:8" x14ac:dyDescent="0.3">
      <c r="B64" s="5" t="s">
        <v>56</v>
      </c>
      <c r="D64" s="9">
        <f>SUM(D62:D63)</f>
        <v>10500</v>
      </c>
      <c r="E64" s="9">
        <f t="shared" ref="E64" si="15">SUM(E62:E63)</f>
        <v>10500</v>
      </c>
      <c r="F64" s="9">
        <f t="shared" ref="F64" si="16">SUM(F62:F63)</f>
        <v>10500</v>
      </c>
      <c r="G64" s="9">
        <f t="shared" ref="G64" si="17">SUM(G62:G63)</f>
        <v>10500</v>
      </c>
      <c r="H64" s="9">
        <f t="shared" ref="H64" si="18">SUM(H62:H63)</f>
        <v>10500</v>
      </c>
    </row>
    <row r="66" spans="2:8" x14ac:dyDescent="0.3">
      <c r="B66" s="5" t="s">
        <v>52</v>
      </c>
      <c r="D66" s="29">
        <v>0.04</v>
      </c>
      <c r="E66" s="29">
        <v>0.04</v>
      </c>
      <c r="F66" s="29">
        <v>0.04</v>
      </c>
      <c r="G66" s="29">
        <v>0.04</v>
      </c>
      <c r="H66" s="29">
        <v>0.04</v>
      </c>
    </row>
    <row r="67" spans="2:8" x14ac:dyDescent="0.3">
      <c r="B67" s="5" t="s">
        <v>53</v>
      </c>
      <c r="D67" s="29">
        <v>0.3</v>
      </c>
      <c r="E67" s="29">
        <v>0.3</v>
      </c>
      <c r="F67" s="29">
        <v>0.3</v>
      </c>
      <c r="G67" s="29">
        <v>0.3</v>
      </c>
      <c r="H67" s="29">
        <v>0.3</v>
      </c>
    </row>
    <row r="69" spans="2:8" x14ac:dyDescent="0.3">
      <c r="B69" s="6" t="s">
        <v>51</v>
      </c>
    </row>
    <row r="70" spans="2:8" x14ac:dyDescent="0.3">
      <c r="B70" s="5" t="s">
        <v>44</v>
      </c>
      <c r="D70" s="32">
        <v>20</v>
      </c>
      <c r="E70" s="32">
        <v>20</v>
      </c>
      <c r="F70" s="32">
        <v>20</v>
      </c>
      <c r="G70" s="32">
        <v>20</v>
      </c>
      <c r="H70" s="32">
        <v>20</v>
      </c>
    </row>
    <row r="71" spans="2:8" x14ac:dyDescent="0.3">
      <c r="B71" s="5" t="s">
        <v>45</v>
      </c>
      <c r="D71" s="32">
        <v>80</v>
      </c>
      <c r="E71" s="32">
        <v>80</v>
      </c>
      <c r="F71" s="32">
        <v>80</v>
      </c>
      <c r="G71" s="32">
        <v>80</v>
      </c>
      <c r="H71" s="32">
        <v>80</v>
      </c>
    </row>
    <row r="72" spans="2:8" x14ac:dyDescent="0.3">
      <c r="B72" s="5" t="s">
        <v>46</v>
      </c>
      <c r="D72" s="32">
        <v>40</v>
      </c>
      <c r="E72" s="32">
        <v>40</v>
      </c>
      <c r="F72" s="32">
        <v>40</v>
      </c>
      <c r="G72" s="32">
        <v>40</v>
      </c>
      <c r="H72" s="32">
        <v>40</v>
      </c>
    </row>
    <row r="73" spans="2:8" x14ac:dyDescent="0.3">
      <c r="B73" s="5" t="s">
        <v>57</v>
      </c>
      <c r="D73" s="30">
        <v>15000</v>
      </c>
      <c r="E73" s="30">
        <v>15000</v>
      </c>
      <c r="F73" s="30">
        <v>15000</v>
      </c>
      <c r="G73" s="30">
        <v>15000</v>
      </c>
      <c r="H73" s="30">
        <v>15000</v>
      </c>
    </row>
    <row r="74" spans="2:8" x14ac:dyDescent="0.3">
      <c r="B74" s="5" t="s">
        <v>58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</row>
    <row r="75" spans="2:8" x14ac:dyDescent="0.3">
      <c r="B75" s="5" t="s">
        <v>59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</row>
    <row r="77" spans="2:8" s="1" customFormat="1" ht="18" x14ac:dyDescent="0.25">
      <c r="B77" s="8" t="s">
        <v>71</v>
      </c>
      <c r="C77" s="8"/>
      <c r="D77" s="8"/>
      <c r="E77" s="8"/>
      <c r="F77" s="8"/>
      <c r="G77" s="8"/>
      <c r="H77" s="8"/>
    </row>
    <row r="78" spans="2:8" ht="5.25" customHeight="1" x14ac:dyDescent="0.3"/>
    <row r="79" spans="2:8" x14ac:dyDescent="0.3">
      <c r="B79" s="6" t="s">
        <v>47</v>
      </c>
    </row>
    <row r="80" spans="2:8" x14ac:dyDescent="0.3">
      <c r="B80" s="5" t="s">
        <v>50</v>
      </c>
      <c r="D80" s="29">
        <v>0.11</v>
      </c>
      <c r="E80" s="29">
        <v>0.11</v>
      </c>
      <c r="F80" s="29">
        <v>0.11</v>
      </c>
      <c r="G80" s="29">
        <v>0.11</v>
      </c>
      <c r="H80" s="29">
        <v>0.11</v>
      </c>
    </row>
    <row r="81" spans="2:8" x14ac:dyDescent="0.3">
      <c r="B81" s="5" t="s">
        <v>49</v>
      </c>
      <c r="D81" s="29">
        <v>0.3</v>
      </c>
      <c r="E81" s="29">
        <v>0.3</v>
      </c>
      <c r="F81" s="29">
        <v>0.3</v>
      </c>
      <c r="G81" s="29">
        <v>0.3</v>
      </c>
      <c r="H81" s="29">
        <v>0.3</v>
      </c>
    </row>
    <row r="82" spans="2:8" x14ac:dyDescent="0.3">
      <c r="B82" s="5" t="s">
        <v>48</v>
      </c>
      <c r="D82" s="29">
        <v>0.2</v>
      </c>
      <c r="E82" s="29">
        <v>0.2</v>
      </c>
      <c r="F82" s="29">
        <v>0.2</v>
      </c>
      <c r="G82" s="29">
        <v>0.2</v>
      </c>
      <c r="H82" s="29">
        <v>0.2</v>
      </c>
    </row>
    <row r="84" spans="2:8" x14ac:dyDescent="0.3">
      <c r="B84" s="5" t="s">
        <v>54</v>
      </c>
      <c r="D84" s="30">
        <v>7500</v>
      </c>
      <c r="E84" s="30">
        <v>7500</v>
      </c>
      <c r="F84" s="30">
        <v>7500</v>
      </c>
      <c r="G84" s="30">
        <v>7500</v>
      </c>
      <c r="H84" s="30">
        <v>7500</v>
      </c>
    </row>
    <row r="85" spans="2:8" x14ac:dyDescent="0.3">
      <c r="B85" s="5" t="s">
        <v>55</v>
      </c>
      <c r="D85" s="30">
        <v>7000</v>
      </c>
      <c r="E85" s="30">
        <v>7000</v>
      </c>
      <c r="F85" s="30">
        <v>7000</v>
      </c>
      <c r="G85" s="30">
        <v>7000</v>
      </c>
      <c r="H85" s="30">
        <v>7000</v>
      </c>
    </row>
    <row r="86" spans="2:8" x14ac:dyDescent="0.3">
      <c r="B86" s="5" t="s">
        <v>56</v>
      </c>
      <c r="D86" s="9">
        <f>SUM(D84:D85)</f>
        <v>14500</v>
      </c>
      <c r="E86" s="9">
        <f t="shared" ref="E86" si="19">SUM(E84:E85)</f>
        <v>14500</v>
      </c>
      <c r="F86" s="9">
        <f t="shared" ref="F86" si="20">SUM(F84:F85)</f>
        <v>14500</v>
      </c>
      <c r="G86" s="9">
        <f t="shared" ref="G86" si="21">SUM(G84:G85)</f>
        <v>14500</v>
      </c>
      <c r="H86" s="9">
        <f t="shared" ref="H86" si="22">SUM(H84:H85)</f>
        <v>14500</v>
      </c>
    </row>
    <row r="88" spans="2:8" x14ac:dyDescent="0.3">
      <c r="B88" s="5" t="s">
        <v>52</v>
      </c>
      <c r="D88" s="29">
        <v>0.04</v>
      </c>
      <c r="E88" s="29">
        <v>0.04</v>
      </c>
      <c r="F88" s="29">
        <v>0.04</v>
      </c>
      <c r="G88" s="29">
        <v>0.04</v>
      </c>
      <c r="H88" s="29">
        <v>0.04</v>
      </c>
    </row>
    <row r="89" spans="2:8" x14ac:dyDescent="0.3">
      <c r="B89" s="5" t="s">
        <v>53</v>
      </c>
      <c r="D89" s="29">
        <v>0.3</v>
      </c>
      <c r="E89" s="29">
        <v>0.3</v>
      </c>
      <c r="F89" s="29">
        <v>0.3</v>
      </c>
      <c r="G89" s="29">
        <v>0.3</v>
      </c>
      <c r="H89" s="29">
        <v>0.3</v>
      </c>
    </row>
    <row r="91" spans="2:8" x14ac:dyDescent="0.3">
      <c r="B91" s="6" t="s">
        <v>51</v>
      </c>
    </row>
    <row r="92" spans="2:8" x14ac:dyDescent="0.3">
      <c r="B92" s="5" t="s">
        <v>44</v>
      </c>
      <c r="D92" s="32">
        <v>15</v>
      </c>
      <c r="E92" s="32">
        <v>15</v>
      </c>
      <c r="F92" s="32">
        <v>15</v>
      </c>
      <c r="G92" s="32">
        <v>15</v>
      </c>
      <c r="H92" s="32">
        <v>15</v>
      </c>
    </row>
    <row r="93" spans="2:8" x14ac:dyDescent="0.3">
      <c r="B93" s="5" t="s">
        <v>45</v>
      </c>
      <c r="D93" s="32">
        <v>65</v>
      </c>
      <c r="E93" s="32">
        <v>65</v>
      </c>
      <c r="F93" s="32">
        <v>65</v>
      </c>
      <c r="G93" s="32">
        <v>65</v>
      </c>
      <c r="H93" s="32">
        <v>65</v>
      </c>
    </row>
    <row r="94" spans="2:8" x14ac:dyDescent="0.3">
      <c r="B94" s="5" t="s">
        <v>46</v>
      </c>
      <c r="D94" s="32">
        <v>30</v>
      </c>
      <c r="E94" s="32">
        <v>30</v>
      </c>
      <c r="F94" s="32">
        <v>30</v>
      </c>
      <c r="G94" s="32">
        <v>30</v>
      </c>
      <c r="H94" s="32">
        <v>30</v>
      </c>
    </row>
    <row r="95" spans="2:8" x14ac:dyDescent="0.3">
      <c r="B95" s="5" t="s">
        <v>57</v>
      </c>
      <c r="D95" s="30">
        <v>30000</v>
      </c>
      <c r="E95" s="30">
        <v>30000</v>
      </c>
      <c r="F95" s="30">
        <v>30000</v>
      </c>
      <c r="G95" s="30">
        <v>30000</v>
      </c>
      <c r="H95" s="30">
        <v>30000</v>
      </c>
    </row>
    <row r="96" spans="2:8" x14ac:dyDescent="0.3">
      <c r="B96" s="5" t="s">
        <v>58</v>
      </c>
      <c r="D96" s="30">
        <v>0</v>
      </c>
      <c r="E96" s="30">
        <v>-20000</v>
      </c>
      <c r="F96" s="30">
        <v>0</v>
      </c>
      <c r="G96" s="30">
        <v>-10000</v>
      </c>
      <c r="H96" s="30">
        <v>0</v>
      </c>
    </row>
    <row r="97" spans="2:8" x14ac:dyDescent="0.3">
      <c r="B97" s="5" t="s">
        <v>59</v>
      </c>
      <c r="D97" s="30">
        <v>0</v>
      </c>
      <c r="E97" s="30">
        <v>-50000</v>
      </c>
      <c r="F97" s="30">
        <v>0</v>
      </c>
      <c r="G97" s="30">
        <v>0</v>
      </c>
      <c r="H97" s="30">
        <v>0</v>
      </c>
    </row>
  </sheetData>
  <dataValidations count="1">
    <dataValidation type="list" allowBlank="1" showInputMessage="1" showErrorMessage="1" sqref="H3" xr:uid="{9624728B-CCF5-4B73-AC20-2BC532DFA3E8}">
      <formula1>$L$1:$L$3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 Model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Azuka Marvis Oji</cp:lastModifiedBy>
  <dcterms:created xsi:type="dcterms:W3CDTF">2020-07-08T19:45:13Z</dcterms:created>
  <dcterms:modified xsi:type="dcterms:W3CDTF">2022-09-27T02:11:56Z</dcterms:modified>
</cp:coreProperties>
</file>